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fileSharing readOnlyRecommended="1"/>
  <workbookPr filterPrivacy="1" codeName="ThisWorkbook" defaultThemeVersion="124226"/>
  <bookViews>
    <workbookView xWindow="0" yWindow="0" windowWidth="13680" windowHeight="9150" firstSheet="2" activeTab="7"/>
  </bookViews>
  <sheets>
    <sheet name="Cover" sheetId="22" r:id="rId1"/>
    <sheet name="F_Inputs" sheetId="172" r:id="rId2"/>
    <sheet name="Data" sheetId="41" r:id="rId3"/>
    <sheet name="Data_Override" sheetId="175" r:id="rId4"/>
    <sheet name="Data_Final" sheetId="176" r:id="rId5"/>
    <sheet name="Unit costs" sheetId="137" r:id="rId6"/>
    <sheet name="Leakage assessment" sheetId="201" r:id="rId7"/>
    <sheet name="Analysis" sheetId="177" r:id="rId8"/>
    <sheet name="Deep dive_ANH" sheetId="99" r:id="rId9"/>
    <sheet name="Deep dive_NWT" sheetId="203" r:id="rId10"/>
    <sheet name="Deep dive_SRN" sheetId="101" r:id="rId11"/>
    <sheet name="Deep Dive_SVE" sheetId="205" r:id="rId12"/>
    <sheet name="Deep dive_TMS" sheetId="95" r:id="rId13"/>
    <sheet name="Deep dive_WSH" sheetId="110" r:id="rId14"/>
    <sheet name="Deep dive_WSX" sheetId="105" r:id="rId15"/>
    <sheet name="Deep dive_YKY" sheetId="207" r:id="rId16"/>
    <sheet name="Deep dive_AFW" sheetId="135" r:id="rId17"/>
    <sheet name="Deep dive_BRL" sheetId="208" r:id="rId18"/>
    <sheet name="Deep dive_PRT" sheetId="102" r:id="rId19"/>
    <sheet name="Deep dive_SES" sheetId="112" r:id="rId20"/>
    <sheet name="Deep dive_SEW" sheetId="113" r:id="rId21"/>
    <sheet name="Deep dive_SSC" sheetId="106" r:id="rId22"/>
    <sheet name="Allowance" sheetId="118"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net1" localSheetId="7" hidden="1">{"NET",#N/A,FALSE,"401C11"}</definedName>
    <definedName name="____net1" localSheetId="9" hidden="1">{"NET",#N/A,FALSE,"401C11"}</definedName>
    <definedName name="____net1" hidden="1">{"NET",#N/A,FALSE,"401C11"}</definedName>
    <definedName name="__123Graph_A" localSheetId="4" hidden="1">'[1]2002PCTs'!#REF!</definedName>
    <definedName name="__123Graph_A" localSheetId="3" hidden="1">'[1]2002PCTs'!#REF!</definedName>
    <definedName name="__123Graph_A" localSheetId="16" hidden="1">'[1]2002PCTs'!#REF!</definedName>
    <definedName name="__123Graph_A" localSheetId="9" hidden="1">'[1]2002PCTs'!#REF!</definedName>
    <definedName name="__123Graph_A" localSheetId="21" hidden="1">'[1]2002PCTs'!#REF!</definedName>
    <definedName name="__123Graph_A" localSheetId="14" hidden="1">'[1]2002PCTs'!#REF!</definedName>
    <definedName name="__123Graph_A" localSheetId="6" hidden="1">'[1]2002PCTs'!#REF!</definedName>
    <definedName name="__123Graph_A" hidden="1">'[1]2002PCTs'!#REF!</definedName>
    <definedName name="__123Graph_B" localSheetId="4" hidden="1">[2]Dnurse!#REF!</definedName>
    <definedName name="__123Graph_B" localSheetId="3" hidden="1">[2]Dnurse!#REF!</definedName>
    <definedName name="__123Graph_B" localSheetId="16" hidden="1">[2]Dnurse!#REF!</definedName>
    <definedName name="__123Graph_B" localSheetId="9" hidden="1">[2]Dnurse!#REF!</definedName>
    <definedName name="__123Graph_B" localSheetId="21" hidden="1">[2]Dnurse!#REF!</definedName>
    <definedName name="__123Graph_B" localSheetId="14" hidden="1">[2]Dnurse!#REF!</definedName>
    <definedName name="__123Graph_B" localSheetId="6" hidden="1">[2]Dnurse!#REF!</definedName>
    <definedName name="__123Graph_B" hidden="1">[2]Dnurse!#REF!</definedName>
    <definedName name="__123Graph_C" localSheetId="4" hidden="1">[2]Dnurse!#REF!</definedName>
    <definedName name="__123Graph_C" localSheetId="3" hidden="1">[2]Dnurse!#REF!</definedName>
    <definedName name="__123Graph_C" localSheetId="16" hidden="1">[2]Dnurse!#REF!</definedName>
    <definedName name="__123Graph_C" localSheetId="9" hidden="1">[2]Dnurse!#REF!</definedName>
    <definedName name="__123Graph_C" localSheetId="21" hidden="1">[2]Dnurse!#REF!</definedName>
    <definedName name="__123Graph_C" localSheetId="14" hidden="1">[2]Dnurse!#REF!</definedName>
    <definedName name="__123Graph_C" localSheetId="6" hidden="1">[2]Dnurse!#REF!</definedName>
    <definedName name="__123Graph_C" hidden="1">[2]Dnurse!#REF!</definedName>
    <definedName name="__123Graph_X" localSheetId="4" hidden="1">[2]Dnurse!#REF!</definedName>
    <definedName name="__123Graph_X" localSheetId="3" hidden="1">[2]Dnurse!#REF!</definedName>
    <definedName name="__123Graph_X" localSheetId="16" hidden="1">[2]Dnurse!#REF!</definedName>
    <definedName name="__123Graph_X" localSheetId="9" hidden="1">[2]Dnurse!#REF!</definedName>
    <definedName name="__123Graph_X" localSheetId="21" hidden="1">[2]Dnurse!#REF!</definedName>
    <definedName name="__123Graph_X" localSheetId="14" hidden="1">[2]Dnurse!#REF!</definedName>
    <definedName name="__123Graph_X" localSheetId="6" hidden="1">[2]Dnurse!#REF!</definedName>
    <definedName name="__123Graph_X" hidden="1">[2]Dnurse!#REF!</definedName>
    <definedName name="__net1" localSheetId="7" hidden="1">{"NET",#N/A,FALSE,"401C11"}</definedName>
    <definedName name="__net1" localSheetId="9" hidden="1">{"NET",#N/A,FALSE,"401C11"}</definedName>
    <definedName name="__net1" hidden="1">{"NET",#N/A,FALSE,"401C11"}</definedName>
    <definedName name="_1_0__123Grap" localSheetId="4" hidden="1">'[3]#REF'!#REF!</definedName>
    <definedName name="_1_0__123Grap" localSheetId="3" hidden="1">'[3]#REF'!#REF!</definedName>
    <definedName name="_1_0__123Grap" localSheetId="16" hidden="1">'[3]#REF'!#REF!</definedName>
    <definedName name="_1_0__123Grap" localSheetId="9" hidden="1">'[3]#REF'!#REF!</definedName>
    <definedName name="_1_0__123Grap" localSheetId="21" hidden="1">'[3]#REF'!#REF!</definedName>
    <definedName name="_1_0__123Grap" localSheetId="14" hidden="1">'[3]#REF'!#REF!</definedName>
    <definedName name="_1_0__123Grap" localSheetId="6" hidden="1">'[3]#REF'!#REF!</definedName>
    <definedName name="_1_0__123Grap" hidden="1">'[3]#REF'!#REF!</definedName>
    <definedName name="_1_123Grap" localSheetId="4" hidden="1">'[4]#REF'!#REF!</definedName>
    <definedName name="_1_123Grap" localSheetId="3" hidden="1">'[4]#REF'!#REF!</definedName>
    <definedName name="_1_123Grap" localSheetId="16" hidden="1">'[4]#REF'!#REF!</definedName>
    <definedName name="_1_123Grap" localSheetId="9" hidden="1">'[4]#REF'!#REF!</definedName>
    <definedName name="_1_123Grap" localSheetId="21" hidden="1">'[4]#REF'!#REF!</definedName>
    <definedName name="_1_123Grap" localSheetId="14" hidden="1">'[4]#REF'!#REF!</definedName>
    <definedName name="_1_123Grap" localSheetId="6" hidden="1">'[4]#REF'!#REF!</definedName>
    <definedName name="_1_123Grap" hidden="1">'[4]#REF'!#REF!</definedName>
    <definedName name="_123Graph_F" hidden="1">'[5]Chelmsford '!$G$18:$G$28</definedName>
    <definedName name="_2_0__123Grap" localSheetId="7" hidden="1">'[4]#REF'!#REF!</definedName>
    <definedName name="_2_0__123Grap" localSheetId="4" hidden="1">'[4]#REF'!#REF!</definedName>
    <definedName name="_2_0__123Grap" localSheetId="3" hidden="1">'[4]#REF'!#REF!</definedName>
    <definedName name="_2_0__123Grap" localSheetId="16" hidden="1">'[4]#REF'!#REF!</definedName>
    <definedName name="_2_0__123Grap" localSheetId="9" hidden="1">'[4]#REF'!#REF!</definedName>
    <definedName name="_2_0__123Grap" localSheetId="21" hidden="1">'[4]#REF'!#REF!</definedName>
    <definedName name="_2_0__123Grap" localSheetId="14" hidden="1">'[4]#REF'!#REF!</definedName>
    <definedName name="_2_0__123Grap" localSheetId="6" hidden="1">'[4]#REF'!#REF!</definedName>
    <definedName name="_2_0__123Grap" hidden="1">'[4]#REF'!#REF!</definedName>
    <definedName name="_2_123Grap" localSheetId="4" hidden="1">'[2]#REF'!#REF!</definedName>
    <definedName name="_2_123Grap" localSheetId="3" hidden="1">'[2]#REF'!#REF!</definedName>
    <definedName name="_2_123Grap" localSheetId="16" hidden="1">'[2]#REF'!#REF!</definedName>
    <definedName name="_2_123Grap" localSheetId="9" hidden="1">'[2]#REF'!#REF!</definedName>
    <definedName name="_2_123Grap" localSheetId="21" hidden="1">'[2]#REF'!#REF!</definedName>
    <definedName name="_2_123Grap" localSheetId="14" hidden="1">'[2]#REF'!#REF!</definedName>
    <definedName name="_2_123Grap" localSheetId="6" hidden="1">'[2]#REF'!#REF!</definedName>
    <definedName name="_2_123Grap" hidden="1">'[2]#REF'!#REF!</definedName>
    <definedName name="_3_0_S" localSheetId="4" hidden="1">'[3]#REF'!#REF!</definedName>
    <definedName name="_3_0_S" localSheetId="3" hidden="1">'[3]#REF'!#REF!</definedName>
    <definedName name="_3_0_S" localSheetId="16" hidden="1">'[3]#REF'!#REF!</definedName>
    <definedName name="_3_0_S" localSheetId="9" hidden="1">'[3]#REF'!#REF!</definedName>
    <definedName name="_3_0_S" localSheetId="21" hidden="1">'[3]#REF'!#REF!</definedName>
    <definedName name="_3_0_S" localSheetId="14" hidden="1">'[3]#REF'!#REF!</definedName>
    <definedName name="_3_0_S" localSheetId="6" hidden="1">'[3]#REF'!#REF!</definedName>
    <definedName name="_3_0_S" hidden="1">'[3]#REF'!#REF!</definedName>
    <definedName name="_3_123Grap" localSheetId="4" hidden="1">'[4]#REF'!#REF!</definedName>
    <definedName name="_3_123Grap" localSheetId="3" hidden="1">'[4]#REF'!#REF!</definedName>
    <definedName name="_3_123Grap" localSheetId="16" hidden="1">'[4]#REF'!#REF!</definedName>
    <definedName name="_3_123Grap" localSheetId="9" hidden="1">'[4]#REF'!#REF!</definedName>
    <definedName name="_3_123Grap" localSheetId="21" hidden="1">'[4]#REF'!#REF!</definedName>
    <definedName name="_3_123Grap" localSheetId="14" hidden="1">'[4]#REF'!#REF!</definedName>
    <definedName name="_3_123Grap" localSheetId="6" hidden="1">'[4]#REF'!#REF!</definedName>
    <definedName name="_3_123Grap" hidden="1">'[4]#REF'!#REF!</definedName>
    <definedName name="_34_123Grap" localSheetId="4" hidden="1">'[4]#REF'!#REF!</definedName>
    <definedName name="_34_123Grap" localSheetId="3" hidden="1">'[4]#REF'!#REF!</definedName>
    <definedName name="_34_123Grap" localSheetId="16" hidden="1">'[4]#REF'!#REF!</definedName>
    <definedName name="_34_123Grap" localSheetId="9" hidden="1">'[4]#REF'!#REF!</definedName>
    <definedName name="_34_123Grap" localSheetId="21" hidden="1">'[4]#REF'!#REF!</definedName>
    <definedName name="_34_123Grap" localSheetId="14" hidden="1">'[4]#REF'!#REF!</definedName>
    <definedName name="_34_123Grap" localSheetId="6" hidden="1">'[4]#REF'!#REF!</definedName>
    <definedName name="_34_123Grap" hidden="1">'[4]#REF'!#REF!</definedName>
    <definedName name="_42S" localSheetId="4" hidden="1">'[4]#REF'!#REF!</definedName>
    <definedName name="_42S" localSheetId="3" hidden="1">'[4]#REF'!#REF!</definedName>
    <definedName name="_42S" localSheetId="16" hidden="1">'[4]#REF'!#REF!</definedName>
    <definedName name="_42S" localSheetId="9" hidden="1">'[4]#REF'!#REF!</definedName>
    <definedName name="_42S" localSheetId="21" hidden="1">'[4]#REF'!#REF!</definedName>
    <definedName name="_42S" localSheetId="14" hidden="1">'[4]#REF'!#REF!</definedName>
    <definedName name="_42S" localSheetId="6" hidden="1">'[4]#REF'!#REF!</definedName>
    <definedName name="_42S" hidden="1">'[4]#REF'!#REF!</definedName>
    <definedName name="_4S" localSheetId="4" hidden="1">'[4]#REF'!#REF!</definedName>
    <definedName name="_4S" localSheetId="3" hidden="1">'[4]#REF'!#REF!</definedName>
    <definedName name="_4S" localSheetId="16" hidden="1">'[4]#REF'!#REF!</definedName>
    <definedName name="_4S" localSheetId="9" hidden="1">'[4]#REF'!#REF!</definedName>
    <definedName name="_4S" localSheetId="21" hidden="1">'[4]#REF'!#REF!</definedName>
    <definedName name="_4S" localSheetId="14" hidden="1">'[4]#REF'!#REF!</definedName>
    <definedName name="_4S" localSheetId="6" hidden="1">'[4]#REF'!#REF!</definedName>
    <definedName name="_4S" hidden="1">'[4]#REF'!#REF!</definedName>
    <definedName name="_5_0__123Grap" localSheetId="4" hidden="1">'[4]#REF'!#REF!</definedName>
    <definedName name="_5_0__123Grap" localSheetId="3" hidden="1">'[4]#REF'!#REF!</definedName>
    <definedName name="_5_0__123Grap" localSheetId="16" hidden="1">'[4]#REF'!#REF!</definedName>
    <definedName name="_5_0__123Grap" localSheetId="9" hidden="1">'[4]#REF'!#REF!</definedName>
    <definedName name="_5_0__123Grap" localSheetId="21" hidden="1">'[4]#REF'!#REF!</definedName>
    <definedName name="_5_0__123Grap" localSheetId="14" hidden="1">'[4]#REF'!#REF!</definedName>
    <definedName name="_5_0__123Grap" localSheetId="6" hidden="1">'[4]#REF'!#REF!</definedName>
    <definedName name="_5_0__123Grap" hidden="1">'[4]#REF'!#REF!</definedName>
    <definedName name="_6_0_S" localSheetId="4" hidden="1">'[4]#REF'!#REF!</definedName>
    <definedName name="_6_0_S" localSheetId="3" hidden="1">'[4]#REF'!#REF!</definedName>
    <definedName name="_6_0_S" localSheetId="16" hidden="1">'[4]#REF'!#REF!</definedName>
    <definedName name="_6_0_S" localSheetId="9" hidden="1">'[4]#REF'!#REF!</definedName>
    <definedName name="_6_0_S" localSheetId="21" hidden="1">'[4]#REF'!#REF!</definedName>
    <definedName name="_6_0_S" localSheetId="14" hidden="1">'[4]#REF'!#REF!</definedName>
    <definedName name="_6_0_S" localSheetId="6" hidden="1">'[4]#REF'!#REF!</definedName>
    <definedName name="_6_0_S" hidden="1">'[4]#REF'!#REF!</definedName>
    <definedName name="_6_123Grap" localSheetId="4" hidden="1">'[2]#REF'!#REF!</definedName>
    <definedName name="_6_123Grap" localSheetId="3" hidden="1">'[2]#REF'!#REF!</definedName>
    <definedName name="_6_123Grap" localSheetId="16" hidden="1">'[2]#REF'!#REF!</definedName>
    <definedName name="_6_123Grap" localSheetId="9" hidden="1">'[2]#REF'!#REF!</definedName>
    <definedName name="_6_123Grap" localSheetId="21" hidden="1">'[2]#REF'!#REF!</definedName>
    <definedName name="_6_123Grap" localSheetId="14" hidden="1">'[2]#REF'!#REF!</definedName>
    <definedName name="_6_123Grap" localSheetId="6" hidden="1">'[2]#REF'!#REF!</definedName>
    <definedName name="_6_123Grap" hidden="1">'[2]#REF'!#REF!</definedName>
    <definedName name="_8_123Grap" localSheetId="4" hidden="1">'[4]#REF'!#REF!</definedName>
    <definedName name="_8_123Grap" localSheetId="3" hidden="1">'[4]#REF'!#REF!</definedName>
    <definedName name="_8_123Grap" localSheetId="16" hidden="1">'[4]#REF'!#REF!</definedName>
    <definedName name="_8_123Grap" localSheetId="9" hidden="1">'[4]#REF'!#REF!</definedName>
    <definedName name="_8_123Grap" localSheetId="21" hidden="1">'[4]#REF'!#REF!</definedName>
    <definedName name="_8_123Grap" localSheetId="14" hidden="1">'[4]#REF'!#REF!</definedName>
    <definedName name="_8_123Grap" localSheetId="6" hidden="1">'[4]#REF'!#REF!</definedName>
    <definedName name="_8_123Grap" hidden="1">'[4]#REF'!#REF!</definedName>
    <definedName name="_8S" localSheetId="4" hidden="1">'[2]#REF'!#REF!</definedName>
    <definedName name="_8S" localSheetId="3" hidden="1">'[2]#REF'!#REF!</definedName>
    <definedName name="_8S" localSheetId="16" hidden="1">'[2]#REF'!#REF!</definedName>
    <definedName name="_8S" localSheetId="9" hidden="1">'[2]#REF'!#REF!</definedName>
    <definedName name="_8S" localSheetId="21" hidden="1">'[2]#REF'!#REF!</definedName>
    <definedName name="_8S" localSheetId="14" hidden="1">'[2]#REF'!#REF!</definedName>
    <definedName name="_8S" localSheetId="6" hidden="1">'[2]#REF'!#REF!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localSheetId="7" hidden="1">#REF!</definedName>
    <definedName name="_Dist_Values" localSheetId="4" hidden="1">#REF!</definedName>
    <definedName name="_Dist_Values" localSheetId="3" hidden="1">#REF!</definedName>
    <definedName name="_Dist_Values" localSheetId="16" hidden="1">#REF!</definedName>
    <definedName name="_Dist_Values" localSheetId="9" hidden="1">#REF!</definedName>
    <definedName name="_Dist_Values" localSheetId="21" hidden="1">#REF!</definedName>
    <definedName name="_Dist_Values" localSheetId="14" hidden="1">#REF!</definedName>
    <definedName name="_Dist_Values" localSheetId="6" hidden="1">#REF!</definedName>
    <definedName name="_Dist_Values" hidden="1">#REF!</definedName>
    <definedName name="_Fill" localSheetId="7" hidden="1">#REF!</definedName>
    <definedName name="_Fill" localSheetId="4" hidden="1">#REF!</definedName>
    <definedName name="_Fill" localSheetId="3" hidden="1">#REF!</definedName>
    <definedName name="_Fill" localSheetId="16" hidden="1">#REF!</definedName>
    <definedName name="_Fill" localSheetId="9" hidden="1">#REF!</definedName>
    <definedName name="_Fill" localSheetId="21" hidden="1">#REF!</definedName>
    <definedName name="_Fill" localSheetId="14" hidden="1">#REF!</definedName>
    <definedName name="_Fill" localSheetId="6" hidden="1">#REF!</definedName>
    <definedName name="_Fill" hidden="1">#REF!</definedName>
    <definedName name="_xlnm._FilterDatabase" localSheetId="7" hidden="1">Analysis!$B$149:$G$171</definedName>
    <definedName name="_xlnm._FilterDatabase" localSheetId="2" hidden="1">Data!$A$7:$X$296</definedName>
    <definedName name="_xlnm._FilterDatabase" localSheetId="4" hidden="1">Data_Final!$A$7:$AG$297</definedName>
    <definedName name="_xlnm._FilterDatabase" localSheetId="3" hidden="1">Data_Override!$A$7:$AA$296</definedName>
    <definedName name="_xlnm._FilterDatabase" localSheetId="8" hidden="1">'Deep dive_ANH'!$A$121:$BW$145</definedName>
    <definedName name="_xlnm._FilterDatabase" localSheetId="1" hidden="1">F_Inputs!$A$3:$U$381</definedName>
    <definedName name="_xlnm._FilterDatabase" localSheetId="6" hidden="1">'Leakage assessment'!$A$33:$AL$50</definedName>
    <definedName name="_Key1" localSheetId="7" hidden="1">'[2]#REF'!#REF!</definedName>
    <definedName name="_Key1" localSheetId="4" hidden="1">'[2]#REF'!#REF!</definedName>
    <definedName name="_Key1" localSheetId="3" hidden="1">'[2]#REF'!#REF!</definedName>
    <definedName name="_Key1" localSheetId="16" hidden="1">'[2]#REF'!#REF!</definedName>
    <definedName name="_Key1" localSheetId="9" hidden="1">'[2]#REF'!#REF!</definedName>
    <definedName name="_Key1" localSheetId="21" hidden="1">'[2]#REF'!#REF!</definedName>
    <definedName name="_Key1" localSheetId="14" hidden="1">'[2]#REF'!#REF!</definedName>
    <definedName name="_Key1" localSheetId="6" hidden="1">'[2]#REF'!#REF!</definedName>
    <definedName name="_Key1" hidden="1">'[2]#REF'!#REF!</definedName>
    <definedName name="_Key2" localSheetId="7" hidden="1">#REF!</definedName>
    <definedName name="_Key2" localSheetId="4" hidden="1">#REF!</definedName>
    <definedName name="_Key2" localSheetId="3" hidden="1">#REF!</definedName>
    <definedName name="_Key2" localSheetId="16" hidden="1">#REF!</definedName>
    <definedName name="_Key2" localSheetId="9" hidden="1">#REF!</definedName>
    <definedName name="_Key2" localSheetId="21" hidden="1">#REF!</definedName>
    <definedName name="_Key2" localSheetId="14" hidden="1">#REF!</definedName>
    <definedName name="_Key2" localSheetId="6" hidden="1">#REF!</definedName>
    <definedName name="_Key2" hidden="1">#REF!</definedName>
    <definedName name="_net1" localSheetId="7" hidden="1">{"NET",#N/A,FALSE,"401C11"}</definedName>
    <definedName name="_net1" localSheetId="9" hidden="1">{"NET",#N/A,FALSE,"401C11"}</definedName>
    <definedName name="_net1" hidden="1">{"NET",#N/A,FALSE,"401C11"}</definedName>
    <definedName name="_Order1" hidden="1">255</definedName>
    <definedName name="_Order2" hidden="1">255</definedName>
    <definedName name="_Sort" localSheetId="7" hidden="1">#REF!</definedName>
    <definedName name="_Sort" localSheetId="4" hidden="1">#REF!</definedName>
    <definedName name="_Sort" localSheetId="3" hidden="1">#REF!</definedName>
    <definedName name="_Sort" localSheetId="16" hidden="1">#REF!</definedName>
    <definedName name="_Sort" localSheetId="9" hidden="1">#REF!</definedName>
    <definedName name="_Sort" localSheetId="21" hidden="1">#REF!</definedName>
    <definedName name="_Sort" localSheetId="14" hidden="1">#REF!</definedName>
    <definedName name="_Sort" localSheetId="6" hidden="1">#REF!</definedName>
    <definedName name="_Sort" hidden="1">#REF!</definedName>
    <definedName name="a" localSheetId="7" hidden="1">{"CHARGE",#N/A,FALSE,"401C11"}</definedName>
    <definedName name="a" localSheetId="9" hidden="1">{"CHARGE",#N/A,FALSE,"401C11"}</definedName>
    <definedName name="a" hidden="1">{"CHARGE",#N/A,FALSE,"401C11"}</definedName>
    <definedName name="aa" localSheetId="7" hidden="1">{"CHARGE",#N/A,FALSE,"401C11"}</definedName>
    <definedName name="aa" localSheetId="9" hidden="1">{"CHARGE",#N/A,FALSE,"401C11"}</definedName>
    <definedName name="aa" hidden="1">{"CHARGE",#N/A,FALSE,"401C11"}</definedName>
    <definedName name="aaa" localSheetId="7" hidden="1">{"CHARGE",#N/A,FALSE,"401C11"}</definedName>
    <definedName name="aaa" localSheetId="9" hidden="1">{"CHARGE",#N/A,FALSE,"401C11"}</definedName>
    <definedName name="aaa" hidden="1">{"CHARGE",#N/A,FALSE,"401C11"}</definedName>
    <definedName name="aaaa" localSheetId="7" hidden="1">{"CHARGE",#N/A,FALSE,"401C11"}</definedName>
    <definedName name="aaaa" localSheetId="9" hidden="1">{"CHARGE",#N/A,FALSE,"401C11"}</definedName>
    <definedName name="aaaa" hidden="1">{"CHARGE",#N/A,FALSE,"401C11"}</definedName>
    <definedName name="abc" localSheetId="7" hidden="1">{"NET",#N/A,FALSE,"401C11"}</definedName>
    <definedName name="abc" localSheetId="9" hidden="1">{"NET",#N/A,FALSE,"401C11"}</definedName>
    <definedName name="abc" hidden="1">{"NET",#N/A,FALSE,"401C11"}</definedName>
    <definedName name="adbr" localSheetId="7" hidden="1">{"CHARGE",#N/A,FALSE,"401C11"}</definedName>
    <definedName name="adbr" localSheetId="9" hidden="1">{"CHARGE",#N/A,FALSE,"401C11"}</definedName>
    <definedName name="adbr" hidden="1">{"CHARGE",#N/A,FALSE,"401C11"}</definedName>
    <definedName name="amp.totex" localSheetId="7">'[6]Exp''ture &amp; materiality'!$AE$182:$AE$200</definedName>
    <definedName name="amp.totex">'[6]Exp''ture &amp; materiality'!$AE$182:$AE$200</definedName>
    <definedName name="amp.totex.compnames" localSheetId="7">'[6]Exp''ture &amp; materiality'!$A$182:$A$200</definedName>
    <definedName name="amp.totex.compnames">'[6]Exp''ture &amp; materiality'!$A$182:$A$200</definedName>
    <definedName name="AVON" localSheetId="7">#REF!</definedName>
    <definedName name="AVON" localSheetId="4">#REF!</definedName>
    <definedName name="AVON" localSheetId="3">#REF!</definedName>
    <definedName name="AVON" localSheetId="9">#REF!</definedName>
    <definedName name="AVON" localSheetId="6">#REF!</definedName>
    <definedName name="AVON">#REF!</definedName>
    <definedName name="b" localSheetId="7" hidden="1">{"CHARGE",#N/A,FALSE,"401C11"}</definedName>
    <definedName name="b" localSheetId="9" hidden="1">{"CHARGE",#N/A,FALSE,"401C11"}</definedName>
    <definedName name="b" hidden="1">{"CHARGE",#N/A,FALSE,"401C11"}</definedName>
    <definedName name="BEDS" localSheetId="7">#REF!</definedName>
    <definedName name="BEDS" localSheetId="4">#REF!</definedName>
    <definedName name="BEDS" localSheetId="3">#REF!</definedName>
    <definedName name="BEDS" localSheetId="9">#REF!</definedName>
    <definedName name="BEDS" localSheetId="6">#REF!</definedName>
    <definedName name="BEDS">#REF!</definedName>
    <definedName name="BERKS" localSheetId="7">#REF!</definedName>
    <definedName name="BERKS" localSheetId="4">#REF!</definedName>
    <definedName name="BERKS" localSheetId="3">#REF!</definedName>
    <definedName name="BERKS" localSheetId="9">#REF!</definedName>
    <definedName name="BERKS" localSheetId="6">#REF!</definedName>
    <definedName name="BERKS">#REF!</definedName>
    <definedName name="BMGHIndex" hidden="1">"O"</definedName>
    <definedName name="BUCKS" localSheetId="7">#REF!</definedName>
    <definedName name="BUCKS" localSheetId="4">#REF!</definedName>
    <definedName name="BUCKS" localSheetId="3">#REF!</definedName>
    <definedName name="BUCKS" localSheetId="9">#REF!</definedName>
    <definedName name="BUCKS" localSheetId="6">#REF!</definedName>
    <definedName name="BUCKS">#REF!</definedName>
    <definedName name="CAMBS" localSheetId="7">#REF!</definedName>
    <definedName name="CAMBS" localSheetId="4">#REF!</definedName>
    <definedName name="CAMBS" localSheetId="3">#REF!</definedName>
    <definedName name="CAMBS" localSheetId="9">#REF!</definedName>
    <definedName name="CAMBS" localSheetId="6">#REF!</definedName>
    <definedName name="CAMBS">#REF!</definedName>
    <definedName name="change1" localSheetId="7" hidden="1">{"CHARGE",#N/A,FALSE,"401C11"}</definedName>
    <definedName name="change1" localSheetId="9" hidden="1">{"CHARGE",#N/A,FALSE,"401C11"}</definedName>
    <definedName name="change1" hidden="1">{"CHARGE",#N/A,FALSE,"401C11"}</definedName>
    <definedName name="charge" localSheetId="7" hidden="1">{"CHARGE",#N/A,FALSE,"401C11"}</definedName>
    <definedName name="charge" localSheetId="9" hidden="1">{"CHARGE",#N/A,FALSE,"401C11"}</definedName>
    <definedName name="charge" hidden="1">{"CHARGE",#N/A,FALSE,"401C11"}</definedName>
    <definedName name="CHESHIRE" localSheetId="7">#REF!</definedName>
    <definedName name="CHESHIRE" localSheetId="4">#REF!</definedName>
    <definedName name="CHESHIRE" localSheetId="3">#REF!</definedName>
    <definedName name="CHESHIRE" localSheetId="9">#REF!</definedName>
    <definedName name="CHESHIRE" localSheetId="6">#REF!</definedName>
    <definedName name="CHESHIRE">#REF!</definedName>
    <definedName name="CHK_TOL" localSheetId="7">[7]InpActive!$F$1891</definedName>
    <definedName name="CHK_TOL">[7]InpActive!$F$1891</definedName>
    <definedName name="CHK_TOL_TAX" localSheetId="7">[7]InpActive!$F$1893</definedName>
    <definedName name="CHK_TOL_TAX">[7]InpActive!$F$1893</definedName>
    <definedName name="CLEVELAND" localSheetId="7">#REF!</definedName>
    <definedName name="CLEVELAND" localSheetId="4">#REF!</definedName>
    <definedName name="CLEVELAND" localSheetId="3">#REF!</definedName>
    <definedName name="CLEVELAND" localSheetId="9">#REF!</definedName>
    <definedName name="CLEVELAND" localSheetId="6">#REF!</definedName>
    <definedName name="CLEVELAND">#REF!</definedName>
    <definedName name="CLWYD" localSheetId="7">#REF!</definedName>
    <definedName name="CLWYD" localSheetId="4">#REF!</definedName>
    <definedName name="CLWYD" localSheetId="3">#REF!</definedName>
    <definedName name="CLWYD" localSheetId="9">#REF!</definedName>
    <definedName name="CLWYD" localSheetId="6">#REF!</definedName>
    <definedName name="CLWYD">#REF!</definedName>
    <definedName name="Codes" localSheetId="7">#REF!</definedName>
    <definedName name="Codes" localSheetId="4">#REF!</definedName>
    <definedName name="Codes" localSheetId="3">#REF!</definedName>
    <definedName name="Codes" localSheetId="9">#REF!</definedName>
    <definedName name="Codes" localSheetId="6">#REF!</definedName>
    <definedName name="Codes">#REF!</definedName>
    <definedName name="CORNWALL" localSheetId="7">#REF!</definedName>
    <definedName name="CORNWALL" localSheetId="4">#REF!</definedName>
    <definedName name="CORNWALL" localSheetId="3">#REF!</definedName>
    <definedName name="CORNWALL" localSheetId="9">#REF!</definedName>
    <definedName name="CORNWALL" localSheetId="6">#REF!</definedName>
    <definedName name="CORNWALL">#REF!</definedName>
    <definedName name="CUMBRIA" localSheetId="7">#REF!</definedName>
    <definedName name="CUMBRIA" localSheetId="4">#REF!</definedName>
    <definedName name="CUMBRIA" localSheetId="3">#REF!</definedName>
    <definedName name="CUMBRIA" localSheetId="9">#REF!</definedName>
    <definedName name="CUMBRIA" localSheetId="6">#REF!</definedName>
    <definedName name="CUMBRIA">#REF!</definedName>
    <definedName name="da" localSheetId="7" hidden="1">#REF!</definedName>
    <definedName name="da" localSheetId="4" hidden="1">#REF!</definedName>
    <definedName name="da" localSheetId="3" hidden="1">#REF!</definedName>
    <definedName name="da" localSheetId="16" hidden="1">#REF!</definedName>
    <definedName name="da" localSheetId="9" hidden="1">#REF!</definedName>
    <definedName name="da" localSheetId="21" hidden="1">#REF!</definedName>
    <definedName name="da" localSheetId="14" hidden="1">#REF!</definedName>
    <definedName name="da" localSheetId="6" hidden="1">#REF!</definedName>
    <definedName name="da" hidden="1">#REF!</definedName>
    <definedName name="_xlnm.Database" localSheetId="7">#REF!</definedName>
    <definedName name="_xlnm.Database" localSheetId="4">#REF!</definedName>
    <definedName name="_xlnm.Database" localSheetId="3">#REF!</definedName>
    <definedName name="_xlnm.Database" localSheetId="9">#REF!</definedName>
    <definedName name="_xlnm.Database" localSheetId="6">#REF!</definedName>
    <definedName name="_xlnm.Database">#REF!</definedName>
    <definedName name="DERBYSHIRE" localSheetId="7">#REF!</definedName>
    <definedName name="DERBYSHIRE" localSheetId="4">#REF!</definedName>
    <definedName name="DERBYSHIRE" localSheetId="3">#REF!</definedName>
    <definedName name="DERBYSHIRE" localSheetId="9">#REF!</definedName>
    <definedName name="DERBYSHIRE" localSheetId="6">#REF!</definedName>
    <definedName name="DERBYSHIRE">#REF!</definedName>
    <definedName name="DEVON" localSheetId="7">#REF!</definedName>
    <definedName name="DEVON" localSheetId="4">#REF!</definedName>
    <definedName name="DEVON" localSheetId="3">#REF!</definedName>
    <definedName name="DEVON" localSheetId="9">#REF!</definedName>
    <definedName name="DEVON" localSheetId="6">#REF!</definedName>
    <definedName name="DEVON">#REF!</definedName>
    <definedName name="dnonames" localSheetId="7">#REF!</definedName>
    <definedName name="dnonames" localSheetId="4">#REF!</definedName>
    <definedName name="dnonames" localSheetId="3">#REF!</definedName>
    <definedName name="dnonames" localSheetId="9">#REF!</definedName>
    <definedName name="dnonames" localSheetId="6">#REF!</definedName>
    <definedName name="dnonames">#REF!</definedName>
    <definedName name="dog" localSheetId="7" hidden="1">{"NET",#N/A,FALSE,"401C11"}</definedName>
    <definedName name="dog" localSheetId="9" hidden="1">{"NET",#N/A,FALSE,"401C11"}</definedName>
    <definedName name="dog" hidden="1">{"NET",#N/A,FALSE,"401C11"}</definedName>
    <definedName name="DORSET" localSheetId="7">#REF!</definedName>
    <definedName name="DORSET" localSheetId="4">#REF!</definedName>
    <definedName name="DORSET" localSheetId="3">#REF!</definedName>
    <definedName name="DORSET" localSheetId="9">#REF!</definedName>
    <definedName name="DORSET" localSheetId="6">#REF!</definedName>
    <definedName name="DORSET">#REF!</definedName>
    <definedName name="DURHAM" localSheetId="7">#REF!</definedName>
    <definedName name="DURHAM" localSheetId="4">#REF!</definedName>
    <definedName name="DURHAM" localSheetId="3">#REF!</definedName>
    <definedName name="DURHAM" localSheetId="9">#REF!</definedName>
    <definedName name="DURHAM" localSheetId="6">#REF!</definedName>
    <definedName name="DURHAM">#REF!</definedName>
    <definedName name="DYFED" localSheetId="7">#REF!</definedName>
    <definedName name="DYFED" localSheetId="4">#REF!</definedName>
    <definedName name="DYFED" localSheetId="3">#REF!</definedName>
    <definedName name="DYFED" localSheetId="9">#REF!</definedName>
    <definedName name="DYFED" localSheetId="6">#REF!</definedName>
    <definedName name="DYFED">#REF!</definedName>
    <definedName name="E_SUSSEX" localSheetId="7">#REF!</definedName>
    <definedName name="E_SUSSEX" localSheetId="4">#REF!</definedName>
    <definedName name="E_SUSSEX" localSheetId="3">#REF!</definedName>
    <definedName name="E_SUSSEX" localSheetId="9">#REF!</definedName>
    <definedName name="E_SUSSEX" localSheetId="6">#REF!</definedName>
    <definedName name="E_SUSSEX">#REF!</definedName>
    <definedName name="eff_update" localSheetId="7">#REF!</definedName>
    <definedName name="eff_update" localSheetId="4">#REF!</definedName>
    <definedName name="eff_update" localSheetId="3">#REF!</definedName>
    <definedName name="eff_update" localSheetId="9">#REF!</definedName>
    <definedName name="eff_update" localSheetId="6">#REF!</definedName>
    <definedName name="eff_update">#REF!</definedName>
    <definedName name="el3.bp.capex" localSheetId="7">'[6]Exp''ture &amp; materiality'!$AG$66:$AG$84</definedName>
    <definedName name="el3.bp.capex">'[6]Exp''ture &amp; materiality'!$AG$66:$AG$84</definedName>
    <definedName name="el3.compnames" localSheetId="7">'[6]Exp''ture &amp; materiality'!$A$66:$A$84</definedName>
    <definedName name="el3.compnames">'[6]Exp''ture &amp; materiality'!$A$66:$A$84</definedName>
    <definedName name="ESSEX" localSheetId="7">#REF!</definedName>
    <definedName name="ESSEX" localSheetId="4">#REF!</definedName>
    <definedName name="ESSEX" localSheetId="3">#REF!</definedName>
    <definedName name="ESSEX" localSheetId="9">#REF!</definedName>
    <definedName name="ESSEX" localSheetId="6">#REF!</definedName>
    <definedName name="ESSEX">#REF!</definedName>
    <definedName name="EV__LASTREFTIME__" hidden="1">40339.4799074074</definedName>
    <definedName name="Expired" hidden="1">FALSE</definedName>
    <definedName name="F" localSheetId="7" hidden="1">{"bal",#N/A,FALSE,"working papers";"income",#N/A,FALSE,"working papers"}</definedName>
    <definedName name="F" localSheetId="9" hidden="1">{"bal",#N/A,FALSE,"working papers";"income",#N/A,FALSE,"working papers"}</definedName>
    <definedName name="F" hidden="1">{"bal",#N/A,FALSE,"working papers";"income",#N/A,FALSE,"working papers"}</definedName>
    <definedName name="fdraf" localSheetId="7" hidden="1">{"bal",#N/A,FALSE,"working papers";"income",#N/A,FALSE,"working papers"}</definedName>
    <definedName name="fdraf" localSheetId="9" hidden="1">{"bal",#N/A,FALSE,"working papers";"income",#N/A,FALSE,"working papers"}</definedName>
    <definedName name="fdraf" hidden="1">{"bal",#N/A,FALSE,"working papers";"income",#N/A,FALSE,"working papers"}</definedName>
    <definedName name="Fdraft" localSheetId="7" hidden="1">{"bal",#N/A,FALSE,"working papers";"income",#N/A,FALSE,"working papers"}</definedName>
    <definedName name="Fdraft" localSheetId="9" hidden="1">{"bal",#N/A,FALSE,"working papers";"income",#N/A,FALSE,"working papers"}</definedName>
    <definedName name="Fdraft" hidden="1">{"bal",#N/A,FALSE,"working papers";"income",#N/A,FALSE,"working papers"}</definedName>
    <definedName name="fe" localSheetId="7">#REF!</definedName>
    <definedName name="fe" localSheetId="4">#REF!</definedName>
    <definedName name="fe" localSheetId="3">#REF!</definedName>
    <definedName name="fe" localSheetId="9">#REF!</definedName>
    <definedName name="fe" localSheetId="6">#REF!</definedName>
    <definedName name="fe">#REF!</definedName>
    <definedName name="Foutput" localSheetId="7" hidden="1">#REF!</definedName>
    <definedName name="Foutput" localSheetId="4" hidden="1">#REF!</definedName>
    <definedName name="Foutput" localSheetId="3" hidden="1">#REF!</definedName>
    <definedName name="Foutput" localSheetId="16" hidden="1">#REF!</definedName>
    <definedName name="Foutput" localSheetId="9" hidden="1">#REF!</definedName>
    <definedName name="Foutput" localSheetId="21" hidden="1">#REF!</definedName>
    <definedName name="Foutput" localSheetId="14" hidden="1">#REF!</definedName>
    <definedName name="Foutput" localSheetId="6" hidden="1">#REF!</definedName>
    <definedName name="Foutput" hidden="1">#REF!</definedName>
    <definedName name="fsdfffd" localSheetId="7" hidden="1">#REF!</definedName>
    <definedName name="fsdfffd" localSheetId="4" hidden="1">#REF!</definedName>
    <definedName name="fsdfffd" localSheetId="3" hidden="1">#REF!</definedName>
    <definedName name="fsdfffd" localSheetId="16" hidden="1">#REF!</definedName>
    <definedName name="fsdfffd" localSheetId="9" hidden="1">#REF!</definedName>
    <definedName name="fsdfffd" localSheetId="21" hidden="1">#REF!</definedName>
    <definedName name="fsdfffd" localSheetId="14" hidden="1">#REF!</definedName>
    <definedName name="fsdfffd" localSheetId="6" hidden="1">#REF!</definedName>
    <definedName name="fsdfffd" hidden="1">#REF!</definedName>
    <definedName name="fsdfsd" localSheetId="7" hidden="1">#REF!</definedName>
    <definedName name="fsdfsd" localSheetId="4" hidden="1">#REF!</definedName>
    <definedName name="fsdfsd" localSheetId="3" hidden="1">#REF!</definedName>
    <definedName name="fsdfsd" localSheetId="16" hidden="1">#REF!</definedName>
    <definedName name="fsdfsd" localSheetId="9" hidden="1">#REF!</definedName>
    <definedName name="fsdfsd" localSheetId="21" hidden="1">#REF!</definedName>
    <definedName name="fsdfsd" localSheetId="14" hidden="1">#REF!</definedName>
    <definedName name="fsdfsd" localSheetId="6" hidden="1">#REF!</definedName>
    <definedName name="fsdfsd" hidden="1">#REF!</definedName>
    <definedName name="fsfds" localSheetId="7" hidden="1">#REF!</definedName>
    <definedName name="fsfds" localSheetId="4" hidden="1">#REF!</definedName>
    <definedName name="fsfds" localSheetId="3" hidden="1">#REF!</definedName>
    <definedName name="fsfds" localSheetId="16" hidden="1">#REF!</definedName>
    <definedName name="fsfds" localSheetId="9" hidden="1">#REF!</definedName>
    <definedName name="fsfds" localSheetId="21" hidden="1">#REF!</definedName>
    <definedName name="fsfds" localSheetId="14" hidden="1">#REF!</definedName>
    <definedName name="fsfds" localSheetId="6" hidden="1">#REF!</definedName>
    <definedName name="fsfds" hidden="1">#REF!</definedName>
    <definedName name="fsfsd" localSheetId="7" hidden="1">#REF!</definedName>
    <definedName name="fsfsd" localSheetId="4" hidden="1">#REF!</definedName>
    <definedName name="fsfsd" localSheetId="3" hidden="1">#REF!</definedName>
    <definedName name="fsfsd" localSheetId="16" hidden="1">#REF!</definedName>
    <definedName name="fsfsd" localSheetId="9" hidden="1">#REF!</definedName>
    <definedName name="fsfsd" localSheetId="21" hidden="1">#REF!</definedName>
    <definedName name="fsfsd" localSheetId="14" hidden="1">#REF!</definedName>
    <definedName name="fsfsd" localSheetId="6" hidden="1">#REF!</definedName>
    <definedName name="fsfsd" hidden="1">#REF!</definedName>
    <definedName name="General" localSheetId="7">#REF!</definedName>
    <definedName name="General" localSheetId="4">#REF!</definedName>
    <definedName name="General" localSheetId="3">#REF!</definedName>
    <definedName name="General" localSheetId="9">#REF!</definedName>
    <definedName name="General" localSheetId="6">#REF!</definedName>
    <definedName name="General">#REF!</definedName>
    <definedName name="General1" localSheetId="7">#REF!</definedName>
    <definedName name="General1" localSheetId="4">#REF!</definedName>
    <definedName name="General1" localSheetId="3">#REF!</definedName>
    <definedName name="General1" localSheetId="9">#REF!</definedName>
    <definedName name="General1" localSheetId="6">#REF!</definedName>
    <definedName name="General1">#REF!</definedName>
    <definedName name="General2" localSheetId="7">#REF!</definedName>
    <definedName name="General2" localSheetId="4">#REF!</definedName>
    <definedName name="General2" localSheetId="3">#REF!</definedName>
    <definedName name="General2" localSheetId="9">#REF!</definedName>
    <definedName name="General2" localSheetId="6">#REF!</definedName>
    <definedName name="General2">#REF!</definedName>
    <definedName name="GEOG9703" localSheetId="7">#REF!</definedName>
    <definedName name="GEOG9703" localSheetId="4">#REF!</definedName>
    <definedName name="GEOG9703" localSheetId="3">#REF!</definedName>
    <definedName name="GEOG9703" localSheetId="9">#REF!</definedName>
    <definedName name="GEOG9703" localSheetId="6">#REF!</definedName>
    <definedName name="GEOG9703">#REF!</definedName>
    <definedName name="gfff" localSheetId="7" hidden="1">{"CHARGE",#N/A,FALSE,"401C11"}</definedName>
    <definedName name="gfff" localSheetId="9" hidden="1">{"CHARGE",#N/A,FALSE,"401C11"}</definedName>
    <definedName name="gfff" hidden="1">{"CHARGE",#N/A,FALSE,"401C11"}</definedName>
    <definedName name="GLOS" localSheetId="7">#REF!</definedName>
    <definedName name="GLOS" localSheetId="4">#REF!</definedName>
    <definedName name="GLOS" localSheetId="3">#REF!</definedName>
    <definedName name="GLOS" localSheetId="9">#REF!</definedName>
    <definedName name="GLOS" localSheetId="6">#REF!</definedName>
    <definedName name="GLOS">#REF!</definedName>
    <definedName name="gross" localSheetId="7" hidden="1">{"GROSS",#N/A,FALSE,"401C11"}</definedName>
    <definedName name="gross" localSheetId="9" hidden="1">{"GROSS",#N/A,FALSE,"401C11"}</definedName>
    <definedName name="gross" hidden="1">{"GROSS",#N/A,FALSE,"401C11"}</definedName>
    <definedName name="gross1" localSheetId="7" hidden="1">{"GROSS",#N/A,FALSE,"401C11"}</definedName>
    <definedName name="gross1" localSheetId="9" hidden="1">{"GROSS",#N/A,FALSE,"401C11"}</definedName>
    <definedName name="gross1" hidden="1">{"GROSS",#N/A,FALSE,"401C11"}</definedName>
    <definedName name="GTR_MAN" localSheetId="7">#REF!</definedName>
    <definedName name="GTR_MAN" localSheetId="4">#REF!</definedName>
    <definedName name="GTR_MAN" localSheetId="3">#REF!</definedName>
    <definedName name="GTR_MAN" localSheetId="9">#REF!</definedName>
    <definedName name="GTR_MAN" localSheetId="6">#REF!</definedName>
    <definedName name="GTR_MAN">#REF!</definedName>
    <definedName name="GWENT" localSheetId="7">#REF!</definedName>
    <definedName name="GWENT" localSheetId="4">#REF!</definedName>
    <definedName name="GWENT" localSheetId="3">#REF!</definedName>
    <definedName name="GWENT" localSheetId="9">#REF!</definedName>
    <definedName name="GWENT" localSheetId="6">#REF!</definedName>
    <definedName name="GWENT">#REF!</definedName>
    <definedName name="GWYNEDD" localSheetId="7">#REF!</definedName>
    <definedName name="GWYNEDD" localSheetId="4">#REF!</definedName>
    <definedName name="GWYNEDD" localSheetId="3">#REF!</definedName>
    <definedName name="GWYNEDD" localSheetId="9">#REF!</definedName>
    <definedName name="GWYNEDD" localSheetId="6">#REF!</definedName>
    <definedName name="GWYNEDD">#REF!</definedName>
    <definedName name="HANTS" localSheetId="7">#REF!</definedName>
    <definedName name="HANTS" localSheetId="4">#REF!</definedName>
    <definedName name="HANTS" localSheetId="3">#REF!</definedName>
    <definedName name="HANTS" localSheetId="9">#REF!</definedName>
    <definedName name="HANTS" localSheetId="6">#REF!</definedName>
    <definedName name="HANTS">#REF!</definedName>
    <definedName name="hasdfjklhklj" localSheetId="7" hidden="1">{"NET",#N/A,FALSE,"401C11"}</definedName>
    <definedName name="hasdfjklhklj" localSheetId="9" hidden="1">{"NET",#N/A,FALSE,"401C11"}</definedName>
    <definedName name="hasdfjklhklj" hidden="1">{"NET",#N/A,FALSE,"401C11"}</definedName>
    <definedName name="help" localSheetId="7" hidden="1">{"CHARGE",#N/A,FALSE,"401C11"}</definedName>
    <definedName name="help" localSheetId="9" hidden="1">{"CHARGE",#N/A,FALSE,"401C11"}</definedName>
    <definedName name="help" hidden="1">{"CHARGE",#N/A,FALSE,"401C11"}</definedName>
    <definedName name="HEREFORD_W" localSheetId="7">#REF!</definedName>
    <definedName name="HEREFORD_W" localSheetId="4">#REF!</definedName>
    <definedName name="HEREFORD_W" localSheetId="3">#REF!</definedName>
    <definedName name="HEREFORD_W" localSheetId="9">#REF!</definedName>
    <definedName name="HEREFORD_W" localSheetId="6">#REF!</definedName>
    <definedName name="HEREFORD_W">#REF!</definedName>
    <definedName name="HERTS" localSheetId="7">#REF!</definedName>
    <definedName name="HERTS" localSheetId="4">#REF!</definedName>
    <definedName name="HERTS" localSheetId="3">#REF!</definedName>
    <definedName name="HERTS" localSheetId="9">#REF!</definedName>
    <definedName name="HERTS" localSheetId="6">#REF!</definedName>
    <definedName name="HERTS">#REF!</definedName>
    <definedName name="hghghhj" localSheetId="7" hidden="1">{"CHARGE",#N/A,FALSE,"401C11"}</definedName>
    <definedName name="hghghhj" localSheetId="9" hidden="1">{"CHARGE",#N/A,FALSE,"401C11"}</definedName>
    <definedName name="hghghhj" hidden="1">{"CHARGE",#N/A,FALSE,"401C11"}</definedName>
    <definedName name="HRG_Codes" localSheetId="4">#REF!</definedName>
    <definedName name="HRG_Codes" localSheetId="3">#REF!</definedName>
    <definedName name="HRG_Codes" localSheetId="9">#REF!</definedName>
    <definedName name="HRG_Codes" localSheetId="6">#REF!</definedName>
    <definedName name="HRG_Codes">#REF!</definedName>
    <definedName name="HTML_CodePage" hidden="1">1252</definedName>
    <definedName name="HTML_Control" localSheetId="7" hidden="1">{"'Trust by name'!$A$6:$E$350","'Trust by name'!$A$1:$D$348"}</definedName>
    <definedName name="HTML_Control" localSheetId="9"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7">#REF!</definedName>
    <definedName name="HUMBERSIDE" localSheetId="4">#REF!</definedName>
    <definedName name="HUMBERSIDE" localSheetId="3">#REF!</definedName>
    <definedName name="HUMBERSIDE" localSheetId="9">#REF!</definedName>
    <definedName name="HUMBERSIDE" localSheetId="6">#REF!</definedName>
    <definedName name="HUMBERSIDE">#REF!</definedName>
    <definedName name="I_OF_WIGHT" localSheetId="7">#REF!</definedName>
    <definedName name="I_OF_WIGHT" localSheetId="4">#REF!</definedName>
    <definedName name="I_OF_WIGHT" localSheetId="3">#REF!</definedName>
    <definedName name="I_OF_WIGHT" localSheetId="9">#REF!</definedName>
    <definedName name="I_OF_WIGHT" localSheetId="6">#REF!</definedName>
    <definedName name="I_OF_WIGHT">#REF!</definedName>
    <definedName name="ICD_Codes" localSheetId="7">#REF!</definedName>
    <definedName name="ICD_Codes" localSheetId="4">#REF!</definedName>
    <definedName name="ICD_Codes" localSheetId="3">#REF!</definedName>
    <definedName name="ICD_Codes" localSheetId="9">#REF!</definedName>
    <definedName name="ICD_Codes" localSheetId="6">#REF!</definedName>
    <definedName name="ICD_Codes">#REF!</definedName>
    <definedName name="interpretation">'[8]Catch up efficiency'!$I$7:$I$13</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localSheetId="7" hidden="1">#REF!</definedName>
    <definedName name="JFELL" localSheetId="4" hidden="1">#REF!</definedName>
    <definedName name="JFELL" localSheetId="3" hidden="1">#REF!</definedName>
    <definedName name="JFELL" localSheetId="16" hidden="1">#REF!</definedName>
    <definedName name="JFELL" localSheetId="9" hidden="1">#REF!</definedName>
    <definedName name="JFELL" localSheetId="21" hidden="1">#REF!</definedName>
    <definedName name="JFELL" localSheetId="14" hidden="1">#REF!</definedName>
    <definedName name="JFELL" localSheetId="6" hidden="1">#REF!</definedName>
    <definedName name="JFELL" hidden="1">#REF!</definedName>
    <definedName name="KENT" localSheetId="7">#REF!</definedName>
    <definedName name="KENT" localSheetId="4">#REF!</definedName>
    <definedName name="KENT" localSheetId="3">#REF!</definedName>
    <definedName name="KENT" localSheetId="16">#REF!</definedName>
    <definedName name="KENT" localSheetId="8">#REF!</definedName>
    <definedName name="KENT" localSheetId="9">#REF!</definedName>
    <definedName name="KENT" localSheetId="18">#REF!</definedName>
    <definedName name="KENT" localSheetId="10">#REF!</definedName>
    <definedName name="KENT" localSheetId="21">#REF!</definedName>
    <definedName name="KENT" localSheetId="14">#REF!</definedName>
    <definedName name="KENT" localSheetId="6">#REF!</definedName>
    <definedName name="KENT">#REF!</definedName>
    <definedName name="LANCS" localSheetId="7">#REF!</definedName>
    <definedName name="LANCS" localSheetId="4">#REF!</definedName>
    <definedName name="LANCS" localSheetId="3">#REF!</definedName>
    <definedName name="LANCS" localSheetId="16">#REF!</definedName>
    <definedName name="LANCS" localSheetId="8">#REF!</definedName>
    <definedName name="LANCS" localSheetId="9">#REF!</definedName>
    <definedName name="LANCS" localSheetId="18">#REF!</definedName>
    <definedName name="LANCS" localSheetId="10">#REF!</definedName>
    <definedName name="LANCS" localSheetId="21">#REF!</definedName>
    <definedName name="LANCS" localSheetId="14">#REF!</definedName>
    <definedName name="LANCS" localSheetId="6">#REF!</definedName>
    <definedName name="LANCS">#REF!</definedName>
    <definedName name="LEICS" localSheetId="7">#REF!</definedName>
    <definedName name="LEICS" localSheetId="4">#REF!</definedName>
    <definedName name="LEICS" localSheetId="3">#REF!</definedName>
    <definedName name="LEICS" localSheetId="16">#REF!</definedName>
    <definedName name="LEICS" localSheetId="8">#REF!</definedName>
    <definedName name="LEICS" localSheetId="9">#REF!</definedName>
    <definedName name="LEICS" localSheetId="18">#REF!</definedName>
    <definedName name="LEICS" localSheetId="10">#REF!</definedName>
    <definedName name="LEICS" localSheetId="21">#REF!</definedName>
    <definedName name="LEICS" localSheetId="14">#REF!</definedName>
    <definedName name="LEICS" localSheetId="6">#REF!</definedName>
    <definedName name="LEICS">#REF!</definedName>
    <definedName name="LINCS" localSheetId="7">#REF!</definedName>
    <definedName name="LINCS" localSheetId="4">#REF!</definedName>
    <definedName name="LINCS" localSheetId="3">#REF!</definedName>
    <definedName name="LINCS" localSheetId="16">#REF!</definedName>
    <definedName name="LINCS" localSheetId="8">#REF!</definedName>
    <definedName name="LINCS" localSheetId="9">#REF!</definedName>
    <definedName name="LINCS" localSheetId="18">#REF!</definedName>
    <definedName name="LINCS" localSheetId="10">#REF!</definedName>
    <definedName name="LINCS" localSheetId="21">#REF!</definedName>
    <definedName name="LINCS" localSheetId="14">#REF!</definedName>
    <definedName name="LINCS" localSheetId="6">#REF!</definedName>
    <definedName name="LINCS">#REF!</definedName>
    <definedName name="LONDON" localSheetId="7">#REF!</definedName>
    <definedName name="LONDON" localSheetId="4">#REF!</definedName>
    <definedName name="LONDON" localSheetId="3">#REF!</definedName>
    <definedName name="LONDON" localSheetId="16">#REF!</definedName>
    <definedName name="LONDON" localSheetId="8">#REF!</definedName>
    <definedName name="LONDON" localSheetId="9">#REF!</definedName>
    <definedName name="LONDON" localSheetId="18">#REF!</definedName>
    <definedName name="LONDON" localSheetId="10">#REF!</definedName>
    <definedName name="LONDON" localSheetId="21">#REF!</definedName>
    <definedName name="LONDON" localSheetId="14">#REF!</definedName>
    <definedName name="LONDON" localSheetId="6">#REF!</definedName>
    <definedName name="LONDON">#REF!</definedName>
    <definedName name="lst_acronyms" localSheetId="16">[9]F_Inputs_Clean!$C$7:$C$348</definedName>
    <definedName name="lst_acronyms" localSheetId="8">[9]F_Inputs_Clean!$C$7:$C$348</definedName>
    <definedName name="lst_acronyms" localSheetId="9">[9]F_Inputs_Clean!$C$7:$C$348</definedName>
    <definedName name="lst_acronyms" localSheetId="18">[9]F_Inputs_Clean!$C$7:$C$348</definedName>
    <definedName name="lst_acronyms" localSheetId="19">[9]F_Inputs_Clean!$C$7:$C$348</definedName>
    <definedName name="lst_acronyms" localSheetId="20">[9]F_Inputs_Clean!$C$7:$C$348</definedName>
    <definedName name="lst_acronyms" localSheetId="10">[9]F_Inputs_Clean!$C$7:$C$348</definedName>
    <definedName name="lst_acronyms" localSheetId="21">[9]F_Inputs_Clean!$C$7:$C$348</definedName>
    <definedName name="lst_acronyms" localSheetId="12">[9]F_Inputs_Clean!$C$7:$C$348</definedName>
    <definedName name="lst_acronyms" localSheetId="13">[9]F_Inputs_Clean!$C$7:$C$348</definedName>
    <definedName name="lst_acronyms" localSheetId="14">[9]F_Inputs_Clean!$C$7:$C$348</definedName>
    <definedName name="lst_acronyms">[9]F_Inputs_Clean!$C$7:$C$348</definedName>
    <definedName name="lst_all_companies" localSheetId="16">[9]Other_Inputs!$D$21:$U$21</definedName>
    <definedName name="lst_all_companies" localSheetId="8">[9]Other_Inputs!$D$21:$U$21</definedName>
    <definedName name="lst_all_companies" localSheetId="9">[9]Other_Inputs!$D$21:$U$21</definedName>
    <definedName name="lst_all_companies" localSheetId="18">[9]Other_Inputs!$D$21:$U$21</definedName>
    <definedName name="lst_all_companies" localSheetId="19">[9]Other_Inputs!$D$21:$U$21</definedName>
    <definedName name="lst_all_companies" localSheetId="20">[9]Other_Inputs!$D$21:$U$21</definedName>
    <definedName name="lst_all_companies" localSheetId="10">[9]Other_Inputs!$D$21:$U$21</definedName>
    <definedName name="lst_all_companies" localSheetId="21">[9]Other_Inputs!$D$21:$U$21</definedName>
    <definedName name="lst_all_companies" localSheetId="12">[9]Other_Inputs!$D$21:$U$21</definedName>
    <definedName name="lst_all_companies" localSheetId="13">[9]Other_Inputs!$D$21:$U$21</definedName>
    <definedName name="lst_all_companies" localSheetId="14">[9]Other_Inputs!$D$21:$U$21</definedName>
    <definedName name="lst_all_companies">[9]Other_Inputs!$D$21:$U$21</definedName>
    <definedName name="lst_menus" localSheetId="16">'[9]Menu design'!$D$10:$I$10</definedName>
    <definedName name="lst_menus" localSheetId="8">'[9]Menu design'!$D$10:$I$10</definedName>
    <definedName name="lst_menus" localSheetId="9">'[9]Menu design'!$D$10:$I$10</definedName>
    <definedName name="lst_menus" localSheetId="18">'[9]Menu design'!$D$10:$I$10</definedName>
    <definedName name="lst_menus" localSheetId="19">'[9]Menu design'!$D$10:$I$10</definedName>
    <definedName name="lst_menus" localSheetId="20">'[9]Menu design'!$D$10:$I$10</definedName>
    <definedName name="lst_menus" localSheetId="10">'[9]Menu design'!$D$10:$I$10</definedName>
    <definedName name="lst_menus" localSheetId="21">'[9]Menu design'!$D$10:$I$10</definedName>
    <definedName name="lst_menus" localSheetId="12">'[9]Menu design'!$D$10:$I$10</definedName>
    <definedName name="lst_menus" localSheetId="13">'[9]Menu design'!$D$10:$I$10</definedName>
    <definedName name="lst_menus" localSheetId="14">'[9]Menu design'!$D$10:$I$10</definedName>
    <definedName name="lst_menus">'[9]Menu design'!$D$10:$I$10</definedName>
    <definedName name="lst_reference" localSheetId="16">[9]F_Inputs_Clean!$D$7:$D$348</definedName>
    <definedName name="lst_reference" localSheetId="8">[9]F_Inputs_Clean!$D$7:$D$348</definedName>
    <definedName name="lst_reference" localSheetId="9">[9]F_Inputs_Clean!$D$7:$D$348</definedName>
    <definedName name="lst_reference" localSheetId="18">[9]F_Inputs_Clean!$D$7:$D$348</definedName>
    <definedName name="lst_reference" localSheetId="19">[9]F_Inputs_Clean!$D$7:$D$348</definedName>
    <definedName name="lst_reference" localSheetId="20">[9]F_Inputs_Clean!$D$7:$D$348</definedName>
    <definedName name="lst_reference" localSheetId="10">[9]F_Inputs_Clean!$D$7:$D$348</definedName>
    <definedName name="lst_reference" localSheetId="21">[9]F_Inputs_Clean!$D$7:$D$348</definedName>
    <definedName name="lst_reference" localSheetId="12">[9]F_Inputs_Clean!$D$7:$D$348</definedName>
    <definedName name="lst_reference" localSheetId="13">[9]F_Inputs_Clean!$D$7:$D$348</definedName>
    <definedName name="lst_reference" localSheetId="14">[9]F_Inputs_Clean!$D$7:$D$348</definedName>
    <definedName name="lst_reference">[9]F_Inputs_Clean!$D$7:$D$348</definedName>
    <definedName name="lst_scenarios" localSheetId="16">[9]Scenarios!$E$3:$J$3</definedName>
    <definedName name="lst_scenarios" localSheetId="8">[9]Scenarios!$E$3:$J$3</definedName>
    <definedName name="lst_scenarios" localSheetId="9">[9]Scenarios!$E$3:$J$3</definedName>
    <definedName name="lst_scenarios" localSheetId="18">[9]Scenarios!$E$3:$J$3</definedName>
    <definedName name="lst_scenarios" localSheetId="19">[9]Scenarios!$E$3:$J$3</definedName>
    <definedName name="lst_scenarios" localSheetId="20">[9]Scenarios!$E$3:$J$3</definedName>
    <definedName name="lst_scenarios" localSheetId="10">[9]Scenarios!$E$3:$J$3</definedName>
    <definedName name="lst_scenarios" localSheetId="21">[9]Scenarios!$E$3:$J$3</definedName>
    <definedName name="lst_scenarios" localSheetId="12">[9]Scenarios!$E$3:$J$3</definedName>
    <definedName name="lst_scenarios" localSheetId="13">[9]Scenarios!$E$3:$J$3</definedName>
    <definedName name="lst_scenarios" localSheetId="14">[9]Scenarios!$E$3:$J$3</definedName>
    <definedName name="lst_scenarios">[9]Scenarios!$E$3:$J$3</definedName>
    <definedName name="M_GLAM" localSheetId="7">#REF!</definedName>
    <definedName name="M_GLAM" localSheetId="4">#REF!</definedName>
    <definedName name="M_GLAM" localSheetId="3">#REF!</definedName>
    <definedName name="M_GLAM" localSheetId="9">#REF!</definedName>
    <definedName name="M_GLAM" localSheetId="6">#REF!</definedName>
    <definedName name="M_GLAM">#REF!</definedName>
    <definedName name="MERSEYSIDE" localSheetId="7">#REF!</definedName>
    <definedName name="MERSEYSIDE" localSheetId="4">#REF!</definedName>
    <definedName name="MERSEYSIDE" localSheetId="3">#REF!</definedName>
    <definedName name="MERSEYSIDE" localSheetId="9">#REF!</definedName>
    <definedName name="MERSEYSIDE" localSheetId="6">#REF!</definedName>
    <definedName name="MERSEYSIDE">#REF!</definedName>
    <definedName name="MFF_2014_15" localSheetId="7">#REF!</definedName>
    <definedName name="MFF_2014_15" localSheetId="4">#REF!</definedName>
    <definedName name="MFF_2014_15" localSheetId="3">#REF!</definedName>
    <definedName name="MFF_2014_15" localSheetId="9">#REF!</definedName>
    <definedName name="MFF_2014_15" localSheetId="6">#REF!</definedName>
    <definedName name="MFF_2014_15">#REF!</definedName>
    <definedName name="N_YORKS" localSheetId="7">#REF!</definedName>
    <definedName name="N_YORKS" localSheetId="4">#REF!</definedName>
    <definedName name="N_YORKS" localSheetId="3">#REF!</definedName>
    <definedName name="N_YORKS" localSheetId="9">#REF!</definedName>
    <definedName name="N_YORKS" localSheetId="6">#REF!</definedName>
    <definedName name="N_YORKS">#REF!</definedName>
    <definedName name="New" localSheetId="7" hidden="1">#REF!</definedName>
    <definedName name="New" localSheetId="4" hidden="1">#REF!</definedName>
    <definedName name="New" localSheetId="3" hidden="1">#REF!</definedName>
    <definedName name="New" localSheetId="16" hidden="1">#REF!</definedName>
    <definedName name="New" localSheetId="9" hidden="1">#REF!</definedName>
    <definedName name="New" localSheetId="21" hidden="1">#REF!</definedName>
    <definedName name="New" localSheetId="14" hidden="1">#REF!</definedName>
    <definedName name="New" localSheetId="6" hidden="1">#REF!</definedName>
    <definedName name="New" hidden="1">#REF!</definedName>
    <definedName name="NORFOLK" localSheetId="7">#REF!</definedName>
    <definedName name="NORFOLK" localSheetId="4">#REF!</definedName>
    <definedName name="NORFOLK" localSheetId="3">#REF!</definedName>
    <definedName name="NORFOLK" localSheetId="9">#REF!</definedName>
    <definedName name="NORFOLK" localSheetId="6">#REF!</definedName>
    <definedName name="NORFOLK">#REF!</definedName>
    <definedName name="NORTHANTS" localSheetId="7">#REF!</definedName>
    <definedName name="NORTHANTS" localSheetId="4">#REF!</definedName>
    <definedName name="NORTHANTS" localSheetId="3">#REF!</definedName>
    <definedName name="NORTHANTS" localSheetId="9">#REF!</definedName>
    <definedName name="NORTHANTS" localSheetId="6">#REF!</definedName>
    <definedName name="NORTHANTS">#REF!</definedName>
    <definedName name="NORTHUMBERLAND" localSheetId="7">#REF!</definedName>
    <definedName name="NORTHUMBERLAND" localSheetId="4">#REF!</definedName>
    <definedName name="NORTHUMBERLAND" localSheetId="3">#REF!</definedName>
    <definedName name="NORTHUMBERLAND" localSheetId="9">#REF!</definedName>
    <definedName name="NORTHUMBERLAND" localSheetId="6">#REF!</definedName>
    <definedName name="NORTHUMBERLAND">#REF!</definedName>
    <definedName name="NOTTS" localSheetId="7">#REF!</definedName>
    <definedName name="NOTTS" localSheetId="4">#REF!</definedName>
    <definedName name="NOTTS" localSheetId="3">#REF!</definedName>
    <definedName name="NOTTS" localSheetId="9">#REF!</definedName>
    <definedName name="NOTTS" localSheetId="6">#REF!</definedName>
    <definedName name="NOTTS">#REF!</definedName>
    <definedName name="ODS_Care_Trust_List" localSheetId="7">#REF!</definedName>
    <definedName name="ODS_Care_Trust_List" localSheetId="4">#REF!</definedName>
    <definedName name="ODS_Care_Trust_List" localSheetId="3">#REF!</definedName>
    <definedName name="ODS_Care_Trust_List" localSheetId="9">#REF!</definedName>
    <definedName name="ODS_Care_Trust_List" localSheetId="6">#REF!</definedName>
    <definedName name="ODS_Care_Trust_List">#REF!</definedName>
    <definedName name="ODS_List" localSheetId="7">#REF!</definedName>
    <definedName name="ODS_List" localSheetId="4">#REF!</definedName>
    <definedName name="ODS_List" localSheetId="3">#REF!</definedName>
    <definedName name="ODS_List" localSheetId="9">#REF!</definedName>
    <definedName name="ODS_List" localSheetId="6">#REF!</definedName>
    <definedName name="ODS_List">#REF!</definedName>
    <definedName name="OISIII" localSheetId="7" hidden="1">#REF!</definedName>
    <definedName name="OISIII" localSheetId="4" hidden="1">#REF!</definedName>
    <definedName name="OISIII" localSheetId="3" hidden="1">#REF!</definedName>
    <definedName name="OISIII" localSheetId="16" hidden="1">#REF!</definedName>
    <definedName name="OISIII" localSheetId="9" hidden="1">#REF!</definedName>
    <definedName name="OISIII" localSheetId="21" hidden="1">#REF!</definedName>
    <definedName name="OISIII" localSheetId="14" hidden="1">#REF!</definedName>
    <definedName name="OISIII" localSheetId="6" hidden="1">#REF!</definedName>
    <definedName name="OISIII" hidden="1">#REF!</definedName>
    <definedName name="OPCS_Codes" localSheetId="7">#REF!</definedName>
    <definedName name="OPCS_Codes" localSheetId="4">#REF!</definedName>
    <definedName name="OPCS_Codes" localSheetId="3">#REF!</definedName>
    <definedName name="OPCS_Codes" localSheetId="9">#REF!</definedName>
    <definedName name="OPCS_Codes" localSheetId="6">#REF!</definedName>
    <definedName name="OPCS_Codes">#REF!</definedName>
    <definedName name="opt_actuals" localSheetId="16">'[9]Control Panel'!$H$22</definedName>
    <definedName name="opt_actuals" localSheetId="8">'[9]Control Panel'!$H$22</definedName>
    <definedName name="opt_actuals" localSheetId="9">'[9]Control Panel'!$H$22</definedName>
    <definedName name="opt_actuals" localSheetId="18">'[9]Control Panel'!$H$22</definedName>
    <definedName name="opt_actuals" localSheetId="19">'[9]Control Panel'!$H$22</definedName>
    <definedName name="opt_actuals" localSheetId="20">'[9]Control Panel'!$H$22</definedName>
    <definedName name="opt_actuals" localSheetId="10">'[9]Control Panel'!$H$22</definedName>
    <definedName name="opt_actuals" localSheetId="21">'[9]Control Panel'!$H$22</definedName>
    <definedName name="opt_actuals" localSheetId="12">'[9]Control Panel'!$H$22</definedName>
    <definedName name="opt_actuals" localSheetId="13">'[9]Control Panel'!$H$22</definedName>
    <definedName name="opt_actuals" localSheetId="14">'[9]Control Panel'!$H$22</definedName>
    <definedName name="opt_actuals">'[9]Control Panel'!$H$22</definedName>
    <definedName name="opt_actuals_percentage" localSheetId="16">'[9]Control Panel'!$H$26</definedName>
    <definedName name="opt_actuals_percentage" localSheetId="8">'[9]Control Panel'!$H$26</definedName>
    <definedName name="opt_actuals_percentage" localSheetId="9">'[9]Control Panel'!$H$26</definedName>
    <definedName name="opt_actuals_percentage" localSheetId="18">'[9]Control Panel'!$H$26</definedName>
    <definedName name="opt_actuals_percentage" localSheetId="19">'[9]Control Panel'!$H$26</definedName>
    <definedName name="opt_actuals_percentage" localSheetId="20">'[9]Control Panel'!$H$26</definedName>
    <definedName name="opt_actuals_percentage" localSheetId="10">'[9]Control Panel'!$H$26</definedName>
    <definedName name="opt_actuals_percentage" localSheetId="21">'[9]Control Panel'!$H$26</definedName>
    <definedName name="opt_actuals_percentage" localSheetId="12">'[9]Control Panel'!$H$26</definedName>
    <definedName name="opt_actuals_percentage" localSheetId="13">'[9]Control Panel'!$H$26</definedName>
    <definedName name="opt_actuals_percentage" localSheetId="14">'[9]Control Panel'!$H$26</definedName>
    <definedName name="opt_actuals_percentage">'[9]Control Panel'!$H$26</definedName>
    <definedName name="opt_baseline_bid_threshold" localSheetId="16">'[9]Control Panel'!$H$18</definedName>
    <definedName name="opt_baseline_bid_threshold" localSheetId="8">'[9]Control Panel'!$H$18</definedName>
    <definedName name="opt_baseline_bid_threshold" localSheetId="9">'[9]Control Panel'!$H$18</definedName>
    <definedName name="opt_baseline_bid_threshold" localSheetId="18">'[9]Control Panel'!$H$18</definedName>
    <definedName name="opt_baseline_bid_threshold" localSheetId="19">'[9]Control Panel'!$H$18</definedName>
    <definedName name="opt_baseline_bid_threshold" localSheetId="20">'[9]Control Panel'!$H$18</definedName>
    <definedName name="opt_baseline_bid_threshold" localSheetId="10">'[9]Control Panel'!$H$18</definedName>
    <definedName name="opt_baseline_bid_threshold" localSheetId="21">'[9]Control Panel'!$H$18</definedName>
    <definedName name="opt_baseline_bid_threshold" localSheetId="12">'[9]Control Panel'!$H$18</definedName>
    <definedName name="opt_baseline_bid_threshold" localSheetId="13">'[9]Control Panel'!$H$18</definedName>
    <definedName name="opt_baseline_bid_threshold" localSheetId="14">'[9]Control Panel'!$H$18</definedName>
    <definedName name="opt_baseline_bid_threshold">'[9]Control Panel'!$H$18</definedName>
    <definedName name="opt_baseline_cap" localSheetId="16">'[9]Control Panel'!$H$20</definedName>
    <definedName name="opt_baseline_cap" localSheetId="8">'[9]Control Panel'!$H$20</definedName>
    <definedName name="opt_baseline_cap" localSheetId="9">'[9]Control Panel'!$H$20</definedName>
    <definedName name="opt_baseline_cap" localSheetId="18">'[9]Control Panel'!$H$20</definedName>
    <definedName name="opt_baseline_cap" localSheetId="19">'[9]Control Panel'!$H$20</definedName>
    <definedName name="opt_baseline_cap" localSheetId="20">'[9]Control Panel'!$H$20</definedName>
    <definedName name="opt_baseline_cap" localSheetId="10">'[9]Control Panel'!$H$20</definedName>
    <definedName name="opt_baseline_cap" localSheetId="21">'[9]Control Panel'!$H$20</definedName>
    <definedName name="opt_baseline_cap" localSheetId="12">'[9]Control Panel'!$H$20</definedName>
    <definedName name="opt_baseline_cap" localSheetId="13">'[9]Control Panel'!$H$20</definedName>
    <definedName name="opt_baseline_cap" localSheetId="14">'[9]Control Panel'!$H$20</definedName>
    <definedName name="opt_baseline_cap">'[9]Control Panel'!$H$20</definedName>
    <definedName name="opt_bids" localSheetId="16">'[9]Control Panel'!$H$13</definedName>
    <definedName name="opt_bids" localSheetId="8">'[9]Control Panel'!$H$13</definedName>
    <definedName name="opt_bids" localSheetId="9">'[9]Control Panel'!$H$13</definedName>
    <definedName name="opt_bids" localSheetId="18">'[9]Control Panel'!$H$13</definedName>
    <definedName name="opt_bids" localSheetId="19">'[9]Control Panel'!$H$13</definedName>
    <definedName name="opt_bids" localSheetId="20">'[9]Control Panel'!$H$13</definedName>
    <definedName name="opt_bids" localSheetId="10">'[9]Control Panel'!$H$13</definedName>
    <definedName name="opt_bids" localSheetId="21">'[9]Control Panel'!$H$13</definedName>
    <definedName name="opt_bids" localSheetId="12">'[9]Control Panel'!$H$13</definedName>
    <definedName name="opt_bids" localSheetId="13">'[9]Control Panel'!$H$13</definedName>
    <definedName name="opt_bids" localSheetId="14">'[9]Control Panel'!$H$13</definedName>
    <definedName name="opt_bids">'[9]Control Panel'!$H$13</definedName>
    <definedName name="opt_bids_percentage" localSheetId="16">'[9]Control Panel'!$H$16</definedName>
    <definedName name="opt_bids_percentage" localSheetId="8">'[9]Control Panel'!$H$16</definedName>
    <definedName name="opt_bids_percentage" localSheetId="9">'[9]Control Panel'!$H$16</definedName>
    <definedName name="opt_bids_percentage" localSheetId="18">'[9]Control Panel'!$H$16</definedName>
    <definedName name="opt_bids_percentage" localSheetId="19">'[9]Control Panel'!$H$16</definedName>
    <definedName name="opt_bids_percentage" localSheetId="20">'[9]Control Panel'!$H$16</definedName>
    <definedName name="opt_bids_percentage" localSheetId="10">'[9]Control Panel'!$H$16</definedName>
    <definedName name="opt_bids_percentage" localSheetId="21">'[9]Control Panel'!$H$16</definedName>
    <definedName name="opt_bids_percentage" localSheetId="12">'[9]Control Panel'!$H$16</definedName>
    <definedName name="opt_bids_percentage" localSheetId="13">'[9]Control Panel'!$H$16</definedName>
    <definedName name="opt_bids_percentage" localSheetId="14">'[9]Control Panel'!$H$16</definedName>
    <definedName name="opt_bids_percentage">'[9]Control Panel'!$H$16</definedName>
    <definedName name="opt_gearing" localSheetId="16">'[9]Control Panel'!$H$44</definedName>
    <definedName name="opt_gearing" localSheetId="8">'[9]Control Panel'!$H$44</definedName>
    <definedName name="opt_gearing" localSheetId="9">'[9]Control Panel'!$H$44</definedName>
    <definedName name="opt_gearing" localSheetId="18">'[9]Control Panel'!$H$44</definedName>
    <definedName name="opt_gearing" localSheetId="19">'[9]Control Panel'!$H$44</definedName>
    <definedName name="opt_gearing" localSheetId="20">'[9]Control Panel'!$H$44</definedName>
    <definedName name="opt_gearing" localSheetId="10">'[9]Control Panel'!$H$44</definedName>
    <definedName name="opt_gearing" localSheetId="21">'[9]Control Panel'!$H$44</definedName>
    <definedName name="opt_gearing" localSheetId="12">'[9]Control Panel'!$H$44</definedName>
    <definedName name="opt_gearing" localSheetId="13">'[9]Control Panel'!$H$44</definedName>
    <definedName name="opt_gearing" localSheetId="14">'[9]Control Panel'!$H$44</definedName>
    <definedName name="opt_gearing">'[9]Control Panel'!$H$44</definedName>
    <definedName name="opt_tax" localSheetId="16">'[9]Control Panel'!$H$46</definedName>
    <definedName name="opt_tax" localSheetId="8">'[9]Control Panel'!$H$46</definedName>
    <definedName name="opt_tax" localSheetId="9">'[9]Control Panel'!$H$46</definedName>
    <definedName name="opt_tax" localSheetId="18">'[9]Control Panel'!$H$46</definedName>
    <definedName name="opt_tax" localSheetId="19">'[9]Control Panel'!$H$46</definedName>
    <definedName name="opt_tax" localSheetId="20">'[9]Control Panel'!$H$46</definedName>
    <definedName name="opt_tax" localSheetId="10">'[9]Control Panel'!$H$46</definedName>
    <definedName name="opt_tax" localSheetId="21">'[9]Control Panel'!$H$46</definedName>
    <definedName name="opt_tax" localSheetId="12">'[9]Control Panel'!$H$46</definedName>
    <definedName name="opt_tax" localSheetId="13">'[9]Control Panel'!$H$46</definedName>
    <definedName name="opt_tax" localSheetId="14">'[9]Control Panel'!$H$46</definedName>
    <definedName name="opt_tax">'[9]Control Panel'!$H$46</definedName>
    <definedName name="opt_wacc" localSheetId="16">'[9]Control Panel'!$H$42</definedName>
    <definedName name="opt_wacc" localSheetId="8">'[9]Control Panel'!$H$42</definedName>
    <definedName name="opt_wacc" localSheetId="9">'[9]Control Panel'!$H$42</definedName>
    <definedName name="opt_wacc" localSheetId="18">'[9]Control Panel'!$H$42</definedName>
    <definedName name="opt_wacc" localSheetId="19">'[9]Control Panel'!$H$42</definedName>
    <definedName name="opt_wacc" localSheetId="20">'[9]Control Panel'!$H$42</definedName>
    <definedName name="opt_wacc" localSheetId="10">'[9]Control Panel'!$H$42</definedName>
    <definedName name="opt_wacc" localSheetId="21">'[9]Control Panel'!$H$42</definedName>
    <definedName name="opt_wacc" localSheetId="12">'[9]Control Panel'!$H$42</definedName>
    <definedName name="opt_wacc" localSheetId="13">'[9]Control Panel'!$H$42</definedName>
    <definedName name="opt_wacc" localSheetId="14">'[9]Control Panel'!$H$42</definedName>
    <definedName name="opt_wacc">'[9]Control Panel'!$H$42</definedName>
    <definedName name="OXON" localSheetId="7">#REF!</definedName>
    <definedName name="OXON" localSheetId="4">#REF!</definedName>
    <definedName name="OXON" localSheetId="3">#REF!</definedName>
    <definedName name="OXON" localSheetId="9">#REF!</definedName>
    <definedName name="OXON" localSheetId="6">#REF!</definedName>
    <definedName name="OXON">#REF!</definedName>
    <definedName name="POWYS" localSheetId="7">#REF!</definedName>
    <definedName name="POWYS" localSheetId="4">#REF!</definedName>
    <definedName name="POWYS" localSheetId="3">#REF!</definedName>
    <definedName name="POWYS" localSheetId="9">#REF!</definedName>
    <definedName name="POWYS" localSheetId="6">#REF!</definedName>
    <definedName name="POWYS">#REF!</definedName>
    <definedName name="qfx" localSheetId="7" hidden="1">{"NET",#N/A,FALSE,"401C11"}</definedName>
    <definedName name="qfx" localSheetId="9" hidden="1">{"NET",#N/A,FALSE,"401C11"}</definedName>
    <definedName name="qfx" hidden="1">{"NET",#N/A,FALSE,"401C11"}</definedName>
    <definedName name="qwefqefa" localSheetId="7" hidden="1">#REF!</definedName>
    <definedName name="qwefqefa" localSheetId="4" hidden="1">#REF!</definedName>
    <definedName name="qwefqefa" localSheetId="3" hidden="1">#REF!</definedName>
    <definedName name="qwefqefa" localSheetId="16" hidden="1">#REF!</definedName>
    <definedName name="qwefqefa" localSheetId="9" hidden="1">#REF!</definedName>
    <definedName name="qwefqefa" localSheetId="21" hidden="1">#REF!</definedName>
    <definedName name="qwefqefa" localSheetId="14" hidden="1">#REF!</definedName>
    <definedName name="qwefqefa" localSheetId="6" hidden="1">#REF!</definedName>
    <definedName name="qwefqefa" hidden="1">#REF!</definedName>
    <definedName name="real" localSheetId="7" hidden="1">#REF!</definedName>
    <definedName name="real" localSheetId="4" hidden="1">#REF!</definedName>
    <definedName name="real" localSheetId="3" hidden="1">#REF!</definedName>
    <definedName name="real" localSheetId="16" hidden="1">#REF!</definedName>
    <definedName name="real" localSheetId="9" hidden="1">#REF!</definedName>
    <definedName name="real" localSheetId="21" hidden="1">#REF!</definedName>
    <definedName name="real" localSheetId="14" hidden="1">#REF!</definedName>
    <definedName name="real" localSheetId="6" hidden="1">#REF!</definedName>
    <definedName name="real" hidden="1">#REF!</definedName>
    <definedName name="rge" localSheetId="7">#REF!</definedName>
    <definedName name="rge" localSheetId="4">#REF!</definedName>
    <definedName name="rge" localSheetId="3">#REF!</definedName>
    <definedName name="rge" localSheetId="9">#REF!</definedName>
    <definedName name="rge" localSheetId="6">#REF!</definedName>
    <definedName name="rge">#REF!</definedName>
    <definedName name="rgwer" localSheetId="7">#REF!</definedName>
    <definedName name="rgwer" localSheetId="4">#REF!</definedName>
    <definedName name="rgwer" localSheetId="3">#REF!</definedName>
    <definedName name="rgwer" localSheetId="9">#REF!</definedName>
    <definedName name="rgwer" localSheetId="6">#REF!</definedName>
    <definedName name="rgwe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und_dp" localSheetId="7">#REF!</definedName>
    <definedName name="round_dp" localSheetId="4">#REF!</definedName>
    <definedName name="round_dp" localSheetId="3">#REF!</definedName>
    <definedName name="round_dp" localSheetId="9">#REF!</definedName>
    <definedName name="round_dp" localSheetId="6">#REF!</definedName>
    <definedName name="round_dp">#REF!</definedName>
    <definedName name="rytry" localSheetId="7" hidden="1">{"NET",#N/A,FALSE,"401C11"}</definedName>
    <definedName name="rytry" localSheetId="9" hidden="1">{"NET",#N/A,FALSE,"401C11"}</definedName>
    <definedName name="rytry" hidden="1">{"NET",#N/A,FALSE,"401C11"}</definedName>
    <definedName name="S_GLAM" localSheetId="7">#REF!</definedName>
    <definedName name="S_GLAM" localSheetId="4">#REF!</definedName>
    <definedName name="S_GLAM" localSheetId="3">#REF!</definedName>
    <definedName name="S_GLAM" localSheetId="9">#REF!</definedName>
    <definedName name="S_GLAM" localSheetId="6">#REF!</definedName>
    <definedName name="S_GLAM">#REF!</definedName>
    <definedName name="S_YORKS" localSheetId="7">#REF!</definedName>
    <definedName name="S_YORKS" localSheetId="4">#REF!</definedName>
    <definedName name="S_YORKS" localSheetId="3">#REF!</definedName>
    <definedName name="S_YORKS" localSheetId="9">#REF!</definedName>
    <definedName name="S_YORKS" localSheetId="6">#REF!</definedName>
    <definedName name="S_YORKS">#REF!</definedName>
    <definedName name="SAPBEXrevision" hidden="1">1</definedName>
    <definedName name="SAPBEXsysID" hidden="1">"BWB"</definedName>
    <definedName name="SAPBEXwbID" hidden="1">"49ZLUKBQR0WG29D9LLI3IBIIT"</definedName>
    <definedName name="SHROPS" localSheetId="7">#REF!</definedName>
    <definedName name="SHROPS" localSheetId="4">#REF!</definedName>
    <definedName name="SHROPS" localSheetId="3">#REF!</definedName>
    <definedName name="SHROPS" localSheetId="9">#REF!</definedName>
    <definedName name="SHROPS" localSheetId="6">#REF!</definedName>
    <definedName name="SHROPS">#REF!</definedName>
    <definedName name="SOMERSET" localSheetId="7">#REF!</definedName>
    <definedName name="SOMERSET" localSheetId="4">#REF!</definedName>
    <definedName name="SOMERSET" localSheetId="3">#REF!</definedName>
    <definedName name="SOMERSET" localSheetId="9">#REF!</definedName>
    <definedName name="SOMERSET" localSheetId="6">#REF!</definedName>
    <definedName name="SOMERSET">#REF!</definedName>
    <definedName name="sort" localSheetId="7" hidden="1">#REF!</definedName>
    <definedName name="sort" localSheetId="4" hidden="1">#REF!</definedName>
    <definedName name="sort" localSheetId="3" hidden="1">#REF!</definedName>
    <definedName name="sort" localSheetId="16" hidden="1">#REF!</definedName>
    <definedName name="sort" localSheetId="9" hidden="1">#REF!</definedName>
    <definedName name="sort" localSheetId="21" hidden="1">#REF!</definedName>
    <definedName name="sort" localSheetId="14" hidden="1">#REF!</definedName>
    <definedName name="sort" localSheetId="6" hidden="1">#REF!</definedName>
    <definedName name="sort" hidden="1">#REF!</definedName>
    <definedName name="STAFFS" localSheetId="7">#REF!</definedName>
    <definedName name="STAFFS" localSheetId="4">#REF!</definedName>
    <definedName name="STAFFS" localSheetId="3">#REF!</definedName>
    <definedName name="STAFFS" localSheetId="9">#REF!</definedName>
    <definedName name="STAFFS" localSheetId="6">#REF!</definedName>
    <definedName name="STAFFS">#REF!</definedName>
    <definedName name="SUFFOLK" localSheetId="7">#REF!</definedName>
    <definedName name="SUFFOLK" localSheetId="4">#REF!</definedName>
    <definedName name="SUFFOLK" localSheetId="3">#REF!</definedName>
    <definedName name="SUFFOLK" localSheetId="9">#REF!</definedName>
    <definedName name="SUFFOLK" localSheetId="6">#REF!</definedName>
    <definedName name="SUFFOLK">#REF!</definedName>
    <definedName name="SURREY" localSheetId="7">#REF!</definedName>
    <definedName name="SURREY" localSheetId="4">#REF!</definedName>
    <definedName name="SURREY" localSheetId="3">#REF!</definedName>
    <definedName name="SURREY" localSheetId="9">#REF!</definedName>
    <definedName name="SURREY" localSheetId="6">#REF!</definedName>
    <definedName name="SURREY">#REF!</definedName>
    <definedName name="Table3.4" localSheetId="7" hidden="1">{"CHARGE",#N/A,FALSE,"401C11"}</definedName>
    <definedName name="Table3.4" localSheetId="9" hidden="1">{"CHARGE",#N/A,FALSE,"401C11"}</definedName>
    <definedName name="Table3.4" hidden="1">{"CHARGE",#N/A,FALSE,"401C11"}</definedName>
    <definedName name="Test23" localSheetId="7" hidden="1">{"NET",#N/A,FALSE,"401C11"}</definedName>
    <definedName name="Test23" localSheetId="9" hidden="1">{"NET",#N/A,FALSE,"401C11"}</definedName>
    <definedName name="Test23" hidden="1">{"NET",#N/A,FALSE,"401C11"}</definedName>
    <definedName name="time">'[8]Catch up efficiency'!$C$6:$H$6</definedName>
    <definedName name="trdhtr" localSheetId="7" hidden="1">#REF!</definedName>
    <definedName name="trdhtr" localSheetId="4" hidden="1">#REF!</definedName>
    <definedName name="trdhtr" localSheetId="3" hidden="1">#REF!</definedName>
    <definedName name="trdhtr" localSheetId="16" hidden="1">#REF!</definedName>
    <definedName name="trdhtr" localSheetId="9" hidden="1">#REF!</definedName>
    <definedName name="trdhtr" localSheetId="21" hidden="1">#REF!</definedName>
    <definedName name="trdhtr" localSheetId="14" hidden="1">#REF!</definedName>
    <definedName name="trdhtr" localSheetId="6" hidden="1">#REF!</definedName>
    <definedName name="trdhtr" hidden="1">#REF!</definedName>
    <definedName name="TRK_TOL" localSheetId="7">[7]InpActive!$F$1895</definedName>
    <definedName name="TRK_TOL">[7]InpActive!$F$1895</definedName>
    <definedName name="TYNE_WEAR" localSheetId="7">#REF!</definedName>
    <definedName name="TYNE_WEAR" localSheetId="4">#REF!</definedName>
    <definedName name="TYNE_WEAR" localSheetId="3">#REF!</definedName>
    <definedName name="TYNE_WEAR" localSheetId="9">#REF!</definedName>
    <definedName name="TYNE_WEAR" localSheetId="6">#REF!</definedName>
    <definedName name="TYNE_WEAR">#REF!</definedName>
    <definedName name="W_GLAM" localSheetId="7">#REF!</definedName>
    <definedName name="W_GLAM" localSheetId="4">#REF!</definedName>
    <definedName name="W_GLAM" localSheetId="3">#REF!</definedName>
    <definedName name="W_GLAM" localSheetId="9">#REF!</definedName>
    <definedName name="W_GLAM" localSheetId="6">#REF!</definedName>
    <definedName name="W_GLAM">#REF!</definedName>
    <definedName name="W_MIDS" localSheetId="7">#REF!</definedName>
    <definedName name="W_MIDS" localSheetId="4">#REF!</definedName>
    <definedName name="W_MIDS" localSheetId="3">#REF!</definedName>
    <definedName name="W_MIDS" localSheetId="9">#REF!</definedName>
    <definedName name="W_MIDS" localSheetId="6">#REF!</definedName>
    <definedName name="W_MIDS">#REF!</definedName>
    <definedName name="W_SUSSEX" localSheetId="7">#REF!</definedName>
    <definedName name="W_SUSSEX" localSheetId="4">#REF!</definedName>
    <definedName name="W_SUSSEX" localSheetId="3">#REF!</definedName>
    <definedName name="W_SUSSEX" localSheetId="9">#REF!</definedName>
    <definedName name="W_SUSSEX" localSheetId="6">#REF!</definedName>
    <definedName name="W_SUSSEX">#REF!</definedName>
    <definedName name="W_YORKS" localSheetId="7">#REF!</definedName>
    <definedName name="W_YORKS" localSheetId="4">#REF!</definedName>
    <definedName name="W_YORKS" localSheetId="3">#REF!</definedName>
    <definedName name="W_YORKS" localSheetId="9">#REF!</definedName>
    <definedName name="W_YORKS" localSheetId="6">#REF!</definedName>
    <definedName name="W_YORKS">#REF!</definedName>
    <definedName name="WARWICKS" localSheetId="7">#REF!</definedName>
    <definedName name="WARWICKS" localSheetId="4">#REF!</definedName>
    <definedName name="WARWICKS" localSheetId="3">#REF!</definedName>
    <definedName name="WARWICKS" localSheetId="9">#REF!</definedName>
    <definedName name="WARWICKS" localSheetId="6">#REF!</definedName>
    <definedName name="WARWICKS">#REF!</definedName>
    <definedName name="wdfw" localSheetId="7">#REF!</definedName>
    <definedName name="wdfw" localSheetId="4">#REF!</definedName>
    <definedName name="wdfw" localSheetId="3">#REF!</definedName>
    <definedName name="wdfw" localSheetId="9">#REF!</definedName>
    <definedName name="wdfw" localSheetId="6">#REF!</definedName>
    <definedName name="wdfw">#REF!</definedName>
    <definedName name="wedfw" localSheetId="7">#REF!</definedName>
    <definedName name="wedfw" localSheetId="4">#REF!</definedName>
    <definedName name="wedfw" localSheetId="3">#REF!</definedName>
    <definedName name="wedfw" localSheetId="9">#REF!</definedName>
    <definedName name="wedfw" localSheetId="6">#REF!</definedName>
    <definedName name="wedfw">#REF!</definedName>
    <definedName name="wefw" localSheetId="7">#REF!</definedName>
    <definedName name="wefw" localSheetId="4">#REF!</definedName>
    <definedName name="wefw" localSheetId="3">#REF!</definedName>
    <definedName name="wefw" localSheetId="9">#REF!</definedName>
    <definedName name="wefw" localSheetId="6">#REF!</definedName>
    <definedName name="wefw">#REF!</definedName>
    <definedName name="wefwe" localSheetId="7">#REF!</definedName>
    <definedName name="wefwe" localSheetId="4">#REF!</definedName>
    <definedName name="wefwe" localSheetId="3">#REF!</definedName>
    <definedName name="wefwe" localSheetId="9">#REF!</definedName>
    <definedName name="wefwe" localSheetId="6">#REF!</definedName>
    <definedName name="wefwe">#REF!</definedName>
    <definedName name="wefwerf" localSheetId="7">#REF!</definedName>
    <definedName name="wefwerf" localSheetId="4">#REF!</definedName>
    <definedName name="wefwerf" localSheetId="3">#REF!</definedName>
    <definedName name="wefwerf" localSheetId="9">#REF!</definedName>
    <definedName name="wefwerf" localSheetId="6">#REF!</definedName>
    <definedName name="wefwerf">#REF!</definedName>
    <definedName name="wert" localSheetId="7" hidden="1">{"GROSS",#N/A,FALSE,"401C11"}</definedName>
    <definedName name="wert" localSheetId="9" hidden="1">{"GROSS",#N/A,FALSE,"401C11"}</definedName>
    <definedName name="wert" hidden="1">{"GROSS",#N/A,FALSE,"401C11"}</definedName>
    <definedName name="WILTS" localSheetId="7">#REF!</definedName>
    <definedName name="WILTS" localSheetId="4">#REF!</definedName>
    <definedName name="WILTS" localSheetId="3">#REF!</definedName>
    <definedName name="WILTS" localSheetId="9">#REF!</definedName>
    <definedName name="WILTS" localSheetId="6">#REF!</definedName>
    <definedName name="WILTS">#REF!</definedName>
    <definedName name="WN6020042020_21">'[10]F_Inputs TMS'!$Q$45</definedName>
    <definedName name="WN6020042021_22">'[10]F_Inputs TMS'!$R$45</definedName>
    <definedName name="WN6020042022_23">'[10]F_Inputs TMS'!$S$45</definedName>
    <definedName name="WN6020042023_24">'[10]F_Inputs TMS'!$T$45</definedName>
    <definedName name="WN6020042024_25">'[10]F_Inputs TMS'!$U$45</definedName>
    <definedName name="wombat" localSheetId="7" hidden="1">#REF!</definedName>
    <definedName name="wombat" localSheetId="4" hidden="1">#REF!</definedName>
    <definedName name="wombat" localSheetId="3" hidden="1">#REF!</definedName>
    <definedName name="wombat" localSheetId="16" hidden="1">#REF!</definedName>
    <definedName name="wombat" localSheetId="9" hidden="1">#REF!</definedName>
    <definedName name="wombat" localSheetId="21" hidden="1">#REF!</definedName>
    <definedName name="wombat" localSheetId="14" hidden="1">#REF!</definedName>
    <definedName name="wombat" localSheetId="6" hidden="1">#REF!</definedName>
    <definedName name="wombat" hidden="1">#REF!</definedName>
    <definedName name="wotsthis" localSheetId="7" hidden="1">{"P&amp;L phased",#N/A,FALSE,"P and L";"Interest phased",#N/A,FALSE,"Interest";"Cshf phased",#N/A,FALSE,"Cashflow";"BSheet phased",#N/A,FALSE,"B Sheet";"Capex phased",#N/A,FALSE,"Capex"}</definedName>
    <definedName name="wotsthis" localSheetId="9"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7" hidden="1">{"CHARGE",#N/A,FALSE,"401C11"}</definedName>
    <definedName name="wrn.CHARGE." localSheetId="9" hidden="1">{"CHARGE",#N/A,FALSE,"401C11"}</definedName>
    <definedName name="wrn.CHARGE." hidden="1">{"CHARGE",#N/A,FALSE,"401C11"}</definedName>
    <definedName name="wrn.GROSS." localSheetId="7" hidden="1">{"GROSS",#N/A,FALSE,"401C11"}</definedName>
    <definedName name="wrn.GROSS." localSheetId="9" hidden="1">{"GROSS",#N/A,FALSE,"401C11"}</definedName>
    <definedName name="wrn.GROSS." hidden="1">{"GROSS",#N/A,FALSE,"401C11"}</definedName>
    <definedName name="wrn.NET." localSheetId="7" hidden="1">{"NET",#N/A,FALSE,"401C11"}</definedName>
    <definedName name="wrn.NET." localSheetId="9" hidden="1">{"NET",#N/A,FALSE,"401C11"}</definedName>
    <definedName name="wrn.NET." hidden="1">{"NET",#N/A,FALSE,"401C11"}</definedName>
    <definedName name="wrn.papersdraft" localSheetId="7" hidden="1">{"bal",#N/A,FALSE,"working papers";"income",#N/A,FALSE,"working papers"}</definedName>
    <definedName name="wrn.papersdraft" localSheetId="9" hidden="1">{"bal",#N/A,FALSE,"working papers";"income",#N/A,FALSE,"working papers"}</definedName>
    <definedName name="wrn.papersdraft" hidden="1">{"bal",#N/A,FALSE,"working papers";"income",#N/A,FALSE,"working papers"}</definedName>
    <definedName name="wrn.Print._.5._.and._.12." localSheetId="7"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9"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7" hidden="1">{"P&amp;L phased",#N/A,FALSE,"P and L";"Interest phased",#N/A,FALSE,"Interest";"Cshf phased",#N/A,FALSE,"Cashflow";"BSheet phased",#N/A,FALSE,"B Sheet";"Capex phased",#N/A,FALSE,"Capex"}</definedName>
    <definedName name="wrn.Print._.Phased." localSheetId="9"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7" hidden="1">{"bal",#N/A,FALSE,"working papers";"income",#N/A,FALSE,"working papers"}</definedName>
    <definedName name="wrn.wpapers." localSheetId="9" hidden="1">{"bal",#N/A,FALSE,"working papers";"income",#N/A,FALSE,"working papers"}</definedName>
    <definedName name="wrn.wpapers." hidden="1">{"bal",#N/A,FALSE,"working papers";"income",#N/A,FALSE,"working papers"}</definedName>
    <definedName name="xxx" localSheetId="7" hidden="1">{"CHARGE",#N/A,FALSE,"401C11"}</definedName>
    <definedName name="xxx" localSheetId="9" hidden="1">{"CHARGE",#N/A,FALSE,"401C11"}</definedName>
    <definedName name="xxx" hidden="1">{"CHARGE",#N/A,FALSE,"401C11"}</definedName>
    <definedName name="yhnry" localSheetId="7">#REF!</definedName>
    <definedName name="yhnry" localSheetId="4">#REF!</definedName>
    <definedName name="yhnry" localSheetId="3">#REF!</definedName>
    <definedName name="yhnry" localSheetId="9">#REF!</definedName>
    <definedName name="yhnry" localSheetId="6">#REF!</definedName>
    <definedName name="yhnry">#REF!</definedName>
    <definedName name="yyy" localSheetId="7" hidden="1">{"GROSS",#N/A,FALSE,"401C11"}</definedName>
    <definedName name="yyy" localSheetId="9" hidden="1">{"GROSS",#N/A,FALSE,"401C11"}</definedName>
    <definedName name="yyy" hidden="1">{"GROSS",#N/A,FALSE,"401C11"}</definedName>
    <definedName name="zzz" localSheetId="7" hidden="1">{"NET",#N/A,FALSE,"401C11"}</definedName>
    <definedName name="zzz" localSheetId="9" hidden="1">{"NET",#N/A,FALSE,"401C11"}</definedName>
    <definedName name="zzz" hidden="1">{"NET",#N/A,FALSE,"401C11"}</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0" i="201" l="1"/>
  <c r="E49" i="201"/>
  <c r="D25" i="113" l="1"/>
  <c r="D22" i="113"/>
  <c r="D21" i="113"/>
  <c r="L133" i="99" l="1"/>
  <c r="C104" i="110" l="1"/>
  <c r="C98" i="110"/>
  <c r="F48" i="110" l="1"/>
  <c r="G47" i="110"/>
  <c r="C117" i="110" s="1"/>
  <c r="D47" i="110"/>
  <c r="F47" i="110" s="1"/>
  <c r="C47" i="110"/>
  <c r="E47" i="110" l="1"/>
  <c r="D22" i="110"/>
  <c r="D25" i="135" l="1"/>
  <c r="C23" i="135"/>
  <c r="C23" i="106" l="1"/>
  <c r="C22" i="106"/>
  <c r="E21" i="106" s="1"/>
  <c r="C102" i="95"/>
  <c r="C48" i="105"/>
  <c r="C24" i="105"/>
  <c r="C32" i="105" s="1"/>
  <c r="C23" i="105"/>
  <c r="C21" i="105"/>
  <c r="C31" i="105" s="1"/>
  <c r="D24" i="106"/>
  <c r="C24" i="106"/>
  <c r="C21" i="106"/>
  <c r="D23" i="106"/>
  <c r="D22" i="106"/>
  <c r="D21" i="106"/>
  <c r="D26" i="113"/>
  <c r="F26" i="113" s="1"/>
  <c r="D23" i="113"/>
  <c r="E21" i="99"/>
  <c r="C53" i="99"/>
  <c r="I131" i="99" l="1"/>
  <c r="D49" i="99" l="1"/>
  <c r="D48" i="99"/>
  <c r="B61" i="201" l="1"/>
  <c r="I131" i="177" l="1"/>
  <c r="I98" i="177"/>
  <c r="I150" i="177"/>
  <c r="I101" i="177"/>
  <c r="H99" i="177"/>
  <c r="D22" i="95"/>
  <c r="C17" i="137"/>
  <c r="D83" i="110" l="1"/>
  <c r="E77" i="110" s="1"/>
  <c r="E83" i="110" s="1"/>
  <c r="C85" i="110"/>
  <c r="C86" i="110" l="1"/>
  <c r="C80" i="135"/>
  <c r="C89" i="110" l="1"/>
  <c r="C88" i="110"/>
  <c r="O143" i="99"/>
  <c r="P143" i="99"/>
  <c r="C97" i="110" l="1"/>
  <c r="C103" i="110" s="1"/>
  <c r="D24" i="110" s="1"/>
  <c r="D143" i="99"/>
  <c r="B60" i="201" l="1"/>
  <c r="B68" i="201"/>
  <c r="B73" i="201"/>
  <c r="D23" i="203" l="1"/>
  <c r="C72" i="101" l="1"/>
  <c r="C73" i="101" s="1"/>
  <c r="D24" i="135" l="1"/>
  <c r="C32" i="135" l="1"/>
  <c r="E60" i="201"/>
  <c r="G60" i="201" s="1"/>
  <c r="E61" i="201"/>
  <c r="G61" i="201" s="1"/>
  <c r="E58" i="201" l="1"/>
  <c r="E57" i="201"/>
  <c r="E59" i="201"/>
  <c r="E62" i="201"/>
  <c r="E63" i="201"/>
  <c r="E64" i="201"/>
  <c r="E65" i="201"/>
  <c r="E66" i="201"/>
  <c r="E67" i="201"/>
  <c r="E68" i="201"/>
  <c r="E69" i="201"/>
  <c r="E70" i="201"/>
  <c r="E71" i="201"/>
  <c r="E72" i="201"/>
  <c r="E73" i="201"/>
  <c r="K34" i="201"/>
  <c r="G68" i="201" l="1"/>
  <c r="G73" i="201"/>
  <c r="B35" i="201"/>
  <c r="B36" i="201" l="1"/>
  <c r="K36" i="201"/>
  <c r="B37" i="201" l="1"/>
  <c r="B38" i="201"/>
  <c r="B39" i="201"/>
  <c r="B40" i="201" l="1"/>
  <c r="B41" i="201" l="1"/>
  <c r="B42" i="201" l="1"/>
  <c r="B43" i="201" l="1"/>
  <c r="B44" i="201" l="1"/>
  <c r="B45" i="201" l="1"/>
  <c r="B47" i="201" l="1"/>
  <c r="B48" i="201" l="1"/>
  <c r="B49" i="201" l="1"/>
  <c r="C147" i="99" l="1"/>
  <c r="C41" i="102" l="1"/>
  <c r="D22" i="102" s="1"/>
  <c r="D25" i="205" l="1"/>
  <c r="D22" i="205" s="1"/>
  <c r="D23" i="205"/>
  <c r="D27" i="113"/>
  <c r="D27" i="110"/>
  <c r="D26" i="110"/>
  <c r="D23" i="101" l="1"/>
  <c r="D23" i="95" l="1"/>
  <c r="D81" i="99"/>
  <c r="F49" i="99" l="1"/>
  <c r="E49" i="99"/>
  <c r="C64" i="99"/>
  <c r="C59" i="99"/>
  <c r="E28" i="118"/>
  <c r="E27" i="118"/>
  <c r="E26" i="118"/>
  <c r="E24" i="118"/>
  <c r="E25" i="118"/>
  <c r="E23" i="118"/>
  <c r="E22" i="118"/>
  <c r="E21" i="118"/>
  <c r="E20" i="118"/>
  <c r="E19" i="118"/>
  <c r="E18" i="118"/>
  <c r="E17" i="118"/>
  <c r="E13" i="118"/>
  <c r="E14" i="118"/>
  <c r="E15" i="118"/>
  <c r="E16" i="118"/>
  <c r="E12" i="118"/>
  <c r="D22" i="99" l="1"/>
  <c r="E62" i="110"/>
  <c r="D25" i="110" l="1"/>
  <c r="G48" i="110"/>
  <c r="C120" i="110" s="1"/>
  <c r="I142" i="99"/>
  <c r="I141" i="99"/>
  <c r="I140" i="99"/>
  <c r="I139" i="99"/>
  <c r="I138" i="99"/>
  <c r="I137" i="99"/>
  <c r="I136" i="99"/>
  <c r="I135" i="99"/>
  <c r="I134" i="99"/>
  <c r="I133" i="99"/>
  <c r="I132" i="99"/>
  <c r="I130" i="99"/>
  <c r="I129" i="99"/>
  <c r="I128" i="99"/>
  <c r="I127" i="99"/>
  <c r="I126" i="99"/>
  <c r="I125" i="99"/>
  <c r="I124" i="99"/>
  <c r="I123" i="99"/>
  <c r="I122" i="99"/>
  <c r="E118" i="99" l="1"/>
  <c r="L131" i="99" s="1"/>
  <c r="L142" i="99" l="1"/>
  <c r="L128" i="99"/>
  <c r="L124" i="99"/>
  <c r="L127" i="99"/>
  <c r="L125" i="99"/>
  <c r="L140" i="99"/>
  <c r="L132" i="99"/>
  <c r="L123" i="99"/>
  <c r="L139" i="99"/>
  <c r="L126" i="99"/>
  <c r="L122" i="99"/>
  <c r="L136" i="99"/>
  <c r="L130" i="99"/>
  <c r="C83" i="135"/>
  <c r="F25" i="135" s="1"/>
  <c r="G28" i="112" l="1"/>
  <c r="C53" i="105"/>
  <c r="C55" i="105"/>
  <c r="C54" i="105"/>
  <c r="G15" i="137"/>
  <c r="B54" i="208" l="1"/>
  <c r="H28" i="137"/>
  <c r="G17" i="137"/>
  <c r="B58" i="208" l="1"/>
  <c r="E68" i="208" s="1"/>
  <c r="E28" i="208"/>
  <c r="B59" i="207"/>
  <c r="E69" i="207" s="1"/>
  <c r="B55" i="207"/>
  <c r="E28" i="207"/>
  <c r="D24" i="205"/>
  <c r="C24" i="205"/>
  <c r="C23" i="205"/>
  <c r="C22" i="205"/>
  <c r="K44" i="201"/>
  <c r="G25" i="137"/>
  <c r="D28" i="205" l="1"/>
  <c r="C21" i="205"/>
  <c r="C32" i="205"/>
  <c r="F25" i="205"/>
  <c r="E65" i="208"/>
  <c r="E69" i="208"/>
  <c r="E64" i="208"/>
  <c r="E60" i="208" s="1"/>
  <c r="E65" i="207"/>
  <c r="E61" i="207" s="1"/>
  <c r="E66" i="207"/>
  <c r="E70" i="207"/>
  <c r="B69" i="205"/>
  <c r="E76" i="205" s="1"/>
  <c r="B65" i="205"/>
  <c r="C28" i="205"/>
  <c r="B25" i="137"/>
  <c r="H25" i="137"/>
  <c r="E61" i="208" l="1"/>
  <c r="E21" i="205"/>
  <c r="D21" i="205"/>
  <c r="E62" i="207"/>
  <c r="E75" i="205"/>
  <c r="E80" i="205"/>
  <c r="E72" i="205" s="1"/>
  <c r="E79" i="205"/>
  <c r="C25" i="137"/>
  <c r="I25" i="137"/>
  <c r="B67" i="201" l="1"/>
  <c r="G67" i="201" s="1"/>
  <c r="E28" i="205"/>
  <c r="C31" i="205"/>
  <c r="E71" i="205"/>
  <c r="D25" i="137"/>
  <c r="E28" i="203" l="1"/>
  <c r="C21" i="203"/>
  <c r="C23" i="110"/>
  <c r="B132" i="110"/>
  <c r="E142" i="110" s="1"/>
  <c r="D124" i="41" a="1"/>
  <c r="D124" i="41" s="1"/>
  <c r="E124" i="176" s="1"/>
  <c r="E124" i="41" a="1"/>
  <c r="E124" i="41" s="1"/>
  <c r="F124" i="176" s="1"/>
  <c r="B275" i="176"/>
  <c r="B276" i="176" s="1"/>
  <c r="B277" i="176" s="1"/>
  <c r="B278" i="176" s="1"/>
  <c r="B279" i="176" s="1"/>
  <c r="B280" i="176" s="1"/>
  <c r="B281" i="176" s="1"/>
  <c r="B282" i="176" s="1"/>
  <c r="D8" i="41" a="1"/>
  <c r="D8" i="41" s="1"/>
  <c r="E8" i="176" s="1"/>
  <c r="E8" i="41" a="1"/>
  <c r="E8" i="41" s="1"/>
  <c r="F8" i="176" s="1"/>
  <c r="D9" i="41" a="1"/>
  <c r="D9" i="41" s="1"/>
  <c r="E9" i="176" s="1"/>
  <c r="E9" i="41" a="1"/>
  <c r="E9" i="41" s="1"/>
  <c r="F9" i="176" s="1"/>
  <c r="D10" i="41" a="1"/>
  <c r="D10" i="41" s="1"/>
  <c r="E10" i="176" s="1"/>
  <c r="E10" i="41" a="1"/>
  <c r="E10" i="41" s="1"/>
  <c r="F10" i="176" s="1"/>
  <c r="D11" i="41" a="1"/>
  <c r="D11" i="41" s="1"/>
  <c r="E11" i="176" s="1"/>
  <c r="E11" i="41" a="1"/>
  <c r="E11" i="41" s="1"/>
  <c r="F11" i="176" s="1"/>
  <c r="D12" i="41" a="1"/>
  <c r="D12" i="41" s="1"/>
  <c r="E12" i="176" s="1"/>
  <c r="E12" i="41" a="1"/>
  <c r="E12" i="41" s="1"/>
  <c r="F12" i="176" s="1"/>
  <c r="D13" i="41" a="1"/>
  <c r="D13" i="41" s="1"/>
  <c r="E13" i="176" s="1"/>
  <c r="E13" i="41" a="1"/>
  <c r="E13" i="41" s="1"/>
  <c r="F13" i="176" s="1"/>
  <c r="D14" i="41" a="1"/>
  <c r="D14" i="41" s="1"/>
  <c r="E14" i="176" s="1"/>
  <c r="E14" i="41" a="1"/>
  <c r="E14" i="41" s="1"/>
  <c r="F14" i="176" s="1"/>
  <c r="D15" i="41" a="1"/>
  <c r="D15" i="41" s="1"/>
  <c r="E15" i="176" s="1"/>
  <c r="E15" i="41" a="1"/>
  <c r="E15" i="41" s="1"/>
  <c r="F15" i="176" s="1"/>
  <c r="D16" i="41" a="1"/>
  <c r="D16" i="41" s="1"/>
  <c r="E16" i="176" s="1"/>
  <c r="E16" i="41" a="1"/>
  <c r="E16" i="41" s="1"/>
  <c r="F16" i="176" s="1"/>
  <c r="D17" i="41" a="1"/>
  <c r="D17" i="41" s="1"/>
  <c r="E17" i="176" s="1"/>
  <c r="E17" i="41" a="1"/>
  <c r="E17" i="41" s="1"/>
  <c r="E18" i="41" a="1"/>
  <c r="E18" i="41" s="1"/>
  <c r="E19" i="41" a="1"/>
  <c r="E19" i="41" s="1"/>
  <c r="E20" i="41" a="1"/>
  <c r="E20" i="41" s="1"/>
  <c r="E21" i="41" a="1"/>
  <c r="E21" i="41" s="1"/>
  <c r="D18" i="41" a="1"/>
  <c r="D18" i="41" s="1"/>
  <c r="E18" i="176" s="1"/>
  <c r="D19" i="41" a="1"/>
  <c r="D19" i="41" s="1"/>
  <c r="E19" i="176" s="1"/>
  <c r="D20" i="41" a="1"/>
  <c r="D20" i="41" s="1"/>
  <c r="E20" i="176" s="1"/>
  <c r="D21" i="41" a="1"/>
  <c r="D21" i="41" s="1"/>
  <c r="E21" i="176" s="1"/>
  <c r="D22" i="41" a="1"/>
  <c r="D22" i="41" s="1"/>
  <c r="E22" i="176" s="1"/>
  <c r="E22" i="41" a="1"/>
  <c r="E22" i="41" s="1"/>
  <c r="F22" i="176" s="1"/>
  <c r="D23" i="41" a="1"/>
  <c r="D23" i="41" s="1"/>
  <c r="E23" i="176" s="1"/>
  <c r="E23" i="41" a="1"/>
  <c r="E23" i="41" s="1"/>
  <c r="F23" i="176" s="1"/>
  <c r="D24" i="41" a="1"/>
  <c r="D24" i="41" s="1"/>
  <c r="E24" i="176" s="1"/>
  <c r="E24" i="41" a="1"/>
  <c r="E24" i="41" s="1"/>
  <c r="F24" i="176" s="1"/>
  <c r="D25" i="41" a="1"/>
  <c r="D25" i="41" s="1"/>
  <c r="E25" i="176" s="1"/>
  <c r="E25" i="41" a="1"/>
  <c r="E25" i="41" s="1"/>
  <c r="F25" i="176" s="1"/>
  <c r="D26" i="41" a="1"/>
  <c r="D26" i="41" s="1"/>
  <c r="E26" i="176" s="1"/>
  <c r="E26" i="41" a="1"/>
  <c r="E26" i="41" s="1"/>
  <c r="F26" i="176" s="1"/>
  <c r="D27" i="41" a="1"/>
  <c r="D27" i="41" s="1"/>
  <c r="E27" i="176" s="1"/>
  <c r="E27" i="41" a="1"/>
  <c r="E27" i="41" s="1"/>
  <c r="F27" i="176" s="1"/>
  <c r="D28" i="41" a="1"/>
  <c r="D28" i="41" s="1"/>
  <c r="E28" i="176" s="1"/>
  <c r="E28" i="41" a="1"/>
  <c r="E28" i="41" s="1"/>
  <c r="F28" i="176" s="1"/>
  <c r="D29" i="41" a="1"/>
  <c r="D29" i="41" s="1"/>
  <c r="E29" i="176" s="1"/>
  <c r="E29" i="41" a="1"/>
  <c r="E29" i="41" s="1"/>
  <c r="F29" i="176" s="1"/>
  <c r="D30" i="41" a="1"/>
  <c r="D30" i="41" s="1"/>
  <c r="E30" i="176" s="1"/>
  <c r="E30" i="41" a="1"/>
  <c r="E30" i="41" s="1"/>
  <c r="F30" i="176" s="1"/>
  <c r="D31" i="41" a="1"/>
  <c r="D31" i="41" s="1"/>
  <c r="E31" i="176" s="1"/>
  <c r="E31" i="41" a="1"/>
  <c r="E31" i="41" s="1"/>
  <c r="F31" i="176" s="1"/>
  <c r="D32" i="41" a="1"/>
  <c r="D32" i="41" s="1"/>
  <c r="E32" i="176" s="1"/>
  <c r="E32" i="41" a="1"/>
  <c r="E32" i="41" s="1"/>
  <c r="F32" i="176" s="1"/>
  <c r="D33" i="41" a="1"/>
  <c r="D33" i="41" s="1"/>
  <c r="E33" i="176" s="1"/>
  <c r="E33" i="41" a="1"/>
  <c r="E33" i="41" s="1"/>
  <c r="F33" i="176" s="1"/>
  <c r="D34" i="41" a="1"/>
  <c r="D34" i="41" s="1"/>
  <c r="E34" i="176" s="1"/>
  <c r="E34" i="41" a="1"/>
  <c r="E34" i="41" s="1"/>
  <c r="F34" i="176" s="1"/>
  <c r="D35" i="41" a="1"/>
  <c r="D35" i="41" s="1"/>
  <c r="E35" i="176" s="1"/>
  <c r="E35" i="41" a="1"/>
  <c r="E35" i="41" s="1"/>
  <c r="F35" i="176" s="1"/>
  <c r="D36" i="41" a="1"/>
  <c r="D36" i="41" s="1"/>
  <c r="E36" i="176" s="1"/>
  <c r="E36" i="41" a="1"/>
  <c r="E36" i="41" s="1"/>
  <c r="F36" i="176" s="1"/>
  <c r="D37" i="41" a="1"/>
  <c r="D37" i="41" s="1"/>
  <c r="E37" i="176" s="1"/>
  <c r="E37" i="41" a="1"/>
  <c r="E37" i="41" s="1"/>
  <c r="F37" i="176" s="1"/>
  <c r="D38" i="41" a="1"/>
  <c r="D38" i="41" s="1"/>
  <c r="E38" i="176" s="1"/>
  <c r="E38" i="41" a="1"/>
  <c r="E38" i="41" s="1"/>
  <c r="F38" i="176" s="1"/>
  <c r="D39" i="41" a="1"/>
  <c r="D39" i="41" s="1"/>
  <c r="E39" i="176" s="1"/>
  <c r="E39" i="41" a="1"/>
  <c r="E39" i="41" s="1"/>
  <c r="F39" i="176" s="1"/>
  <c r="D40" i="41" a="1"/>
  <c r="D40" i="41" s="1"/>
  <c r="E40" i="176" s="1"/>
  <c r="E40" i="41" a="1"/>
  <c r="E40" i="41" s="1"/>
  <c r="F40" i="176" s="1"/>
  <c r="D41" i="41" a="1"/>
  <c r="D41" i="41" s="1"/>
  <c r="E41" i="176" s="1"/>
  <c r="E41" i="41" a="1"/>
  <c r="E41" i="41" s="1"/>
  <c r="F41" i="176" s="1"/>
  <c r="D42" i="41" a="1"/>
  <c r="D42" i="41" s="1"/>
  <c r="E42" i="176" s="1"/>
  <c r="E42" i="41" a="1"/>
  <c r="E42" i="41" s="1"/>
  <c r="F42" i="176" s="1"/>
  <c r="D43" i="41" a="1"/>
  <c r="D43" i="41" s="1"/>
  <c r="E43" i="176" s="1"/>
  <c r="E43" i="41" a="1"/>
  <c r="E43" i="41" s="1"/>
  <c r="F43" i="176" s="1"/>
  <c r="D44" i="41" a="1"/>
  <c r="D44" i="41" s="1"/>
  <c r="E44" i="176" s="1"/>
  <c r="E44" i="41" a="1"/>
  <c r="E44" i="41" s="1"/>
  <c r="F44" i="176" s="1"/>
  <c r="D45" i="41" a="1"/>
  <c r="D45" i="41" s="1"/>
  <c r="E45" i="176" s="1"/>
  <c r="E45" i="41" a="1"/>
  <c r="E45" i="41" s="1"/>
  <c r="F45" i="176" s="1"/>
  <c r="D46" i="41" a="1"/>
  <c r="D46" i="41" s="1"/>
  <c r="E46" i="176" s="1"/>
  <c r="E46" i="41" a="1"/>
  <c r="E46" i="41" s="1"/>
  <c r="F46" i="176" s="1"/>
  <c r="D47" i="41" a="1"/>
  <c r="D47" i="41" s="1"/>
  <c r="E47" i="176" s="1"/>
  <c r="E47" i="41" a="1"/>
  <c r="E47" i="41" s="1"/>
  <c r="F47" i="176" s="1"/>
  <c r="D48" i="41" a="1"/>
  <c r="D48" i="41" s="1"/>
  <c r="E48" i="176" s="1"/>
  <c r="E48" i="41" a="1"/>
  <c r="E48" i="41" s="1"/>
  <c r="F48" i="176" s="1"/>
  <c r="D49" i="41" a="1"/>
  <c r="D49" i="41" s="1"/>
  <c r="E49" i="176" s="1"/>
  <c r="E49" i="41" a="1"/>
  <c r="E49" i="41" s="1"/>
  <c r="F49" i="176" s="1"/>
  <c r="D50" i="41" a="1"/>
  <c r="D50" i="41" s="1"/>
  <c r="E50" i="176" s="1"/>
  <c r="E50" i="41" a="1"/>
  <c r="E50" i="41" s="1"/>
  <c r="F50" i="176" s="1"/>
  <c r="D51" i="41" a="1"/>
  <c r="D51" i="41" s="1"/>
  <c r="E51" i="176" s="1"/>
  <c r="E51" i="41" a="1"/>
  <c r="E51" i="41" s="1"/>
  <c r="F51" i="176" s="1"/>
  <c r="D52" i="41" a="1"/>
  <c r="D52" i="41" s="1"/>
  <c r="E52" i="176" s="1"/>
  <c r="E52" i="41" a="1"/>
  <c r="E52" i="41" s="1"/>
  <c r="F52" i="176" s="1"/>
  <c r="D53" i="41" a="1"/>
  <c r="D53" i="41" s="1"/>
  <c r="E53" i="176" s="1"/>
  <c r="E53" i="41" a="1"/>
  <c r="E53" i="41" s="1"/>
  <c r="F53" i="176" s="1"/>
  <c r="D54" i="41" a="1"/>
  <c r="D54" i="41" s="1"/>
  <c r="E54" i="176" s="1"/>
  <c r="E54" i="41" a="1"/>
  <c r="E54" i="41" s="1"/>
  <c r="F54" i="176" s="1"/>
  <c r="D55" i="41" a="1"/>
  <c r="D55" i="41" s="1"/>
  <c r="E55" i="176" s="1"/>
  <c r="E55" i="41" a="1"/>
  <c r="E55" i="41" s="1"/>
  <c r="F55" i="176" s="1"/>
  <c r="D56" i="41" a="1"/>
  <c r="D56" i="41" s="1"/>
  <c r="E56" i="176" s="1"/>
  <c r="E56" i="41" a="1"/>
  <c r="E56" i="41" s="1"/>
  <c r="F56" i="176" s="1"/>
  <c r="D57" i="41" a="1"/>
  <c r="D57" i="41" s="1"/>
  <c r="E57" i="176" s="1"/>
  <c r="E57" i="41" a="1"/>
  <c r="E57" i="41" s="1"/>
  <c r="F57" i="176" s="1"/>
  <c r="D58" i="41" a="1"/>
  <c r="D58" i="41" s="1"/>
  <c r="E58" i="176" s="1"/>
  <c r="E58" i="41" a="1"/>
  <c r="E58" i="41" s="1"/>
  <c r="F58" i="176" s="1"/>
  <c r="D59" i="41" a="1"/>
  <c r="D59" i="41" s="1"/>
  <c r="E59" i="176" s="1"/>
  <c r="E59" i="41" a="1"/>
  <c r="E59" i="41" s="1"/>
  <c r="F59" i="176" s="1"/>
  <c r="D60" i="41" a="1"/>
  <c r="D60" i="41" s="1"/>
  <c r="E60" i="176" s="1"/>
  <c r="E60" i="41" a="1"/>
  <c r="E60" i="41" s="1"/>
  <c r="F60" i="176" s="1"/>
  <c r="D61" i="41" a="1"/>
  <c r="D61" i="41" s="1"/>
  <c r="E61" i="176" s="1"/>
  <c r="E61" i="41" a="1"/>
  <c r="E61" i="41" s="1"/>
  <c r="F61" i="176" s="1"/>
  <c r="D62" i="41" a="1"/>
  <c r="D62" i="41" s="1"/>
  <c r="E62" i="176" s="1"/>
  <c r="E62" i="41" a="1"/>
  <c r="E62" i="41" s="1"/>
  <c r="F62" i="176" s="1"/>
  <c r="D63" i="41" a="1"/>
  <c r="D63" i="41" s="1"/>
  <c r="E63" i="176" s="1"/>
  <c r="E63" i="41" a="1"/>
  <c r="E63" i="41" s="1"/>
  <c r="F63" i="176" s="1"/>
  <c r="D64" i="41" a="1"/>
  <c r="D64" i="41" s="1"/>
  <c r="E64" i="176" s="1"/>
  <c r="E64" i="41" a="1"/>
  <c r="E64" i="41" s="1"/>
  <c r="F64" i="176" s="1"/>
  <c r="D65" i="41" a="1"/>
  <c r="D65" i="41" s="1"/>
  <c r="E65" i="176" s="1"/>
  <c r="E65" i="41" a="1"/>
  <c r="E65" i="41" s="1"/>
  <c r="F65" i="176" s="1"/>
  <c r="D66" i="41" a="1"/>
  <c r="D66" i="41" s="1"/>
  <c r="E66" i="176" s="1"/>
  <c r="E66" i="41" a="1"/>
  <c r="E66" i="41" s="1"/>
  <c r="F66" i="176" s="1"/>
  <c r="D67" i="41" a="1"/>
  <c r="D67" i="41" s="1"/>
  <c r="E67" i="176" s="1"/>
  <c r="E67" i="41" a="1"/>
  <c r="E67" i="41" s="1"/>
  <c r="F67" i="176" s="1"/>
  <c r="D68" i="41" a="1"/>
  <c r="D68" i="41" s="1"/>
  <c r="E68" i="176" s="1"/>
  <c r="E68" i="41" a="1"/>
  <c r="E68" i="41" s="1"/>
  <c r="F68" i="176" s="1"/>
  <c r="D69" i="41" a="1"/>
  <c r="D69" i="41" s="1"/>
  <c r="E69" i="176" s="1"/>
  <c r="E69" i="41" a="1"/>
  <c r="E69" i="41" s="1"/>
  <c r="F69" i="176" s="1"/>
  <c r="D70" i="41" a="1"/>
  <c r="D70" i="41" s="1"/>
  <c r="E70" i="176" s="1"/>
  <c r="E70" i="41" a="1"/>
  <c r="E70" i="41" s="1"/>
  <c r="F70" i="176" s="1"/>
  <c r="D71" i="41" a="1"/>
  <c r="D71" i="41" s="1"/>
  <c r="E71" i="176" s="1"/>
  <c r="E71" i="41" a="1"/>
  <c r="E71" i="41" s="1"/>
  <c r="F71" i="176" s="1"/>
  <c r="D72" i="41" a="1"/>
  <c r="D72" i="41" s="1"/>
  <c r="E72" i="176" s="1"/>
  <c r="E72" i="41" a="1"/>
  <c r="E72" i="41" s="1"/>
  <c r="F72" i="176" s="1"/>
  <c r="D73" i="41" a="1"/>
  <c r="D73" i="41" s="1"/>
  <c r="E73" i="176" s="1"/>
  <c r="E73" i="41" a="1"/>
  <c r="E73" i="41" s="1"/>
  <c r="F73" i="176" s="1"/>
  <c r="D74" i="41" a="1"/>
  <c r="D74" i="41" s="1"/>
  <c r="E74" i="176" s="1"/>
  <c r="E74" i="41" a="1"/>
  <c r="E74" i="41" s="1"/>
  <c r="F74" i="176" s="1"/>
  <c r="D75" i="41" a="1"/>
  <c r="D75" i="41" s="1"/>
  <c r="E75" i="176" s="1"/>
  <c r="E75" i="41" a="1"/>
  <c r="E75" i="41" s="1"/>
  <c r="F75" i="176" s="1"/>
  <c r="D76" i="41" a="1"/>
  <c r="D76" i="41" s="1"/>
  <c r="E76" i="176" s="1"/>
  <c r="E76" i="41" a="1"/>
  <c r="E76" i="41" s="1"/>
  <c r="F76" i="176" s="1"/>
  <c r="D77" i="41" a="1"/>
  <c r="D77" i="41" s="1"/>
  <c r="E77" i="176" s="1"/>
  <c r="E77" i="41" a="1"/>
  <c r="E77" i="41" s="1"/>
  <c r="F77" i="176" s="1"/>
  <c r="D78" i="41" a="1"/>
  <c r="D78" i="41" s="1"/>
  <c r="E78" i="176" s="1"/>
  <c r="E78" i="41" a="1"/>
  <c r="E78" i="41" s="1"/>
  <c r="F78" i="176" s="1"/>
  <c r="D79" i="41" a="1"/>
  <c r="D79" i="41" s="1"/>
  <c r="E79" i="176" s="1"/>
  <c r="E79" i="41" a="1"/>
  <c r="E79" i="41" s="1"/>
  <c r="F79" i="176" s="1"/>
  <c r="D80" i="41" a="1"/>
  <c r="D80" i="41" s="1"/>
  <c r="E80" i="176" s="1"/>
  <c r="E80" i="41" a="1"/>
  <c r="E80" i="41" s="1"/>
  <c r="F80" i="176" s="1"/>
  <c r="D81" i="41" a="1"/>
  <c r="D81" i="41" s="1"/>
  <c r="E81" i="176" s="1"/>
  <c r="E81" i="41" a="1"/>
  <c r="E81" i="41" s="1"/>
  <c r="F81" i="176" s="1"/>
  <c r="D82" i="41" a="1"/>
  <c r="D82" i="41" s="1"/>
  <c r="E82" i="176" s="1"/>
  <c r="E82" i="41" a="1"/>
  <c r="E82" i="41" s="1"/>
  <c r="F82" i="176" s="1"/>
  <c r="D83" i="41" a="1"/>
  <c r="D83" i="41" s="1"/>
  <c r="E83" i="176" s="1"/>
  <c r="E83" i="41" a="1"/>
  <c r="E83" i="41" s="1"/>
  <c r="F83" i="176" s="1"/>
  <c r="D84" i="41" a="1"/>
  <c r="D84" i="41" s="1"/>
  <c r="E84" i="176" s="1"/>
  <c r="E84" i="41" a="1"/>
  <c r="E84" i="41" s="1"/>
  <c r="F84" i="176" s="1"/>
  <c r="D85" i="41" a="1"/>
  <c r="D85" i="41" s="1"/>
  <c r="E85" i="176" s="1"/>
  <c r="E85" i="41" a="1"/>
  <c r="E85" i="41" s="1"/>
  <c r="F85" i="176" s="1"/>
  <c r="D86" i="41" a="1"/>
  <c r="D86" i="41" s="1"/>
  <c r="E86" i="176" s="1"/>
  <c r="E86" i="41" a="1"/>
  <c r="E86" i="41" s="1"/>
  <c r="F86" i="176" s="1"/>
  <c r="D87" i="41" a="1"/>
  <c r="D87" i="41" s="1"/>
  <c r="E87" i="176" s="1"/>
  <c r="E87" i="41" a="1"/>
  <c r="E87" i="41" s="1"/>
  <c r="F87" i="176" s="1"/>
  <c r="D88" i="41" a="1"/>
  <c r="D88" i="41" s="1"/>
  <c r="E88" i="176" s="1"/>
  <c r="E88" i="41" a="1"/>
  <c r="E88" i="41" s="1"/>
  <c r="F88" i="176" s="1"/>
  <c r="D89" i="41" a="1"/>
  <c r="D89" i="41" s="1"/>
  <c r="E89" i="176" s="1"/>
  <c r="E89" i="41" a="1"/>
  <c r="E89" i="41" s="1"/>
  <c r="F89" i="176" s="1"/>
  <c r="D90" i="41" a="1"/>
  <c r="D90" i="41" s="1"/>
  <c r="E90" i="176" s="1"/>
  <c r="E90" i="41" a="1"/>
  <c r="E90" i="41" s="1"/>
  <c r="F90" i="176" s="1"/>
  <c r="D91" i="41" a="1"/>
  <c r="D91" i="41" s="1"/>
  <c r="E91" i="176" s="1"/>
  <c r="E91" i="41" a="1"/>
  <c r="E91" i="41" s="1"/>
  <c r="F91" i="176" s="1"/>
  <c r="D92" i="41" a="1"/>
  <c r="D92" i="41" s="1"/>
  <c r="E92" i="176" s="1"/>
  <c r="E92" i="41" a="1"/>
  <c r="E92" i="41" s="1"/>
  <c r="F92" i="176" s="1"/>
  <c r="D93" i="41" a="1"/>
  <c r="D93" i="41" s="1"/>
  <c r="E93" i="176" s="1"/>
  <c r="E93" i="41" a="1"/>
  <c r="E93" i="41" s="1"/>
  <c r="F93" i="176" s="1"/>
  <c r="D94" i="41" a="1"/>
  <c r="D94" i="41" s="1"/>
  <c r="E94" i="176" s="1"/>
  <c r="E94" i="41" a="1"/>
  <c r="E94" i="41" s="1"/>
  <c r="F94" i="176" s="1"/>
  <c r="D95" i="41" a="1"/>
  <c r="D95" i="41" s="1"/>
  <c r="E95" i="176" s="1"/>
  <c r="E95" i="41" a="1"/>
  <c r="E95" i="41" s="1"/>
  <c r="F95" i="176" s="1"/>
  <c r="D96" i="41" a="1"/>
  <c r="D96" i="41" s="1"/>
  <c r="E96" i="176" s="1"/>
  <c r="E96" i="41" a="1"/>
  <c r="E96" i="41" s="1"/>
  <c r="F96" i="176" s="1"/>
  <c r="D97" i="41" a="1"/>
  <c r="D97" i="41" s="1"/>
  <c r="E97" i="176" s="1"/>
  <c r="E97" i="41" a="1"/>
  <c r="E97" i="41" s="1"/>
  <c r="F97" i="176" s="1"/>
  <c r="D98" i="41" a="1"/>
  <c r="D98" i="41" s="1"/>
  <c r="E98" i="176" s="1"/>
  <c r="E98" i="41" a="1"/>
  <c r="E98" i="41" s="1"/>
  <c r="F98" i="176" s="1"/>
  <c r="D99" i="41" a="1"/>
  <c r="D99" i="41" s="1"/>
  <c r="E99" i="176" s="1"/>
  <c r="E99" i="41" a="1"/>
  <c r="E99" i="41" s="1"/>
  <c r="F99" i="176" s="1"/>
  <c r="D100" i="41" a="1"/>
  <c r="D100" i="41" s="1"/>
  <c r="E100" i="176" s="1"/>
  <c r="E100" i="41" a="1"/>
  <c r="E100" i="41" s="1"/>
  <c r="F100" i="176" s="1"/>
  <c r="D101" i="41" a="1"/>
  <c r="D101" i="41" s="1"/>
  <c r="E101" i="176" s="1"/>
  <c r="E101" i="41" a="1"/>
  <c r="E101" i="41" s="1"/>
  <c r="F101" i="176" s="1"/>
  <c r="D102" i="41" a="1"/>
  <c r="D102" i="41" s="1"/>
  <c r="E102" i="176" s="1"/>
  <c r="E102" i="41" a="1"/>
  <c r="E102" i="41" s="1"/>
  <c r="F102" i="176" s="1"/>
  <c r="D103" i="41" a="1"/>
  <c r="D103" i="41" s="1"/>
  <c r="E103" i="176" s="1"/>
  <c r="E103" i="41" a="1"/>
  <c r="E103" i="41" s="1"/>
  <c r="F103" i="176" s="1"/>
  <c r="D104" i="41" a="1"/>
  <c r="D104" i="41" s="1"/>
  <c r="E104" i="176" s="1"/>
  <c r="E104" i="41" a="1"/>
  <c r="E104" i="41" s="1"/>
  <c r="F104" i="176" s="1"/>
  <c r="D105" i="41" a="1"/>
  <c r="D105" i="41" s="1"/>
  <c r="E105" i="176" s="1"/>
  <c r="E105" i="41" a="1"/>
  <c r="E105" i="41" s="1"/>
  <c r="F105" i="176" s="1"/>
  <c r="D106" i="41" a="1"/>
  <c r="D106" i="41" s="1"/>
  <c r="E106" i="176" s="1"/>
  <c r="E106" i="41" a="1"/>
  <c r="E106" i="41" s="1"/>
  <c r="F106" i="176" s="1"/>
  <c r="D107" i="41" a="1"/>
  <c r="D107" i="41" s="1"/>
  <c r="E107" i="176" s="1"/>
  <c r="E107" i="41" a="1"/>
  <c r="E107" i="41" s="1"/>
  <c r="F107" i="176" s="1"/>
  <c r="D108" i="41" a="1"/>
  <c r="D108" i="41" s="1"/>
  <c r="E108" i="176" s="1"/>
  <c r="E108" i="41" a="1"/>
  <c r="E108" i="41" s="1"/>
  <c r="F108" i="176" s="1"/>
  <c r="D109" i="41" a="1"/>
  <c r="D109" i="41" s="1"/>
  <c r="E109" i="176" s="1"/>
  <c r="E109" i="41" a="1"/>
  <c r="E109" i="41" s="1"/>
  <c r="F109" i="176" s="1"/>
  <c r="D110" i="41" a="1"/>
  <c r="D110" i="41" s="1"/>
  <c r="E110" i="176" s="1"/>
  <c r="F110" i="176"/>
  <c r="D111" i="41" a="1"/>
  <c r="D111" i="41" s="1"/>
  <c r="E111" i="176" s="1"/>
  <c r="F111" i="176"/>
  <c r="D112" i="41" a="1"/>
  <c r="D112" i="41" s="1"/>
  <c r="E112" i="176" s="1"/>
  <c r="F112" i="176"/>
  <c r="D113" i="41" a="1"/>
  <c r="D113" i="41" s="1"/>
  <c r="E113" i="176" s="1"/>
  <c r="F113" i="176"/>
  <c r="D114" i="41" a="1"/>
  <c r="D114" i="41" s="1"/>
  <c r="E114" i="176" s="1"/>
  <c r="F114" i="176"/>
  <c r="D115" i="41" a="1"/>
  <c r="D115" i="41" s="1"/>
  <c r="E115" i="176" s="1"/>
  <c r="E115" i="41" a="1"/>
  <c r="E115" i="41" s="1"/>
  <c r="F115" i="176" s="1"/>
  <c r="D116" i="41" a="1"/>
  <c r="D116" i="41" s="1"/>
  <c r="E116" i="176" s="1"/>
  <c r="E116" i="41" a="1"/>
  <c r="E116" i="41" s="1"/>
  <c r="F116" i="176" s="1"/>
  <c r="D117" i="41" a="1"/>
  <c r="D117" i="41" s="1"/>
  <c r="E117" i="176" s="1"/>
  <c r="E117" i="41" a="1"/>
  <c r="E117" i="41" s="1"/>
  <c r="F117" i="176" s="1"/>
  <c r="D118" i="41" a="1"/>
  <c r="D118" i="41" s="1"/>
  <c r="E118" i="176" s="1"/>
  <c r="E118" i="41" a="1"/>
  <c r="E118" i="41" s="1"/>
  <c r="F118" i="176" s="1"/>
  <c r="D119" i="41" a="1"/>
  <c r="D119" i="41" s="1"/>
  <c r="E119" i="176" s="1"/>
  <c r="E119" i="41" a="1"/>
  <c r="E119" i="41" s="1"/>
  <c r="F119" i="176" s="1"/>
  <c r="D120" i="41" a="1"/>
  <c r="D120" i="41" s="1"/>
  <c r="E120" i="176" s="1"/>
  <c r="E120" i="41" a="1"/>
  <c r="E120" i="41" s="1"/>
  <c r="F120" i="176" s="1"/>
  <c r="D121" i="41" a="1"/>
  <c r="D121" i="41" s="1"/>
  <c r="E121" i="176" s="1"/>
  <c r="E121" i="41" a="1"/>
  <c r="E121" i="41" s="1"/>
  <c r="F121" i="176" s="1"/>
  <c r="D122" i="41" a="1"/>
  <c r="D122" i="41" s="1"/>
  <c r="E122" i="176" s="1"/>
  <c r="E122" i="41" a="1"/>
  <c r="E122" i="41" s="1"/>
  <c r="F122" i="176" s="1"/>
  <c r="D123" i="41" a="1"/>
  <c r="D123" i="41" s="1"/>
  <c r="E123" i="176" s="1"/>
  <c r="E123" i="41" a="1"/>
  <c r="E123" i="41" s="1"/>
  <c r="F123" i="176" s="1"/>
  <c r="D125" i="41" a="1"/>
  <c r="D125" i="41" s="1"/>
  <c r="E125" i="176" s="1"/>
  <c r="E125" i="41" a="1"/>
  <c r="E125" i="41" s="1"/>
  <c r="F125" i="176" s="1"/>
  <c r="D126" i="41" a="1"/>
  <c r="D126" i="41" s="1"/>
  <c r="E126" i="176" s="1"/>
  <c r="E126" i="41" a="1"/>
  <c r="E126" i="41" s="1"/>
  <c r="F126" i="176" s="1"/>
  <c r="D127" i="41" a="1"/>
  <c r="D127" i="41" s="1"/>
  <c r="E127" i="176" s="1"/>
  <c r="E127" i="41" a="1"/>
  <c r="E127" i="41" s="1"/>
  <c r="F127" i="176" s="1"/>
  <c r="D128" i="41" a="1"/>
  <c r="D128" i="41" s="1"/>
  <c r="E128" i="176" s="1"/>
  <c r="E128" i="41" a="1"/>
  <c r="E128" i="41" s="1"/>
  <c r="F128" i="176" s="1"/>
  <c r="D129" i="41" a="1"/>
  <c r="D129" i="41" s="1"/>
  <c r="E129" i="176" s="1"/>
  <c r="E129" i="41" a="1"/>
  <c r="E129" i="41" s="1"/>
  <c r="F129" i="176" s="1"/>
  <c r="D130" i="41" a="1"/>
  <c r="D130" i="41" s="1"/>
  <c r="E130" i="176" s="1"/>
  <c r="E130" i="41" a="1"/>
  <c r="E130" i="41" s="1"/>
  <c r="F130" i="176" s="1"/>
  <c r="D131" i="41" a="1"/>
  <c r="D131" i="41" s="1"/>
  <c r="E131" i="176" s="1"/>
  <c r="E131" i="41" a="1"/>
  <c r="E131" i="41" s="1"/>
  <c r="F131" i="176" s="1"/>
  <c r="D132" i="41" a="1"/>
  <c r="D132" i="41" s="1"/>
  <c r="E132" i="176" s="1"/>
  <c r="E132" i="41" a="1"/>
  <c r="E132" i="41" s="1"/>
  <c r="F132" i="176" s="1"/>
  <c r="D133" i="41" a="1"/>
  <c r="D133" i="41" s="1"/>
  <c r="E133" i="176" s="1"/>
  <c r="E133" i="41" a="1"/>
  <c r="E133" i="41" s="1"/>
  <c r="F133" i="176" s="1"/>
  <c r="D134" i="41" a="1"/>
  <c r="D134" i="41" s="1"/>
  <c r="E134" i="176" s="1"/>
  <c r="E134" i="41" a="1"/>
  <c r="E134" i="41" s="1"/>
  <c r="F134" i="176" s="1"/>
  <c r="D135" i="41" a="1"/>
  <c r="D135" i="41" s="1"/>
  <c r="E135" i="176" s="1"/>
  <c r="E135" i="41" a="1"/>
  <c r="E135" i="41" s="1"/>
  <c r="F135" i="176" s="1"/>
  <c r="D136" i="41" a="1"/>
  <c r="D136" i="41" s="1"/>
  <c r="E136" i="176" s="1"/>
  <c r="E136" i="41" a="1"/>
  <c r="E136" i="41" s="1"/>
  <c r="F136" i="176" s="1"/>
  <c r="D137" i="41" a="1"/>
  <c r="D137" i="41" s="1"/>
  <c r="E137" i="176" s="1"/>
  <c r="E137" i="41" a="1"/>
  <c r="E137" i="41" s="1"/>
  <c r="F137" i="176" s="1"/>
  <c r="D138" i="41" a="1"/>
  <c r="D138" i="41" s="1"/>
  <c r="E138" i="176" s="1"/>
  <c r="E138" i="41" a="1"/>
  <c r="E138" i="41" s="1"/>
  <c r="F138" i="176" s="1"/>
  <c r="D139" i="41" a="1"/>
  <c r="D139" i="41" s="1"/>
  <c r="E139" i="176" s="1"/>
  <c r="E139" i="41" a="1"/>
  <c r="E139" i="41" s="1"/>
  <c r="F139" i="176" s="1"/>
  <c r="D140" i="41" a="1"/>
  <c r="D140" i="41" s="1"/>
  <c r="E140" i="176" s="1"/>
  <c r="E140" i="41" a="1"/>
  <c r="E140" i="41" s="1"/>
  <c r="F140" i="176" s="1"/>
  <c r="D141" i="41" a="1"/>
  <c r="D141" i="41" s="1"/>
  <c r="E141" i="176" s="1"/>
  <c r="E141" i="41" a="1"/>
  <c r="E141" i="41" s="1"/>
  <c r="F141" i="176" s="1"/>
  <c r="D142" i="41" a="1"/>
  <c r="D142" i="41" s="1"/>
  <c r="E142" i="176" s="1"/>
  <c r="E142" i="41" a="1"/>
  <c r="E142" i="41" s="1"/>
  <c r="F142" i="176" s="1"/>
  <c r="D143" i="41" a="1"/>
  <c r="D143" i="41" s="1"/>
  <c r="E143" i="176" s="1"/>
  <c r="E143" i="41" a="1"/>
  <c r="E143" i="41" s="1"/>
  <c r="F143" i="176" s="1"/>
  <c r="D144" i="41" a="1"/>
  <c r="D144" i="41" s="1"/>
  <c r="E144" i="176" s="1"/>
  <c r="E144" i="41" a="1"/>
  <c r="E144" i="41" s="1"/>
  <c r="F144" i="176" s="1"/>
  <c r="D145" i="41" a="1"/>
  <c r="D145" i="41" s="1"/>
  <c r="E145" i="176" s="1"/>
  <c r="E145" i="41" a="1"/>
  <c r="E145" i="41" s="1"/>
  <c r="F145" i="176" s="1"/>
  <c r="D146" i="41" a="1"/>
  <c r="D146" i="41" s="1"/>
  <c r="E146" i="176" s="1"/>
  <c r="E146" i="41" a="1"/>
  <c r="E146" i="41" s="1"/>
  <c r="F146" i="176" s="1"/>
  <c r="D147" i="41" a="1"/>
  <c r="D147" i="41" s="1"/>
  <c r="E147" i="176" s="1"/>
  <c r="E147" i="41" a="1"/>
  <c r="E147" i="41" s="1"/>
  <c r="F147" i="176" s="1"/>
  <c r="D148" i="41" a="1"/>
  <c r="D148" i="41" s="1"/>
  <c r="E148" i="176" s="1"/>
  <c r="E148" i="41" a="1"/>
  <c r="E148" i="41" s="1"/>
  <c r="F148" i="176" s="1"/>
  <c r="D149" i="41" a="1"/>
  <c r="D149" i="41" s="1"/>
  <c r="E149" i="176" s="1"/>
  <c r="E149" i="41" a="1"/>
  <c r="E149" i="41" s="1"/>
  <c r="F149" i="176" s="1"/>
  <c r="D150" i="41" a="1"/>
  <c r="D150" i="41" s="1"/>
  <c r="E150" i="176" s="1"/>
  <c r="E150" i="41" a="1"/>
  <c r="E150" i="41" s="1"/>
  <c r="F150" i="176" s="1"/>
  <c r="D151" i="41" a="1"/>
  <c r="D151" i="41" s="1"/>
  <c r="E151" i="176" s="1"/>
  <c r="E151" i="41" a="1"/>
  <c r="E151" i="41" s="1"/>
  <c r="F151" i="176" s="1"/>
  <c r="D152" i="41" a="1"/>
  <c r="D152" i="41" s="1"/>
  <c r="E152" i="176" s="1"/>
  <c r="E152" i="41" a="1"/>
  <c r="E152" i="41" s="1"/>
  <c r="F152" i="176" s="1"/>
  <c r="D153" i="41" a="1"/>
  <c r="D153" i="41" s="1"/>
  <c r="E153" i="176" s="1"/>
  <c r="E153" i="41" a="1"/>
  <c r="E153" i="41" s="1"/>
  <c r="F153" i="176" s="1"/>
  <c r="D154" i="41" a="1"/>
  <c r="D154" i="41" s="1"/>
  <c r="E154" i="176" s="1"/>
  <c r="E154" i="41" a="1"/>
  <c r="E154" i="41" s="1"/>
  <c r="F154" i="176" s="1"/>
  <c r="D155" i="41" a="1"/>
  <c r="D155" i="41" s="1"/>
  <c r="E155" i="176" s="1"/>
  <c r="E155" i="41" a="1"/>
  <c r="E155" i="41" s="1"/>
  <c r="F155" i="176" s="1"/>
  <c r="D156" i="41" a="1"/>
  <c r="D156" i="41" s="1"/>
  <c r="E156" i="176" s="1"/>
  <c r="E156" i="41" a="1"/>
  <c r="E156" i="41" s="1"/>
  <c r="F156" i="176" s="1"/>
  <c r="D157" i="41" a="1"/>
  <c r="D157" i="41" s="1"/>
  <c r="E157" i="176" s="1"/>
  <c r="E157" i="41" a="1"/>
  <c r="E157" i="41" s="1"/>
  <c r="F157" i="176" s="1"/>
  <c r="D158" i="41" a="1"/>
  <c r="D158" i="41" s="1"/>
  <c r="E158" i="176" s="1"/>
  <c r="E158" i="41" a="1"/>
  <c r="E158" i="41" s="1"/>
  <c r="F158" i="176" s="1"/>
  <c r="D159" i="41" a="1"/>
  <c r="D159" i="41" s="1"/>
  <c r="E159" i="176" s="1"/>
  <c r="E159" i="41" a="1"/>
  <c r="E159" i="41" s="1"/>
  <c r="F159" i="176" s="1"/>
  <c r="D160" i="41" a="1"/>
  <c r="D160" i="41" s="1"/>
  <c r="E160" i="176" s="1"/>
  <c r="E160" i="41" a="1"/>
  <c r="E160" i="41" s="1"/>
  <c r="F160" i="176" s="1"/>
  <c r="D161" i="41" a="1"/>
  <c r="D161" i="41" s="1"/>
  <c r="E161" i="176" s="1"/>
  <c r="E161" i="41" a="1"/>
  <c r="E161" i="41" s="1"/>
  <c r="F161" i="176" s="1"/>
  <c r="D162" i="41" a="1"/>
  <c r="D162" i="41" s="1"/>
  <c r="E162" i="176" s="1"/>
  <c r="E162" i="41" a="1"/>
  <c r="E162" i="41" s="1"/>
  <c r="F162" i="176" s="1"/>
  <c r="D163" i="41" a="1"/>
  <c r="D163" i="41" s="1"/>
  <c r="E163" i="176" s="1"/>
  <c r="E163" i="41" a="1"/>
  <c r="E163" i="41" s="1"/>
  <c r="F163" i="176" s="1"/>
  <c r="D164" i="41" a="1"/>
  <c r="D164" i="41" s="1"/>
  <c r="E164" i="176" s="1"/>
  <c r="E164" i="41" a="1"/>
  <c r="E164" i="41" s="1"/>
  <c r="F164" i="176" s="1"/>
  <c r="D165" i="41" a="1"/>
  <c r="D165" i="41" s="1"/>
  <c r="E165" i="176" s="1"/>
  <c r="E165" i="41" a="1"/>
  <c r="E165" i="41" s="1"/>
  <c r="F165" i="176" s="1"/>
  <c r="D166" i="41" a="1"/>
  <c r="D166" i="41" s="1"/>
  <c r="E166" i="176" s="1"/>
  <c r="E166" i="41" a="1"/>
  <c r="E166" i="41" s="1"/>
  <c r="F166" i="176" s="1"/>
  <c r="D167" i="41" a="1"/>
  <c r="D167" i="41" s="1"/>
  <c r="E167" i="176" s="1"/>
  <c r="E167" i="41" a="1"/>
  <c r="E167" i="41" s="1"/>
  <c r="F167" i="176" s="1"/>
  <c r="D168" i="41" a="1"/>
  <c r="D168" i="41" s="1"/>
  <c r="E168" i="176" s="1"/>
  <c r="E168" i="41" a="1"/>
  <c r="E168" i="41" s="1"/>
  <c r="F168" i="176" s="1"/>
  <c r="D169" i="41" a="1"/>
  <c r="D169" i="41" s="1"/>
  <c r="E169" i="176" s="1"/>
  <c r="E169" i="41" a="1"/>
  <c r="E169" i="41" s="1"/>
  <c r="F169" i="176" s="1"/>
  <c r="D170" i="41" a="1"/>
  <c r="D170" i="41" s="1"/>
  <c r="E170" i="176" s="1"/>
  <c r="E170" i="41" a="1"/>
  <c r="E170" i="41" s="1"/>
  <c r="F170" i="176" s="1"/>
  <c r="D171" i="41" a="1"/>
  <c r="D171" i="41" s="1"/>
  <c r="E171" i="176" s="1"/>
  <c r="E171" i="41" a="1"/>
  <c r="E171" i="41" s="1"/>
  <c r="F171" i="176" s="1"/>
  <c r="D172" i="41" a="1"/>
  <c r="D172" i="41" s="1"/>
  <c r="E172" i="176" s="1"/>
  <c r="E172" i="41" a="1"/>
  <c r="E172" i="41" s="1"/>
  <c r="F172" i="176" s="1"/>
  <c r="D173" i="41" a="1"/>
  <c r="D173" i="41" s="1"/>
  <c r="E173" i="176" s="1"/>
  <c r="E173" i="41" a="1"/>
  <c r="E173" i="41" s="1"/>
  <c r="F173" i="176" s="1"/>
  <c r="D174" i="41" a="1"/>
  <c r="D174" i="41" s="1"/>
  <c r="E174" i="176" s="1"/>
  <c r="E174" i="41" a="1"/>
  <c r="E174" i="41" s="1"/>
  <c r="F174" i="176" s="1"/>
  <c r="D175" i="41" a="1"/>
  <c r="D175" i="41" s="1"/>
  <c r="E175" i="176" s="1"/>
  <c r="E175" i="41" a="1"/>
  <c r="E175" i="41" s="1"/>
  <c r="F175" i="176" s="1"/>
  <c r="D176" i="41" a="1"/>
  <c r="D176" i="41" s="1"/>
  <c r="E176" i="176" s="1"/>
  <c r="E176" i="41" a="1"/>
  <c r="E176" i="41" s="1"/>
  <c r="F176" i="176" s="1"/>
  <c r="D177" i="41" a="1"/>
  <c r="D177" i="41" s="1"/>
  <c r="E177" i="176" s="1"/>
  <c r="E177" i="41" a="1"/>
  <c r="E177" i="41" s="1"/>
  <c r="F177" i="176" s="1"/>
  <c r="D178" i="41" a="1"/>
  <c r="D178" i="41" s="1"/>
  <c r="E178" i="176" s="1"/>
  <c r="E178" i="41" a="1"/>
  <c r="E178" i="41" s="1"/>
  <c r="F178" i="176" s="1"/>
  <c r="D179" i="41" a="1"/>
  <c r="D179" i="41" s="1"/>
  <c r="E179" i="176" s="1"/>
  <c r="E179" i="41" a="1"/>
  <c r="E179" i="41" s="1"/>
  <c r="F179" i="176" s="1"/>
  <c r="D180" i="41" a="1"/>
  <c r="D180" i="41" s="1"/>
  <c r="E180" i="176" s="1"/>
  <c r="E180" i="41" a="1"/>
  <c r="E180" i="41" s="1"/>
  <c r="F180" i="176" s="1"/>
  <c r="D181" i="41" a="1"/>
  <c r="D181" i="41" s="1"/>
  <c r="E181" i="176" s="1"/>
  <c r="E181" i="41" a="1"/>
  <c r="E181" i="41" s="1"/>
  <c r="F181" i="176" s="1"/>
  <c r="D182" i="41" a="1"/>
  <c r="D182" i="41" s="1"/>
  <c r="E182" i="176" s="1"/>
  <c r="E182" i="41" a="1"/>
  <c r="E182" i="41" s="1"/>
  <c r="F182" i="176" s="1"/>
  <c r="D183" i="41" a="1"/>
  <c r="D183" i="41" s="1"/>
  <c r="E183" i="176" s="1"/>
  <c r="E183" i="41" a="1"/>
  <c r="E183" i="41" s="1"/>
  <c r="F183" i="176" s="1"/>
  <c r="D184" i="41" a="1"/>
  <c r="D184" i="41" s="1"/>
  <c r="E184" i="176" s="1"/>
  <c r="E184" i="41" a="1"/>
  <c r="E184" i="41" s="1"/>
  <c r="F184" i="176" s="1"/>
  <c r="D185" i="41" a="1"/>
  <c r="D185" i="41" s="1"/>
  <c r="E185" i="176" s="1"/>
  <c r="E185" i="41" a="1"/>
  <c r="E185" i="41" s="1"/>
  <c r="F185" i="176" s="1"/>
  <c r="D186" i="41" a="1"/>
  <c r="D186" i="41" s="1"/>
  <c r="E186" i="176" s="1"/>
  <c r="E186" i="41" a="1"/>
  <c r="E186" i="41" s="1"/>
  <c r="F186" i="176" s="1"/>
  <c r="D187" i="41" a="1"/>
  <c r="D187" i="41" s="1"/>
  <c r="E187" i="176" s="1"/>
  <c r="E187" i="41" a="1"/>
  <c r="E187" i="41" s="1"/>
  <c r="F187" i="176" s="1"/>
  <c r="D188" i="41" a="1"/>
  <c r="D188" i="41" s="1"/>
  <c r="E188" i="176" s="1"/>
  <c r="E188" i="41" a="1"/>
  <c r="E188" i="41" s="1"/>
  <c r="F188" i="176" s="1"/>
  <c r="D189" i="41" a="1"/>
  <c r="D189" i="41" s="1"/>
  <c r="E189" i="176" s="1"/>
  <c r="E189" i="41" a="1"/>
  <c r="E189" i="41" s="1"/>
  <c r="F189" i="176" s="1"/>
  <c r="D190" i="41" a="1"/>
  <c r="D190" i="41" s="1"/>
  <c r="E190" i="176" s="1"/>
  <c r="E190" i="41" a="1"/>
  <c r="E190" i="41" s="1"/>
  <c r="F190" i="176" s="1"/>
  <c r="D191" i="41" a="1"/>
  <c r="D191" i="41" s="1"/>
  <c r="E191" i="176" s="1"/>
  <c r="E191" i="41" a="1"/>
  <c r="E191" i="41" s="1"/>
  <c r="F191" i="176" s="1"/>
  <c r="D192" i="41" a="1"/>
  <c r="D192" i="41" s="1"/>
  <c r="E192" i="176" s="1"/>
  <c r="E192" i="41" a="1"/>
  <c r="E192" i="41" s="1"/>
  <c r="F192" i="176" s="1"/>
  <c r="D193" i="41" a="1"/>
  <c r="D193" i="41" s="1"/>
  <c r="E193" i="176" s="1"/>
  <c r="E193" i="41" a="1"/>
  <c r="E193" i="41" s="1"/>
  <c r="F193" i="176" s="1"/>
  <c r="D194" i="41" a="1"/>
  <c r="D194" i="41" s="1"/>
  <c r="E194" i="176" s="1"/>
  <c r="E194" i="41" a="1"/>
  <c r="E194" i="41" s="1"/>
  <c r="F194" i="176" s="1"/>
  <c r="D195" i="41" a="1"/>
  <c r="D195" i="41" s="1"/>
  <c r="E195" i="176" s="1"/>
  <c r="E195" i="41" a="1"/>
  <c r="E195" i="41" s="1"/>
  <c r="F195" i="176" s="1"/>
  <c r="D196" i="41" a="1"/>
  <c r="D196" i="41" s="1"/>
  <c r="E196" i="176" s="1"/>
  <c r="E196" i="41" a="1"/>
  <c r="E196" i="41" s="1"/>
  <c r="F196" i="176" s="1"/>
  <c r="D197" i="41" a="1"/>
  <c r="D197" i="41" s="1"/>
  <c r="E197" i="176" s="1"/>
  <c r="E197" i="41" a="1"/>
  <c r="E197" i="41" s="1"/>
  <c r="F197" i="176" s="1"/>
  <c r="D198" i="41" a="1"/>
  <c r="D198" i="41" s="1"/>
  <c r="E198" i="176" s="1"/>
  <c r="E198" i="41" a="1"/>
  <c r="E198" i="41" s="1"/>
  <c r="F198" i="176" s="1"/>
  <c r="D199" i="41" a="1"/>
  <c r="D199" i="41" s="1"/>
  <c r="E199" i="176" s="1"/>
  <c r="E199" i="41" a="1"/>
  <c r="E199" i="41" s="1"/>
  <c r="F199" i="176" s="1"/>
  <c r="D200" i="41" a="1"/>
  <c r="D200" i="41" s="1"/>
  <c r="E200" i="176" s="1"/>
  <c r="E200" i="41" a="1"/>
  <c r="E200" i="41" s="1"/>
  <c r="F200" i="176" s="1"/>
  <c r="D201" i="41" a="1"/>
  <c r="D201" i="41" s="1"/>
  <c r="E201" i="176" s="1"/>
  <c r="E201" i="41" a="1"/>
  <c r="E201" i="41" s="1"/>
  <c r="F201" i="176" s="1"/>
  <c r="D202" i="41" a="1"/>
  <c r="D202" i="41" s="1"/>
  <c r="E202" i="176" s="1"/>
  <c r="E202" i="41" a="1"/>
  <c r="E202" i="41" s="1"/>
  <c r="F202" i="176" s="1"/>
  <c r="D203" i="41" a="1"/>
  <c r="D203" i="41" s="1"/>
  <c r="E203" i="176" s="1"/>
  <c r="E203" i="41" a="1"/>
  <c r="E203" i="41" s="1"/>
  <c r="F203" i="176" s="1"/>
  <c r="D204" i="41" a="1"/>
  <c r="D204" i="41" s="1"/>
  <c r="E204" i="176" s="1"/>
  <c r="E204" i="41" a="1"/>
  <c r="E204" i="41" s="1"/>
  <c r="F204" i="176" s="1"/>
  <c r="D205" i="41" a="1"/>
  <c r="D205" i="41" s="1"/>
  <c r="E205" i="176" s="1"/>
  <c r="E205" i="41" a="1"/>
  <c r="E205" i="41" s="1"/>
  <c r="F205" i="176" s="1"/>
  <c r="D206" i="41" a="1"/>
  <c r="D206" i="41" s="1"/>
  <c r="E206" i="176" s="1"/>
  <c r="E206" i="41" a="1"/>
  <c r="E206" i="41" s="1"/>
  <c r="F206" i="176" s="1"/>
  <c r="D207" i="41" a="1"/>
  <c r="D207" i="41" s="1"/>
  <c r="E207" i="176" s="1"/>
  <c r="E207" i="41" a="1"/>
  <c r="E207" i="41" s="1"/>
  <c r="F207" i="176" s="1"/>
  <c r="D208" i="41" a="1"/>
  <c r="D208" i="41" s="1"/>
  <c r="E208" i="176" s="1"/>
  <c r="E208" i="41" a="1"/>
  <c r="E208" i="41" s="1"/>
  <c r="F208" i="176" s="1"/>
  <c r="D209" i="41" a="1"/>
  <c r="D209" i="41" s="1"/>
  <c r="E209" i="176" s="1"/>
  <c r="E209" i="41" a="1"/>
  <c r="E209" i="41" s="1"/>
  <c r="F209" i="176" s="1"/>
  <c r="D210" i="41" a="1"/>
  <c r="D210" i="41" s="1"/>
  <c r="E210" i="176" s="1"/>
  <c r="E210" i="41" a="1"/>
  <c r="E210" i="41" s="1"/>
  <c r="F210" i="176" s="1"/>
  <c r="D211" i="41" a="1"/>
  <c r="D211" i="41" s="1"/>
  <c r="E211" i="176" s="1"/>
  <c r="E211" i="41" a="1"/>
  <c r="E211" i="41" s="1"/>
  <c r="F211" i="176" s="1"/>
  <c r="D212" i="41" a="1"/>
  <c r="D212" i="41" s="1"/>
  <c r="E212" i="176" s="1"/>
  <c r="E212" i="41" a="1"/>
  <c r="E212" i="41" s="1"/>
  <c r="F212" i="176" s="1"/>
  <c r="D213" i="41" a="1"/>
  <c r="D213" i="41" s="1"/>
  <c r="E213" i="176" s="1"/>
  <c r="E213" i="41" a="1"/>
  <c r="E213" i="41" s="1"/>
  <c r="F213" i="176" s="1"/>
  <c r="D214" i="41" a="1"/>
  <c r="D214" i="41" s="1"/>
  <c r="E214" i="176" s="1"/>
  <c r="E214" i="41" a="1"/>
  <c r="E214" i="41" s="1"/>
  <c r="F214" i="176" s="1"/>
  <c r="D215" i="41" a="1"/>
  <c r="D215" i="41" s="1"/>
  <c r="E215" i="176" s="1"/>
  <c r="E215" i="41" a="1"/>
  <c r="E215" i="41" s="1"/>
  <c r="F215" i="176" s="1"/>
  <c r="D216" i="41" a="1"/>
  <c r="D216" i="41" s="1"/>
  <c r="E216" i="176" s="1"/>
  <c r="E216" i="41" a="1"/>
  <c r="E216" i="41" s="1"/>
  <c r="F216" i="176" s="1"/>
  <c r="D217" i="41" a="1"/>
  <c r="D217" i="41" s="1"/>
  <c r="E217" i="176" s="1"/>
  <c r="E217" i="41" a="1"/>
  <c r="E217" i="41" s="1"/>
  <c r="F217" i="176" s="1"/>
  <c r="D218" i="41" a="1"/>
  <c r="D218" i="41" s="1"/>
  <c r="E218" i="176" s="1"/>
  <c r="E218" i="41" a="1"/>
  <c r="E218" i="41" s="1"/>
  <c r="F218" i="176" s="1"/>
  <c r="D219" i="41" a="1"/>
  <c r="D219" i="41" s="1"/>
  <c r="E219" i="176" s="1"/>
  <c r="E219" i="41" a="1"/>
  <c r="E219" i="41" s="1"/>
  <c r="F219" i="176" s="1"/>
  <c r="D220" i="41" a="1"/>
  <c r="D220" i="41" s="1"/>
  <c r="E220" i="176" s="1"/>
  <c r="E220" i="41" a="1"/>
  <c r="E220" i="41" s="1"/>
  <c r="F220" i="176" s="1"/>
  <c r="D221" i="41" a="1"/>
  <c r="D221" i="41" s="1"/>
  <c r="E221" i="176" s="1"/>
  <c r="E221" i="41" a="1"/>
  <c r="E221" i="41" s="1"/>
  <c r="F221" i="176" s="1"/>
  <c r="D222" i="41" a="1"/>
  <c r="D222" i="41" s="1"/>
  <c r="E222" i="176" s="1"/>
  <c r="E222" i="41" a="1"/>
  <c r="E222" i="41" s="1"/>
  <c r="F222" i="176" s="1"/>
  <c r="D223" i="41" a="1"/>
  <c r="D223" i="41" s="1"/>
  <c r="E223" i="176" s="1"/>
  <c r="E223" i="41" a="1"/>
  <c r="E223" i="41" s="1"/>
  <c r="F223" i="176" s="1"/>
  <c r="D224" i="41" a="1"/>
  <c r="D224" i="41" s="1"/>
  <c r="E224" i="176" s="1"/>
  <c r="E224" i="41" a="1"/>
  <c r="E224" i="41" s="1"/>
  <c r="F224" i="176" s="1"/>
  <c r="D225" i="41" a="1"/>
  <c r="D225" i="41" s="1"/>
  <c r="E225" i="176" s="1"/>
  <c r="E225" i="41" a="1"/>
  <c r="E225" i="41" s="1"/>
  <c r="F225" i="176" s="1"/>
  <c r="D226" i="41" a="1"/>
  <c r="D226" i="41" s="1"/>
  <c r="E226" i="176" s="1"/>
  <c r="E226" i="41" a="1"/>
  <c r="E226" i="41" s="1"/>
  <c r="F226" i="176" s="1"/>
  <c r="D227" i="41" a="1"/>
  <c r="D227" i="41" s="1"/>
  <c r="E227" i="176" s="1"/>
  <c r="E227" i="41" a="1"/>
  <c r="E227" i="41" s="1"/>
  <c r="F227" i="176" s="1"/>
  <c r="D228" i="41" a="1"/>
  <c r="D228" i="41" s="1"/>
  <c r="E228" i="176" s="1"/>
  <c r="E228" i="41" a="1"/>
  <c r="E228" i="41" s="1"/>
  <c r="F228" i="176" s="1"/>
  <c r="D229" i="41" a="1"/>
  <c r="D229" i="41" s="1"/>
  <c r="E229" i="176" s="1"/>
  <c r="E229" i="41" a="1"/>
  <c r="E229" i="41" s="1"/>
  <c r="F229" i="176" s="1"/>
  <c r="D230" i="41" a="1"/>
  <c r="D230" i="41" s="1"/>
  <c r="E230" i="176" s="1"/>
  <c r="E230" i="41" a="1"/>
  <c r="E230" i="41" s="1"/>
  <c r="F230" i="176" s="1"/>
  <c r="D231" i="41" a="1"/>
  <c r="D231" i="41" s="1"/>
  <c r="E231" i="176" s="1"/>
  <c r="E231" i="41" a="1"/>
  <c r="E231" i="41" s="1"/>
  <c r="F231" i="176" s="1"/>
  <c r="D232" i="41" a="1"/>
  <c r="D232" i="41" s="1"/>
  <c r="E232" i="176" s="1"/>
  <c r="E232" i="41" a="1"/>
  <c r="E232" i="41" s="1"/>
  <c r="F232" i="176" s="1"/>
  <c r="D233" i="41" a="1"/>
  <c r="D233" i="41" s="1"/>
  <c r="E233" i="176" s="1"/>
  <c r="E233" i="41" a="1"/>
  <c r="E233" i="41" s="1"/>
  <c r="F233" i="176" s="1"/>
  <c r="D234" i="41" a="1"/>
  <c r="D234" i="41" s="1"/>
  <c r="E234" i="176" s="1"/>
  <c r="E234" i="41" a="1"/>
  <c r="E234" i="41" s="1"/>
  <c r="F234" i="176" s="1"/>
  <c r="D235" i="41" a="1"/>
  <c r="D235" i="41" s="1"/>
  <c r="E235" i="176" s="1"/>
  <c r="E235" i="41" a="1"/>
  <c r="E235" i="41" s="1"/>
  <c r="F235" i="176" s="1"/>
  <c r="D236" i="41" a="1"/>
  <c r="D236" i="41" s="1"/>
  <c r="E236" i="176" s="1"/>
  <c r="E236" i="41" a="1"/>
  <c r="E236" i="41" s="1"/>
  <c r="F236" i="176" s="1"/>
  <c r="D237" i="41" a="1"/>
  <c r="D237" i="41" s="1"/>
  <c r="E237" i="176" s="1"/>
  <c r="E237" i="41" a="1"/>
  <c r="E237" i="41" s="1"/>
  <c r="F237" i="176" s="1"/>
  <c r="D238" i="41" a="1"/>
  <c r="D238" i="41" s="1"/>
  <c r="E238" i="176" s="1"/>
  <c r="E238" i="41" a="1"/>
  <c r="E238" i="41" s="1"/>
  <c r="F238" i="176" s="1"/>
  <c r="D239" i="41" a="1"/>
  <c r="D239" i="41" s="1"/>
  <c r="E239" i="176" s="1"/>
  <c r="E239" i="41" a="1"/>
  <c r="E239" i="41" s="1"/>
  <c r="F239" i="176" s="1"/>
  <c r="D240" i="41" a="1"/>
  <c r="D240" i="41" s="1"/>
  <c r="E240" i="176" s="1"/>
  <c r="E240" i="41" a="1"/>
  <c r="E240" i="41" s="1"/>
  <c r="F240" i="176" s="1"/>
  <c r="D241" i="41" a="1"/>
  <c r="D241" i="41" s="1"/>
  <c r="E241" i="176" s="1"/>
  <c r="E241" i="41" a="1"/>
  <c r="E241" i="41" s="1"/>
  <c r="F241" i="176" s="1"/>
  <c r="D242" i="41" a="1"/>
  <c r="D242" i="41" s="1"/>
  <c r="E242" i="176" s="1"/>
  <c r="E242" i="41" a="1"/>
  <c r="E242" i="41" s="1"/>
  <c r="F242" i="176" s="1"/>
  <c r="D243" i="41" a="1"/>
  <c r="D243" i="41" s="1"/>
  <c r="E243" i="176" s="1"/>
  <c r="E243" i="41" a="1"/>
  <c r="E243" i="41" s="1"/>
  <c r="F243" i="176" s="1"/>
  <c r="D244" i="41" a="1"/>
  <c r="D244" i="41" s="1"/>
  <c r="E244" i="176" s="1"/>
  <c r="E244" i="41" a="1"/>
  <c r="E244" i="41" s="1"/>
  <c r="F244" i="176" s="1"/>
  <c r="D245" i="41" a="1"/>
  <c r="D245" i="41" s="1"/>
  <c r="E245" i="176" s="1"/>
  <c r="E245" i="41" a="1"/>
  <c r="E245" i="41" s="1"/>
  <c r="F245" i="176" s="1"/>
  <c r="D246" i="41" a="1"/>
  <c r="D246" i="41" s="1"/>
  <c r="E246" i="176" s="1"/>
  <c r="E246" i="41" a="1"/>
  <c r="E246" i="41" s="1"/>
  <c r="F246" i="176" s="1"/>
  <c r="D247" i="41" a="1"/>
  <c r="D247" i="41" s="1"/>
  <c r="E247" i="176" s="1"/>
  <c r="E247" i="41" a="1"/>
  <c r="E247" i="41" s="1"/>
  <c r="F247" i="176" s="1"/>
  <c r="D248" i="41" a="1"/>
  <c r="D248" i="41" s="1"/>
  <c r="E248" i="176" s="1"/>
  <c r="E248" i="41" a="1"/>
  <c r="E248" i="41" s="1"/>
  <c r="F248" i="176" s="1"/>
  <c r="D249" i="41" a="1"/>
  <c r="D249" i="41" s="1"/>
  <c r="E249" i="176" s="1"/>
  <c r="E249" i="41" a="1"/>
  <c r="E249" i="41" s="1"/>
  <c r="F249" i="176" s="1"/>
  <c r="D250" i="41" a="1"/>
  <c r="D250" i="41" s="1"/>
  <c r="E250" i="176" s="1"/>
  <c r="E250" i="41" a="1"/>
  <c r="E250" i="41" s="1"/>
  <c r="F250" i="176" s="1"/>
  <c r="D251" i="41" a="1"/>
  <c r="D251" i="41" s="1"/>
  <c r="E251" i="176" s="1"/>
  <c r="E251" i="41" a="1"/>
  <c r="E251" i="41" s="1"/>
  <c r="F251" i="176" s="1"/>
  <c r="D252" i="41" a="1"/>
  <c r="D252" i="41" s="1"/>
  <c r="E252" i="176" s="1"/>
  <c r="E252" i="41" a="1"/>
  <c r="E252" i="41" s="1"/>
  <c r="F252" i="176" s="1"/>
  <c r="D253" i="41" a="1"/>
  <c r="D253" i="41" s="1"/>
  <c r="E253" i="176" s="1"/>
  <c r="E253" i="41" a="1"/>
  <c r="E253" i="41" s="1"/>
  <c r="F253" i="176" s="1"/>
  <c r="D254" i="41" a="1"/>
  <c r="D254" i="41" s="1"/>
  <c r="E254" i="176" s="1"/>
  <c r="E254" i="41" a="1"/>
  <c r="E254" i="41" s="1"/>
  <c r="F254" i="176" s="1"/>
  <c r="D255" i="41" a="1"/>
  <c r="D255" i="41" s="1"/>
  <c r="E255" i="176" s="1"/>
  <c r="E255" i="41" a="1"/>
  <c r="E255" i="41" s="1"/>
  <c r="F255" i="176" s="1"/>
  <c r="D256" i="41" a="1"/>
  <c r="D256" i="41" s="1"/>
  <c r="E256" i="176" s="1"/>
  <c r="E256" i="41" a="1"/>
  <c r="E256" i="41" s="1"/>
  <c r="F256" i="176" s="1"/>
  <c r="D257" i="41" a="1"/>
  <c r="D257" i="41" s="1"/>
  <c r="E257" i="176" s="1"/>
  <c r="E257" i="41" a="1"/>
  <c r="E257" i="41" s="1"/>
  <c r="F257" i="176" s="1"/>
  <c r="D258" i="41" a="1"/>
  <c r="D258" i="41" s="1"/>
  <c r="E258" i="176" s="1"/>
  <c r="E258" i="41" a="1"/>
  <c r="E258" i="41" s="1"/>
  <c r="F258" i="176" s="1"/>
  <c r="D259" i="41" a="1"/>
  <c r="D259" i="41" s="1"/>
  <c r="E259" i="176" s="1"/>
  <c r="E259" i="41" a="1"/>
  <c r="E259" i="41" s="1"/>
  <c r="F259" i="176" s="1"/>
  <c r="D260" i="41" a="1"/>
  <c r="D260" i="41" s="1"/>
  <c r="E260" i="176" s="1"/>
  <c r="E260" i="41" a="1"/>
  <c r="E260" i="41" s="1"/>
  <c r="F260" i="176" s="1"/>
  <c r="D261" i="41" a="1"/>
  <c r="D261" i="41" s="1"/>
  <c r="E261" i="176" s="1"/>
  <c r="E261" i="41" a="1"/>
  <c r="E261" i="41" s="1"/>
  <c r="F261" i="176" s="1"/>
  <c r="D262" i="41" a="1"/>
  <c r="D262" i="41" s="1"/>
  <c r="E262" i="176" s="1"/>
  <c r="E262" i="41" a="1"/>
  <c r="E262" i="41" s="1"/>
  <c r="F262" i="176" s="1"/>
  <c r="D263" i="41" a="1"/>
  <c r="D263" i="41" s="1"/>
  <c r="E263" i="176" s="1"/>
  <c r="E263" i="41" a="1"/>
  <c r="E263" i="41" s="1"/>
  <c r="F263" i="176" s="1"/>
  <c r="D264" i="41" a="1"/>
  <c r="D264" i="41" s="1"/>
  <c r="E264" i="176" s="1"/>
  <c r="E264" i="41" a="1"/>
  <c r="E264" i="41" s="1"/>
  <c r="F264" i="176" s="1"/>
  <c r="D265" i="41" a="1"/>
  <c r="D265" i="41" s="1"/>
  <c r="E265" i="176" s="1"/>
  <c r="E265" i="41" a="1"/>
  <c r="E265" i="41" s="1"/>
  <c r="F265" i="176" s="1"/>
  <c r="D266" i="41" a="1"/>
  <c r="D266" i="41" s="1"/>
  <c r="E266" i="176" s="1"/>
  <c r="E266" i="41" a="1"/>
  <c r="E266" i="41" s="1"/>
  <c r="F266" i="176" s="1"/>
  <c r="D267" i="41" a="1"/>
  <c r="D267" i="41" s="1"/>
  <c r="E267" i="176" s="1"/>
  <c r="E267" i="41" a="1"/>
  <c r="E267" i="41" s="1"/>
  <c r="F267" i="176" s="1"/>
  <c r="D268" i="41" a="1"/>
  <c r="D268" i="41" s="1"/>
  <c r="E268" i="176" s="1"/>
  <c r="E268" i="41" a="1"/>
  <c r="E268" i="41" s="1"/>
  <c r="F268" i="176" s="1"/>
  <c r="D269" i="41" a="1"/>
  <c r="D269" i="41" s="1"/>
  <c r="E269" i="176" s="1"/>
  <c r="E269" i="41" a="1"/>
  <c r="E269" i="41" s="1"/>
  <c r="F269" i="176" s="1"/>
  <c r="D270" i="41" a="1"/>
  <c r="D270" i="41" s="1"/>
  <c r="E270" i="176" s="1"/>
  <c r="E270" i="41" a="1"/>
  <c r="E270" i="41" s="1"/>
  <c r="F270" i="176" s="1"/>
  <c r="D271" i="41" a="1"/>
  <c r="D271" i="41" s="1"/>
  <c r="E271" i="176" s="1"/>
  <c r="E271" i="41" a="1"/>
  <c r="E271" i="41" s="1"/>
  <c r="F271" i="176" s="1"/>
  <c r="D272" i="41" a="1"/>
  <c r="D272" i="41" s="1"/>
  <c r="E272" i="176" s="1"/>
  <c r="E272" i="41" a="1"/>
  <c r="E272" i="41" s="1"/>
  <c r="F272" i="176" s="1"/>
  <c r="D273" i="41" a="1"/>
  <c r="D273" i="41" s="1"/>
  <c r="E273" i="176" s="1"/>
  <c r="E273" i="41" a="1"/>
  <c r="E273" i="41" s="1"/>
  <c r="F273" i="176" s="1"/>
  <c r="D274" i="41" a="1"/>
  <c r="D274" i="41" s="1"/>
  <c r="E274" i="176" s="1"/>
  <c r="E274" i="41" a="1"/>
  <c r="E274" i="41" s="1"/>
  <c r="F274" i="176" s="1"/>
  <c r="B275" i="41"/>
  <c r="J275" i="41" s="1" a="1"/>
  <c r="J275" i="41" s="1"/>
  <c r="M275" i="176" s="1"/>
  <c r="D283" i="41" a="1"/>
  <c r="D283" i="41" s="1"/>
  <c r="E283" i="176" s="1"/>
  <c r="E283" i="41" a="1"/>
  <c r="E283" i="41" s="1"/>
  <c r="F283" i="176" s="1"/>
  <c r="D284" i="41" a="1"/>
  <c r="D284" i="41" s="1"/>
  <c r="E284" i="176" s="1"/>
  <c r="E284" i="41" a="1"/>
  <c r="E284" i="41" s="1"/>
  <c r="F284" i="176" s="1"/>
  <c r="D285" i="41" a="1"/>
  <c r="D285" i="41" s="1"/>
  <c r="E285" i="176" s="1"/>
  <c r="E285" i="41" a="1"/>
  <c r="E285" i="41" s="1"/>
  <c r="F285" i="176" s="1"/>
  <c r="D286" i="41" a="1"/>
  <c r="D286" i="41" s="1"/>
  <c r="E286" i="176" s="1"/>
  <c r="E286" i="41" a="1"/>
  <c r="E286" i="41" s="1"/>
  <c r="F286" i="176" s="1"/>
  <c r="D287" i="41" a="1"/>
  <c r="D287" i="41" s="1"/>
  <c r="E287" i="176" s="1"/>
  <c r="E287" i="41" a="1"/>
  <c r="E287" i="41" s="1"/>
  <c r="F287" i="176" s="1"/>
  <c r="D288" i="41" a="1"/>
  <c r="D288" i="41" s="1"/>
  <c r="E288" i="176" s="1"/>
  <c r="E288" i="41" a="1"/>
  <c r="E288" i="41" s="1"/>
  <c r="F288" i="176" s="1"/>
  <c r="B289" i="41"/>
  <c r="B289" i="176"/>
  <c r="B290" i="176" s="1"/>
  <c r="B291" i="176" s="1"/>
  <c r="B292" i="176" s="1"/>
  <c r="B293" i="176" s="1"/>
  <c r="B294" i="176" s="1"/>
  <c r="B295" i="176" s="1"/>
  <c r="B296" i="176" s="1"/>
  <c r="F124" i="41" a="1"/>
  <c r="F124" i="41" s="1"/>
  <c r="G124" i="176" s="1"/>
  <c r="G124" i="41" a="1"/>
  <c r="G124" i="41" s="1"/>
  <c r="H124" i="176" s="1"/>
  <c r="F125" i="41" a="1"/>
  <c r="F125" i="41" s="1"/>
  <c r="G125" i="176" s="1"/>
  <c r="G125" i="41" a="1"/>
  <c r="G125" i="41" s="1"/>
  <c r="H125" i="176" s="1"/>
  <c r="F126" i="41" a="1"/>
  <c r="F126" i="41" s="1"/>
  <c r="G126" i="176" s="1"/>
  <c r="G126" i="41" a="1"/>
  <c r="G126" i="41" s="1"/>
  <c r="H126" i="176" s="1"/>
  <c r="F127" i="41" a="1"/>
  <c r="F127" i="41" s="1"/>
  <c r="G127" i="176" s="1"/>
  <c r="G127" i="41" a="1"/>
  <c r="G127" i="41" s="1"/>
  <c r="H127" i="176" s="1"/>
  <c r="F128" i="41" a="1"/>
  <c r="F128" i="41" s="1"/>
  <c r="G128" i="176" s="1"/>
  <c r="G128" i="41" a="1"/>
  <c r="G128" i="41" s="1"/>
  <c r="H128" i="176" s="1"/>
  <c r="I124" i="41" a="1"/>
  <c r="I124" i="41" s="1"/>
  <c r="L124" i="176" s="1"/>
  <c r="J124" i="41" a="1"/>
  <c r="J124" i="41" s="1"/>
  <c r="M124" i="176" s="1"/>
  <c r="I125" i="41" a="1"/>
  <c r="I125" i="41" s="1"/>
  <c r="L125" i="176" s="1"/>
  <c r="J125" i="41" a="1"/>
  <c r="J125" i="41" s="1"/>
  <c r="M125" i="176" s="1"/>
  <c r="I126" i="41" a="1"/>
  <c r="I126" i="41" s="1"/>
  <c r="L126" i="176" s="1"/>
  <c r="J126" i="41" a="1"/>
  <c r="J126" i="41" s="1"/>
  <c r="M126" i="176" s="1"/>
  <c r="I127" i="41" a="1"/>
  <c r="I127" i="41" s="1"/>
  <c r="L127" i="176" s="1"/>
  <c r="J127" i="41" a="1"/>
  <c r="J127" i="41" s="1"/>
  <c r="M127" i="176" s="1"/>
  <c r="I128" i="41" a="1"/>
  <c r="I128" i="41" s="1"/>
  <c r="L128" i="176" s="1"/>
  <c r="J128" i="41" a="1"/>
  <c r="J128" i="41" s="1"/>
  <c r="M128" i="176" s="1"/>
  <c r="K124" i="41" a="1"/>
  <c r="K124" i="41" s="1"/>
  <c r="N124" i="176" s="1"/>
  <c r="L124" i="41" a="1"/>
  <c r="L124" i="41" s="1"/>
  <c r="O124" i="176" s="1"/>
  <c r="K125" i="41" a="1"/>
  <c r="K125" i="41" s="1"/>
  <c r="N125" i="176" s="1"/>
  <c r="L125" i="41" a="1"/>
  <c r="L125" i="41" s="1"/>
  <c r="O125" i="176" s="1"/>
  <c r="K126" i="41" a="1"/>
  <c r="K126" i="41" s="1"/>
  <c r="N126" i="176" s="1"/>
  <c r="L126" i="41" a="1"/>
  <c r="L126" i="41" s="1"/>
  <c r="O126" i="176" s="1"/>
  <c r="K127" i="41" a="1"/>
  <c r="K127" i="41" s="1"/>
  <c r="N127" i="176" s="1"/>
  <c r="L127" i="41" a="1"/>
  <c r="L127" i="41" s="1"/>
  <c r="O127" i="176" s="1"/>
  <c r="K128" i="41" a="1"/>
  <c r="K128" i="41" s="1"/>
  <c r="N128" i="176" s="1"/>
  <c r="L128" i="41" a="1"/>
  <c r="L128" i="41" s="1"/>
  <c r="O128" i="176" s="1"/>
  <c r="F31" i="41" a="1"/>
  <c r="F31" i="41" s="1"/>
  <c r="G31" i="176" s="1"/>
  <c r="G31" i="41" a="1"/>
  <c r="G31" i="41" s="1"/>
  <c r="H31" i="176" s="1"/>
  <c r="I31" i="41" a="1"/>
  <c r="I31" i="41" s="1"/>
  <c r="L31" i="176" s="1"/>
  <c r="J31" i="41" a="1"/>
  <c r="J31" i="41" s="1"/>
  <c r="M31" i="176" s="1"/>
  <c r="K31" i="41" a="1"/>
  <c r="K31" i="41" s="1"/>
  <c r="N31" i="176" s="1"/>
  <c r="L31" i="41" a="1"/>
  <c r="L31" i="41" s="1"/>
  <c r="O31" i="176" s="1"/>
  <c r="F32" i="41" a="1"/>
  <c r="F32" i="41" s="1"/>
  <c r="G32" i="176" s="1"/>
  <c r="G32" i="41" a="1"/>
  <c r="G32" i="41" s="1"/>
  <c r="H32" i="176" s="1"/>
  <c r="I32" i="41" a="1"/>
  <c r="I32" i="41" s="1"/>
  <c r="L32" i="176" s="1"/>
  <c r="J32" i="41" a="1"/>
  <c r="J32" i="41" s="1"/>
  <c r="M32" i="176" s="1"/>
  <c r="K32" i="41" a="1"/>
  <c r="K32" i="41" s="1"/>
  <c r="N32" i="176" s="1"/>
  <c r="L32" i="41" a="1"/>
  <c r="L32" i="41" s="1"/>
  <c r="O32" i="176" s="1"/>
  <c r="F33" i="41" a="1"/>
  <c r="F33" i="41" s="1"/>
  <c r="G33" i="176" s="1"/>
  <c r="G33" i="41" a="1"/>
  <c r="G33" i="41" s="1"/>
  <c r="H33" i="176" s="1"/>
  <c r="I33" i="41" a="1"/>
  <c r="I33" i="41" s="1"/>
  <c r="L33" i="176" s="1"/>
  <c r="J33" i="41" a="1"/>
  <c r="J33" i="41" s="1"/>
  <c r="M33" i="176" s="1"/>
  <c r="K33" i="41" a="1"/>
  <c r="K33" i="41" s="1"/>
  <c r="N33" i="176" s="1"/>
  <c r="L33" i="41" a="1"/>
  <c r="L33" i="41" s="1"/>
  <c r="O33" i="176" s="1"/>
  <c r="F34" i="41" a="1"/>
  <c r="F34" i="41" s="1"/>
  <c r="G34" i="176" s="1"/>
  <c r="G34" i="41" a="1"/>
  <c r="G34" i="41" s="1"/>
  <c r="H34" i="176" s="1"/>
  <c r="I34" i="41" a="1"/>
  <c r="I34" i="41" s="1"/>
  <c r="L34" i="176" s="1"/>
  <c r="J34" i="41" a="1"/>
  <c r="J34" i="41" s="1"/>
  <c r="M34" i="176" s="1"/>
  <c r="K34" i="41" a="1"/>
  <c r="K34" i="41" s="1"/>
  <c r="N34" i="176" s="1"/>
  <c r="L34" i="41" a="1"/>
  <c r="L34" i="41" s="1"/>
  <c r="O34" i="176" s="1"/>
  <c r="F35" i="41" a="1"/>
  <c r="F35" i="41" s="1"/>
  <c r="G35" i="176" s="1"/>
  <c r="G35" i="41" a="1"/>
  <c r="G35" i="41" s="1"/>
  <c r="H35" i="176" s="1"/>
  <c r="I35" i="41" a="1"/>
  <c r="I35" i="41" s="1"/>
  <c r="L35" i="176" s="1"/>
  <c r="J35" i="41" a="1"/>
  <c r="J35" i="41" s="1"/>
  <c r="M35" i="176" s="1"/>
  <c r="K35" i="41" a="1"/>
  <c r="K35" i="41" s="1"/>
  <c r="N35" i="176" s="1"/>
  <c r="L35" i="41" a="1"/>
  <c r="L35" i="41" s="1"/>
  <c r="O35" i="176" s="1"/>
  <c r="F45" i="41" a="1"/>
  <c r="F45" i="41" s="1"/>
  <c r="G45" i="176" s="1"/>
  <c r="G45" i="41" a="1"/>
  <c r="G45" i="41" s="1"/>
  <c r="H45" i="176" s="1"/>
  <c r="L45" i="176"/>
  <c r="J45" i="41" a="1"/>
  <c r="J45" i="41" s="1"/>
  <c r="M45" i="176" s="1"/>
  <c r="K45" i="41" a="1"/>
  <c r="K45" i="41" s="1"/>
  <c r="N45" i="176" s="1"/>
  <c r="L45" i="41" a="1"/>
  <c r="L45" i="41" s="1"/>
  <c r="O45" i="176" s="1"/>
  <c r="F46" i="41" a="1"/>
  <c r="F46" i="41" s="1"/>
  <c r="G46" i="176" s="1"/>
  <c r="G46" i="41" a="1"/>
  <c r="G46" i="41" s="1"/>
  <c r="H46" i="176" s="1"/>
  <c r="L46" i="176"/>
  <c r="J46" i="41" a="1"/>
  <c r="J46" i="41" s="1"/>
  <c r="M46" i="176" s="1"/>
  <c r="K46" i="41" a="1"/>
  <c r="K46" i="41" s="1"/>
  <c r="N46" i="176" s="1"/>
  <c r="L46" i="41" a="1"/>
  <c r="L46" i="41" s="1"/>
  <c r="O46" i="176" s="1"/>
  <c r="F47" i="41" a="1"/>
  <c r="F47" i="41" s="1"/>
  <c r="G47" i="176" s="1"/>
  <c r="G47" i="41" a="1"/>
  <c r="G47" i="41" s="1"/>
  <c r="H47" i="176" s="1"/>
  <c r="L47" i="176"/>
  <c r="J47" i="41" a="1"/>
  <c r="J47" i="41" s="1"/>
  <c r="M47" i="176" s="1"/>
  <c r="K47" i="41" a="1"/>
  <c r="K47" i="41" s="1"/>
  <c r="N47" i="176" s="1"/>
  <c r="L47" i="41" a="1"/>
  <c r="L47" i="41" s="1"/>
  <c r="O47" i="176" s="1"/>
  <c r="F48" i="41" a="1"/>
  <c r="F48" i="41" s="1"/>
  <c r="G48" i="176" s="1"/>
  <c r="G48" i="41" a="1"/>
  <c r="G48" i="41" s="1"/>
  <c r="H48" i="176" s="1"/>
  <c r="L48" i="176"/>
  <c r="J48" i="41" a="1"/>
  <c r="J48" i="41" s="1"/>
  <c r="M48" i="176" s="1"/>
  <c r="K48" i="41" a="1"/>
  <c r="K48" i="41" s="1"/>
  <c r="N48" i="176" s="1"/>
  <c r="L48" i="41" a="1"/>
  <c r="L48" i="41" s="1"/>
  <c r="O48" i="176" s="1"/>
  <c r="F49" i="41" a="1"/>
  <c r="F49" i="41" s="1"/>
  <c r="G49" i="176" s="1"/>
  <c r="G49" i="41" a="1"/>
  <c r="G49" i="41" s="1"/>
  <c r="H49" i="176" s="1"/>
  <c r="L49" i="176"/>
  <c r="J49" i="41" a="1"/>
  <c r="J49" i="41" s="1"/>
  <c r="M49" i="176" s="1"/>
  <c r="K49" i="41" a="1"/>
  <c r="K49" i="41" s="1"/>
  <c r="N49" i="176" s="1"/>
  <c r="L49" i="41" a="1"/>
  <c r="L49" i="41" s="1"/>
  <c r="O49" i="176" s="1"/>
  <c r="F59" i="41" a="1"/>
  <c r="F59" i="41" s="1"/>
  <c r="G59" i="176" s="1"/>
  <c r="G59" i="41" a="1"/>
  <c r="G59" i="41" s="1"/>
  <c r="H59" i="176" s="1"/>
  <c r="I59" i="41" a="1"/>
  <c r="I59" i="41" s="1"/>
  <c r="L59" i="176" s="1"/>
  <c r="J59" i="41" a="1"/>
  <c r="J59" i="41" s="1"/>
  <c r="M59" i="176" s="1"/>
  <c r="K59" i="41" a="1"/>
  <c r="K59" i="41" s="1"/>
  <c r="N59" i="176" s="1"/>
  <c r="L59" i="41" a="1"/>
  <c r="L59" i="41" s="1"/>
  <c r="O59" i="176" s="1"/>
  <c r="F60" i="41" a="1"/>
  <c r="F60" i="41" s="1"/>
  <c r="G60" i="176" s="1"/>
  <c r="G60" i="41" a="1"/>
  <c r="G60" i="41" s="1"/>
  <c r="H60" i="176" s="1"/>
  <c r="I60" i="41" a="1"/>
  <c r="I60" i="41" s="1"/>
  <c r="L60" i="176" s="1"/>
  <c r="J60" i="41" a="1"/>
  <c r="J60" i="41" s="1"/>
  <c r="M60" i="176" s="1"/>
  <c r="K60" i="41" a="1"/>
  <c r="K60" i="41" s="1"/>
  <c r="N60" i="176" s="1"/>
  <c r="L60" i="41" a="1"/>
  <c r="L60" i="41" s="1"/>
  <c r="O60" i="176" s="1"/>
  <c r="F61" i="41" a="1"/>
  <c r="F61" i="41" s="1"/>
  <c r="G61" i="176" s="1"/>
  <c r="G61" i="41" a="1"/>
  <c r="G61" i="41" s="1"/>
  <c r="H61" i="176" s="1"/>
  <c r="I61" i="41" a="1"/>
  <c r="I61" i="41" s="1"/>
  <c r="L61" i="176" s="1"/>
  <c r="J61" i="41" a="1"/>
  <c r="J61" i="41" s="1"/>
  <c r="M61" i="176" s="1"/>
  <c r="K61" i="41" a="1"/>
  <c r="K61" i="41" s="1"/>
  <c r="N61" i="176" s="1"/>
  <c r="L61" i="41" a="1"/>
  <c r="L61" i="41" s="1"/>
  <c r="O61" i="176" s="1"/>
  <c r="F62" i="41" a="1"/>
  <c r="F62" i="41" s="1"/>
  <c r="G62" i="176" s="1"/>
  <c r="G62" i="41" a="1"/>
  <c r="G62" i="41" s="1"/>
  <c r="H62" i="176" s="1"/>
  <c r="I62" i="41" a="1"/>
  <c r="I62" i="41" s="1"/>
  <c r="L62" i="176" s="1"/>
  <c r="J62" i="41" a="1"/>
  <c r="J62" i="41" s="1"/>
  <c r="M62" i="176" s="1"/>
  <c r="K62" i="41" a="1"/>
  <c r="K62" i="41" s="1"/>
  <c r="N62" i="176" s="1"/>
  <c r="L62" i="41" a="1"/>
  <c r="L62" i="41" s="1"/>
  <c r="O62" i="176" s="1"/>
  <c r="F63" i="41" a="1"/>
  <c r="F63" i="41" s="1"/>
  <c r="G63" i="176" s="1"/>
  <c r="G63" i="41" a="1"/>
  <c r="G63" i="41" s="1"/>
  <c r="H63" i="176" s="1"/>
  <c r="I63" i="41" a="1"/>
  <c r="I63" i="41" s="1"/>
  <c r="L63" i="176" s="1"/>
  <c r="J63" i="41" a="1"/>
  <c r="J63" i="41" s="1"/>
  <c r="M63" i="176" s="1"/>
  <c r="K63" i="41" a="1"/>
  <c r="K63" i="41" s="1"/>
  <c r="N63" i="176" s="1"/>
  <c r="L63" i="41" a="1"/>
  <c r="L63" i="41" s="1"/>
  <c r="O63" i="176" s="1"/>
  <c r="F96" i="41" a="1"/>
  <c r="F96" i="41" s="1"/>
  <c r="G96" i="176" s="1"/>
  <c r="G96" i="41" a="1"/>
  <c r="G96" i="41" s="1"/>
  <c r="H96" i="176" s="1"/>
  <c r="I96" i="41" a="1"/>
  <c r="I96" i="41" s="1"/>
  <c r="L96" i="176" s="1"/>
  <c r="J96" i="41" a="1"/>
  <c r="J96" i="41" s="1"/>
  <c r="M96" i="176" s="1"/>
  <c r="K96" i="41" a="1"/>
  <c r="K96" i="41" s="1"/>
  <c r="N96" i="176" s="1"/>
  <c r="L96" i="41" a="1"/>
  <c r="L96" i="41" s="1"/>
  <c r="O96" i="176" s="1"/>
  <c r="F97" i="41" a="1"/>
  <c r="F97" i="41" s="1"/>
  <c r="G97" i="176" s="1"/>
  <c r="G97" i="41" a="1"/>
  <c r="G97" i="41" s="1"/>
  <c r="H97" i="176" s="1"/>
  <c r="I97" i="41" a="1"/>
  <c r="I97" i="41" s="1"/>
  <c r="L97" i="176" s="1"/>
  <c r="J97" i="41" a="1"/>
  <c r="J97" i="41" s="1"/>
  <c r="M97" i="176" s="1"/>
  <c r="K97" i="41" a="1"/>
  <c r="K97" i="41" s="1"/>
  <c r="N97" i="176" s="1"/>
  <c r="L97" i="41" a="1"/>
  <c r="L97" i="41" s="1"/>
  <c r="O97" i="176" s="1"/>
  <c r="F98" i="41" a="1"/>
  <c r="F98" i="41" s="1"/>
  <c r="G98" i="176" s="1"/>
  <c r="G98" i="41" a="1"/>
  <c r="G98" i="41" s="1"/>
  <c r="H98" i="176" s="1"/>
  <c r="I98" i="41" a="1"/>
  <c r="I98" i="41" s="1"/>
  <c r="L98" i="176" s="1"/>
  <c r="J98" i="41" a="1"/>
  <c r="J98" i="41" s="1"/>
  <c r="M98" i="176" s="1"/>
  <c r="K98" i="41" a="1"/>
  <c r="K98" i="41" s="1"/>
  <c r="N98" i="176" s="1"/>
  <c r="L98" i="41" a="1"/>
  <c r="L98" i="41" s="1"/>
  <c r="O98" i="176" s="1"/>
  <c r="F99" i="41" a="1"/>
  <c r="F99" i="41" s="1"/>
  <c r="G99" i="176" s="1"/>
  <c r="G99" i="41" a="1"/>
  <c r="G99" i="41" s="1"/>
  <c r="H99" i="176" s="1"/>
  <c r="I99" i="41" a="1"/>
  <c r="I99" i="41" s="1"/>
  <c r="L99" i="176" s="1"/>
  <c r="J99" i="41" a="1"/>
  <c r="J99" i="41" s="1"/>
  <c r="M99" i="176" s="1"/>
  <c r="K99" i="41" a="1"/>
  <c r="K99" i="41" s="1"/>
  <c r="N99" i="176" s="1"/>
  <c r="L99" i="41" a="1"/>
  <c r="L99" i="41" s="1"/>
  <c r="O99" i="176" s="1"/>
  <c r="F100" i="41" a="1"/>
  <c r="F100" i="41" s="1"/>
  <c r="G100" i="176" s="1"/>
  <c r="G100" i="41" a="1"/>
  <c r="G100" i="41" s="1"/>
  <c r="H100" i="176" s="1"/>
  <c r="I100" i="41" a="1"/>
  <c r="I100" i="41" s="1"/>
  <c r="L100" i="176" s="1"/>
  <c r="J100" i="41" a="1"/>
  <c r="J100" i="41" s="1"/>
  <c r="M100" i="176" s="1"/>
  <c r="K100" i="41" a="1"/>
  <c r="K100" i="41" s="1"/>
  <c r="N100" i="176" s="1"/>
  <c r="L100" i="41" a="1"/>
  <c r="L100" i="41" s="1"/>
  <c r="O100" i="176" s="1"/>
  <c r="F110" i="41" a="1"/>
  <c r="F110" i="41" s="1"/>
  <c r="G110" i="176" s="1"/>
  <c r="G110" i="41" a="1"/>
  <c r="G110" i="41" s="1"/>
  <c r="H110" i="176" s="1"/>
  <c r="I110" i="41" a="1"/>
  <c r="I110" i="41" s="1"/>
  <c r="L110" i="176" s="1"/>
  <c r="J110" i="41" a="1"/>
  <c r="J110" i="41" s="1"/>
  <c r="M110" i="176" s="1"/>
  <c r="K110" i="41" a="1"/>
  <c r="K110" i="41" s="1"/>
  <c r="N110" i="176" s="1"/>
  <c r="L110" i="41" a="1"/>
  <c r="L110" i="41" s="1"/>
  <c r="O110" i="176" s="1"/>
  <c r="F111" i="41" a="1"/>
  <c r="F111" i="41" s="1"/>
  <c r="G111" i="176" s="1"/>
  <c r="G111" i="41" a="1"/>
  <c r="G111" i="41" s="1"/>
  <c r="H111" i="176" s="1"/>
  <c r="I111" i="41" a="1"/>
  <c r="I111" i="41" s="1"/>
  <c r="L111" i="176" s="1"/>
  <c r="J111" i="41" a="1"/>
  <c r="J111" i="41" s="1"/>
  <c r="M111" i="176" s="1"/>
  <c r="K111" i="41" a="1"/>
  <c r="K111" i="41" s="1"/>
  <c r="N111" i="176" s="1"/>
  <c r="L111" i="41" a="1"/>
  <c r="L111" i="41" s="1"/>
  <c r="O111" i="176" s="1"/>
  <c r="F112" i="41" a="1"/>
  <c r="F112" i="41" s="1"/>
  <c r="G112" i="176" s="1"/>
  <c r="G112" i="41" a="1"/>
  <c r="G112" i="41" s="1"/>
  <c r="H112" i="176" s="1"/>
  <c r="I112" i="41" a="1"/>
  <c r="I112" i="41" s="1"/>
  <c r="L112" i="176" s="1"/>
  <c r="J112" i="41" a="1"/>
  <c r="J112" i="41" s="1"/>
  <c r="M112" i="176" s="1"/>
  <c r="K112" i="41" a="1"/>
  <c r="K112" i="41" s="1"/>
  <c r="N112" i="176" s="1"/>
  <c r="L112" i="41" a="1"/>
  <c r="L112" i="41" s="1"/>
  <c r="O112" i="176" s="1"/>
  <c r="F113" i="41" a="1"/>
  <c r="F113" i="41" s="1"/>
  <c r="G113" i="176" s="1"/>
  <c r="G113" i="41" a="1"/>
  <c r="G113" i="41" s="1"/>
  <c r="H113" i="176" s="1"/>
  <c r="I113" i="41" a="1"/>
  <c r="I113" i="41" s="1"/>
  <c r="L113" i="176" s="1"/>
  <c r="J113" i="41" a="1"/>
  <c r="J113" i="41" s="1"/>
  <c r="M113" i="176" s="1"/>
  <c r="K113" i="41" a="1"/>
  <c r="K113" i="41" s="1"/>
  <c r="N113" i="176" s="1"/>
  <c r="L113" i="41" a="1"/>
  <c r="L113" i="41" s="1"/>
  <c r="O113" i="176" s="1"/>
  <c r="F114" i="41" a="1"/>
  <c r="F114" i="41" s="1"/>
  <c r="G114" i="176" s="1"/>
  <c r="G114" i="41" a="1"/>
  <c r="G114" i="41" s="1"/>
  <c r="H114" i="176" s="1"/>
  <c r="I114" i="41" a="1"/>
  <c r="I114" i="41" s="1"/>
  <c r="L114" i="176" s="1"/>
  <c r="J114" i="41" a="1"/>
  <c r="J114" i="41" s="1"/>
  <c r="M114" i="176" s="1"/>
  <c r="K114" i="41" a="1"/>
  <c r="K114" i="41" s="1"/>
  <c r="N114" i="176" s="1"/>
  <c r="L114" i="41" a="1"/>
  <c r="L114" i="41" s="1"/>
  <c r="O114" i="176" s="1"/>
  <c r="F138" i="41" a="1"/>
  <c r="F138" i="41" s="1"/>
  <c r="G138" i="176" s="1"/>
  <c r="G138" i="41" a="1"/>
  <c r="G138" i="41" s="1"/>
  <c r="H138" i="176" s="1"/>
  <c r="I138" i="41" a="1"/>
  <c r="I138" i="41" s="1"/>
  <c r="L138" i="176" s="1"/>
  <c r="J138" i="41" a="1"/>
  <c r="J138" i="41" s="1"/>
  <c r="M138" i="176" s="1"/>
  <c r="K138" i="41" a="1"/>
  <c r="K138" i="41" s="1"/>
  <c r="N138" i="176" s="1"/>
  <c r="L138" i="41" a="1"/>
  <c r="L138" i="41" s="1"/>
  <c r="O138" i="176" s="1"/>
  <c r="F139" i="41" a="1"/>
  <c r="F139" i="41" s="1"/>
  <c r="G139" i="176" s="1"/>
  <c r="G139" i="41" a="1"/>
  <c r="G139" i="41" s="1"/>
  <c r="H139" i="176" s="1"/>
  <c r="I139" i="41" a="1"/>
  <c r="I139" i="41" s="1"/>
  <c r="L139" i="176" s="1"/>
  <c r="J139" i="41" a="1"/>
  <c r="J139" i="41" s="1"/>
  <c r="M139" i="176" s="1"/>
  <c r="K139" i="41" a="1"/>
  <c r="K139" i="41" s="1"/>
  <c r="N139" i="176" s="1"/>
  <c r="L139" i="41" a="1"/>
  <c r="L139" i="41" s="1"/>
  <c r="O139" i="176" s="1"/>
  <c r="F140" i="41" a="1"/>
  <c r="F140" i="41" s="1"/>
  <c r="G140" i="176" s="1"/>
  <c r="G140" i="41" a="1"/>
  <c r="G140" i="41" s="1"/>
  <c r="H140" i="176" s="1"/>
  <c r="I140" i="41" a="1"/>
  <c r="I140" i="41" s="1"/>
  <c r="L140" i="176" s="1"/>
  <c r="J140" i="41" a="1"/>
  <c r="J140" i="41" s="1"/>
  <c r="M140" i="176" s="1"/>
  <c r="K140" i="41" a="1"/>
  <c r="K140" i="41" s="1"/>
  <c r="N140" i="176" s="1"/>
  <c r="L140" i="41" a="1"/>
  <c r="L140" i="41" s="1"/>
  <c r="O140" i="176" s="1"/>
  <c r="F141" i="41" a="1"/>
  <c r="F141" i="41" s="1"/>
  <c r="G141" i="176" s="1"/>
  <c r="G141" i="41" a="1"/>
  <c r="G141" i="41" s="1"/>
  <c r="H141" i="176" s="1"/>
  <c r="I141" i="41" a="1"/>
  <c r="I141" i="41" s="1"/>
  <c r="L141" i="176" s="1"/>
  <c r="J141" i="41" a="1"/>
  <c r="J141" i="41" s="1"/>
  <c r="M141" i="176" s="1"/>
  <c r="K141" i="41" a="1"/>
  <c r="K141" i="41" s="1"/>
  <c r="N141" i="176" s="1"/>
  <c r="L141" i="41" a="1"/>
  <c r="L141" i="41" s="1"/>
  <c r="O141" i="176" s="1"/>
  <c r="F142" i="41" a="1"/>
  <c r="F142" i="41" s="1"/>
  <c r="G142" i="176" s="1"/>
  <c r="G142" i="41" a="1"/>
  <c r="G142" i="41" s="1"/>
  <c r="H142" i="176" s="1"/>
  <c r="I142" i="41" a="1"/>
  <c r="I142" i="41" s="1"/>
  <c r="L142" i="176" s="1"/>
  <c r="J142" i="41" a="1"/>
  <c r="J142" i="41" s="1"/>
  <c r="M142" i="176" s="1"/>
  <c r="K142" i="41" a="1"/>
  <c r="K142" i="41" s="1"/>
  <c r="N142" i="176" s="1"/>
  <c r="L142" i="41" a="1"/>
  <c r="L142" i="41" s="1"/>
  <c r="O142" i="176" s="1"/>
  <c r="F152" i="41" a="1"/>
  <c r="F152" i="41" s="1"/>
  <c r="G152" i="176" s="1"/>
  <c r="G152" i="41" a="1"/>
  <c r="G152" i="41" s="1"/>
  <c r="H152" i="176" s="1"/>
  <c r="I152" i="41" a="1"/>
  <c r="I152" i="41" s="1"/>
  <c r="L152" i="176" s="1"/>
  <c r="J152" i="41" a="1"/>
  <c r="J152" i="41" s="1"/>
  <c r="M152" i="176" s="1"/>
  <c r="K152" i="41" a="1"/>
  <c r="K152" i="41" s="1"/>
  <c r="N152" i="176" s="1"/>
  <c r="L152" i="41" a="1"/>
  <c r="L152" i="41" s="1"/>
  <c r="O152" i="176" s="1"/>
  <c r="F153" i="41" a="1"/>
  <c r="F153" i="41" s="1"/>
  <c r="G153" i="176" s="1"/>
  <c r="G153" i="41" a="1"/>
  <c r="G153" i="41" s="1"/>
  <c r="H153" i="176" s="1"/>
  <c r="I153" i="41" a="1"/>
  <c r="I153" i="41" s="1"/>
  <c r="L153" i="176" s="1"/>
  <c r="J153" i="41" a="1"/>
  <c r="J153" i="41" s="1"/>
  <c r="M153" i="176" s="1"/>
  <c r="K153" i="41" a="1"/>
  <c r="K153" i="41" s="1"/>
  <c r="N153" i="176" s="1"/>
  <c r="L153" i="41" a="1"/>
  <c r="L153" i="41" s="1"/>
  <c r="O153" i="176" s="1"/>
  <c r="F154" i="41" a="1"/>
  <c r="F154" i="41" s="1"/>
  <c r="G154" i="176" s="1"/>
  <c r="G154" i="41" a="1"/>
  <c r="G154" i="41" s="1"/>
  <c r="H154" i="176" s="1"/>
  <c r="I154" i="41" a="1"/>
  <c r="I154" i="41" s="1"/>
  <c r="L154" i="176" s="1"/>
  <c r="J154" i="41" a="1"/>
  <c r="J154" i="41" s="1"/>
  <c r="M154" i="176" s="1"/>
  <c r="K154" i="41" a="1"/>
  <c r="K154" i="41" s="1"/>
  <c r="N154" i="176" s="1"/>
  <c r="L154" i="41" a="1"/>
  <c r="L154" i="41" s="1"/>
  <c r="O154" i="176" s="1"/>
  <c r="F155" i="41" a="1"/>
  <c r="F155" i="41" s="1"/>
  <c r="G155" i="176" s="1"/>
  <c r="G155" i="41" a="1"/>
  <c r="G155" i="41" s="1"/>
  <c r="H155" i="176" s="1"/>
  <c r="I155" i="41" a="1"/>
  <c r="I155" i="41" s="1"/>
  <c r="L155" i="176" s="1"/>
  <c r="J155" i="41" a="1"/>
  <c r="J155" i="41" s="1"/>
  <c r="M155" i="176" s="1"/>
  <c r="K155" i="41" a="1"/>
  <c r="K155" i="41" s="1"/>
  <c r="N155" i="176" s="1"/>
  <c r="L155" i="41" a="1"/>
  <c r="L155" i="41" s="1"/>
  <c r="O155" i="176" s="1"/>
  <c r="F156" i="41" a="1"/>
  <c r="F156" i="41" s="1"/>
  <c r="G156" i="176" s="1"/>
  <c r="G156" i="41" a="1"/>
  <c r="G156" i="41" s="1"/>
  <c r="H156" i="176" s="1"/>
  <c r="I156" i="41" a="1"/>
  <c r="I156" i="41" s="1"/>
  <c r="L156" i="176" s="1"/>
  <c r="J156" i="41" a="1"/>
  <c r="J156" i="41" s="1"/>
  <c r="M156" i="176" s="1"/>
  <c r="K156" i="41" a="1"/>
  <c r="K156" i="41" s="1"/>
  <c r="N156" i="176" s="1"/>
  <c r="L156" i="41" a="1"/>
  <c r="L156" i="41" s="1"/>
  <c r="O156" i="176" s="1"/>
  <c r="F166" i="41" a="1"/>
  <c r="F166" i="41" s="1"/>
  <c r="G166" i="176" s="1"/>
  <c r="G166" i="41" a="1"/>
  <c r="G166" i="41" s="1"/>
  <c r="H166" i="176" s="1"/>
  <c r="I166" i="41" a="1"/>
  <c r="I166" i="41" s="1"/>
  <c r="L166" i="176" s="1"/>
  <c r="J166" i="41" a="1"/>
  <c r="J166" i="41" s="1"/>
  <c r="M166" i="176" s="1"/>
  <c r="K166" i="41" a="1"/>
  <c r="K166" i="41" s="1"/>
  <c r="N166" i="176" s="1"/>
  <c r="L166" i="41" a="1"/>
  <c r="L166" i="41" s="1"/>
  <c r="O166" i="176" s="1"/>
  <c r="F167" i="41" a="1"/>
  <c r="F167" i="41" s="1"/>
  <c r="G167" i="176" s="1"/>
  <c r="G167" i="41" a="1"/>
  <c r="G167" i="41" s="1"/>
  <c r="H167" i="176" s="1"/>
  <c r="I167" i="41" a="1"/>
  <c r="I167" i="41" s="1"/>
  <c r="L167" i="176" s="1"/>
  <c r="J167" i="41" a="1"/>
  <c r="J167" i="41" s="1"/>
  <c r="M167" i="176" s="1"/>
  <c r="K167" i="41" a="1"/>
  <c r="K167" i="41" s="1"/>
  <c r="N167" i="176" s="1"/>
  <c r="L167" i="41" a="1"/>
  <c r="L167" i="41" s="1"/>
  <c r="O167" i="176" s="1"/>
  <c r="F168" i="41" a="1"/>
  <c r="F168" i="41" s="1"/>
  <c r="G168" i="176" s="1"/>
  <c r="G168" i="41" a="1"/>
  <c r="G168" i="41" s="1"/>
  <c r="H168" i="176" s="1"/>
  <c r="I168" i="41" a="1"/>
  <c r="I168" i="41" s="1"/>
  <c r="L168" i="176" s="1"/>
  <c r="J168" i="41" a="1"/>
  <c r="J168" i="41" s="1"/>
  <c r="M168" i="176" s="1"/>
  <c r="K168" i="41" a="1"/>
  <c r="K168" i="41" s="1"/>
  <c r="N168" i="176" s="1"/>
  <c r="L168" i="41" a="1"/>
  <c r="L168" i="41" s="1"/>
  <c r="O168" i="176" s="1"/>
  <c r="F169" i="41" a="1"/>
  <c r="F169" i="41" s="1"/>
  <c r="G169" i="176" s="1"/>
  <c r="G169" i="41" a="1"/>
  <c r="G169" i="41" s="1"/>
  <c r="H169" i="176" s="1"/>
  <c r="I169" i="41" a="1"/>
  <c r="I169" i="41" s="1"/>
  <c r="L169" i="176" s="1"/>
  <c r="J169" i="41" a="1"/>
  <c r="J169" i="41" s="1"/>
  <c r="M169" i="176" s="1"/>
  <c r="K169" i="41" a="1"/>
  <c r="K169" i="41" s="1"/>
  <c r="N169" i="176" s="1"/>
  <c r="L169" i="41" a="1"/>
  <c r="L169" i="41" s="1"/>
  <c r="O169" i="176" s="1"/>
  <c r="F170" i="41" a="1"/>
  <c r="F170" i="41" s="1"/>
  <c r="G170" i="176" s="1"/>
  <c r="G170" i="41" a="1"/>
  <c r="G170" i="41" s="1"/>
  <c r="H170" i="176" s="1"/>
  <c r="I170" i="41" a="1"/>
  <c r="I170" i="41" s="1"/>
  <c r="L170" i="176" s="1"/>
  <c r="J170" i="41" a="1"/>
  <c r="J170" i="41" s="1"/>
  <c r="M170" i="176" s="1"/>
  <c r="K170" i="41" a="1"/>
  <c r="K170" i="41" s="1"/>
  <c r="N170" i="176" s="1"/>
  <c r="L170" i="41" a="1"/>
  <c r="L170" i="41" s="1"/>
  <c r="O170" i="176" s="1"/>
  <c r="F180" i="41" a="1"/>
  <c r="F180" i="41" s="1"/>
  <c r="G180" i="176" s="1"/>
  <c r="G180" i="41" a="1"/>
  <c r="G180" i="41" s="1"/>
  <c r="H180" i="176" s="1"/>
  <c r="I180" i="41" a="1"/>
  <c r="I180" i="41" s="1"/>
  <c r="L180" i="176" s="1"/>
  <c r="J180" i="41" a="1"/>
  <c r="J180" i="41" s="1"/>
  <c r="M180" i="176" s="1"/>
  <c r="K180" i="41" a="1"/>
  <c r="K180" i="41" s="1"/>
  <c r="N180" i="176" s="1"/>
  <c r="L180" i="41" a="1"/>
  <c r="L180" i="41" s="1"/>
  <c r="O180" i="176" s="1"/>
  <c r="F181" i="41" a="1"/>
  <c r="F181" i="41" s="1"/>
  <c r="G181" i="176" s="1"/>
  <c r="G181" i="41" a="1"/>
  <c r="G181" i="41" s="1"/>
  <c r="H181" i="176" s="1"/>
  <c r="I181" i="41" a="1"/>
  <c r="I181" i="41" s="1"/>
  <c r="L181" i="176" s="1"/>
  <c r="J181" i="41" a="1"/>
  <c r="J181" i="41" s="1"/>
  <c r="M181" i="176" s="1"/>
  <c r="K181" i="41" a="1"/>
  <c r="K181" i="41" s="1"/>
  <c r="N181" i="176" s="1"/>
  <c r="L181" i="41" a="1"/>
  <c r="L181" i="41" s="1"/>
  <c r="O181" i="176" s="1"/>
  <c r="F182" i="41" a="1"/>
  <c r="F182" i="41" s="1"/>
  <c r="G182" i="176" s="1"/>
  <c r="G182" i="41" a="1"/>
  <c r="G182" i="41" s="1"/>
  <c r="H182" i="176" s="1"/>
  <c r="I182" i="41" a="1"/>
  <c r="I182" i="41" s="1"/>
  <c r="L182" i="176" s="1"/>
  <c r="J182" i="41" a="1"/>
  <c r="J182" i="41" s="1"/>
  <c r="M182" i="176" s="1"/>
  <c r="K182" i="41" a="1"/>
  <c r="K182" i="41" s="1"/>
  <c r="N182" i="176" s="1"/>
  <c r="L182" i="41" a="1"/>
  <c r="L182" i="41" s="1"/>
  <c r="O182" i="176" s="1"/>
  <c r="F183" i="41" a="1"/>
  <c r="F183" i="41" s="1"/>
  <c r="G183" i="176" s="1"/>
  <c r="G183" i="41" a="1"/>
  <c r="G183" i="41" s="1"/>
  <c r="H183" i="176" s="1"/>
  <c r="I183" i="41" a="1"/>
  <c r="I183" i="41" s="1"/>
  <c r="L183" i="176" s="1"/>
  <c r="J183" i="41" a="1"/>
  <c r="J183" i="41" s="1"/>
  <c r="M183" i="176" s="1"/>
  <c r="K183" i="41" a="1"/>
  <c r="K183" i="41" s="1"/>
  <c r="N183" i="176" s="1"/>
  <c r="L183" i="41" a="1"/>
  <c r="L183" i="41" s="1"/>
  <c r="O183" i="176" s="1"/>
  <c r="F184" i="41" a="1"/>
  <c r="F184" i="41" s="1"/>
  <c r="G184" i="176" s="1"/>
  <c r="G184" i="41" a="1"/>
  <c r="G184" i="41" s="1"/>
  <c r="H184" i="176" s="1"/>
  <c r="I184" i="41" a="1"/>
  <c r="I184" i="41" s="1"/>
  <c r="L184" i="176" s="1"/>
  <c r="J184" i="41" a="1"/>
  <c r="J184" i="41" s="1"/>
  <c r="M184" i="176" s="1"/>
  <c r="K184" i="41" a="1"/>
  <c r="K184" i="41" s="1"/>
  <c r="N184" i="176" s="1"/>
  <c r="L184" i="41" a="1"/>
  <c r="L184" i="41" s="1"/>
  <c r="O184" i="176" s="1"/>
  <c r="F222" i="41" a="1"/>
  <c r="F222" i="41" s="1"/>
  <c r="G222" i="176" s="1"/>
  <c r="G222" i="41" a="1"/>
  <c r="G222" i="41" s="1"/>
  <c r="H222" i="176" s="1"/>
  <c r="I222" i="41" a="1"/>
  <c r="I222" i="41" s="1"/>
  <c r="L222" i="176" s="1"/>
  <c r="J222" i="41" a="1"/>
  <c r="J222" i="41" s="1"/>
  <c r="M222" i="176" s="1"/>
  <c r="K222" i="41" a="1"/>
  <c r="K222" i="41" s="1"/>
  <c r="N222" i="176" s="1"/>
  <c r="L222" i="41" a="1"/>
  <c r="L222" i="41" s="1"/>
  <c r="O222" i="176" s="1"/>
  <c r="F223" i="41" a="1"/>
  <c r="F223" i="41" s="1"/>
  <c r="G223" i="176" s="1"/>
  <c r="G223" i="41" a="1"/>
  <c r="G223" i="41" s="1"/>
  <c r="H223" i="176" s="1"/>
  <c r="I223" i="41" a="1"/>
  <c r="I223" i="41" s="1"/>
  <c r="L223" i="176" s="1"/>
  <c r="J223" i="41" a="1"/>
  <c r="J223" i="41" s="1"/>
  <c r="M223" i="176" s="1"/>
  <c r="K223" i="41" a="1"/>
  <c r="K223" i="41" s="1"/>
  <c r="N223" i="176" s="1"/>
  <c r="L223" i="41" a="1"/>
  <c r="L223" i="41" s="1"/>
  <c r="O223" i="176" s="1"/>
  <c r="F224" i="41" a="1"/>
  <c r="F224" i="41" s="1"/>
  <c r="G224" i="176" s="1"/>
  <c r="G224" i="41" a="1"/>
  <c r="G224" i="41" s="1"/>
  <c r="H224" i="176" s="1"/>
  <c r="I224" i="41" a="1"/>
  <c r="I224" i="41" s="1"/>
  <c r="L224" i="176" s="1"/>
  <c r="J224" i="41" a="1"/>
  <c r="J224" i="41" s="1"/>
  <c r="M224" i="176" s="1"/>
  <c r="K224" i="41" a="1"/>
  <c r="K224" i="41" s="1"/>
  <c r="N224" i="176" s="1"/>
  <c r="L224" i="41" a="1"/>
  <c r="L224" i="41" s="1"/>
  <c r="O224" i="176" s="1"/>
  <c r="F225" i="41" a="1"/>
  <c r="F225" i="41" s="1"/>
  <c r="G225" i="176" s="1"/>
  <c r="G225" i="41" a="1"/>
  <c r="G225" i="41" s="1"/>
  <c r="H225" i="176" s="1"/>
  <c r="I225" i="41" a="1"/>
  <c r="I225" i="41" s="1"/>
  <c r="L225" i="176" s="1"/>
  <c r="J225" i="41" a="1"/>
  <c r="J225" i="41" s="1"/>
  <c r="M225" i="176" s="1"/>
  <c r="K225" i="41" a="1"/>
  <c r="K225" i="41" s="1"/>
  <c r="N225" i="176" s="1"/>
  <c r="L225" i="41" a="1"/>
  <c r="L225" i="41" s="1"/>
  <c r="O225" i="176" s="1"/>
  <c r="F226" i="41" a="1"/>
  <c r="F226" i="41" s="1"/>
  <c r="G226" i="176" s="1"/>
  <c r="G226" i="41" a="1"/>
  <c r="G226" i="41" s="1"/>
  <c r="H226" i="176" s="1"/>
  <c r="I226" i="41" a="1"/>
  <c r="I226" i="41" s="1"/>
  <c r="L226" i="176" s="1"/>
  <c r="J226" i="41" a="1"/>
  <c r="J226" i="41" s="1"/>
  <c r="M226" i="176" s="1"/>
  <c r="K226" i="41" a="1"/>
  <c r="K226" i="41" s="1"/>
  <c r="N226" i="176" s="1"/>
  <c r="L226" i="41" a="1"/>
  <c r="L226" i="41" s="1"/>
  <c r="O226" i="176" s="1"/>
  <c r="F236" i="41" a="1"/>
  <c r="F236" i="41" s="1"/>
  <c r="G236" i="176" s="1"/>
  <c r="G236" i="41" a="1"/>
  <c r="G236" i="41" s="1"/>
  <c r="H236" i="176" s="1"/>
  <c r="I236" i="41" a="1"/>
  <c r="I236" i="41" s="1"/>
  <c r="L236" i="176" s="1"/>
  <c r="J236" i="41" a="1"/>
  <c r="J236" i="41" s="1"/>
  <c r="M236" i="176" s="1"/>
  <c r="K236" i="41" a="1"/>
  <c r="K236" i="41" s="1"/>
  <c r="N236" i="176" s="1"/>
  <c r="L236" i="41" a="1"/>
  <c r="L236" i="41" s="1"/>
  <c r="O236" i="176" s="1"/>
  <c r="F237" i="41" a="1"/>
  <c r="F237" i="41" s="1"/>
  <c r="G237" i="176" s="1"/>
  <c r="G237" i="41" a="1"/>
  <c r="G237" i="41" s="1"/>
  <c r="H237" i="176" s="1"/>
  <c r="I237" i="41" a="1"/>
  <c r="I237" i="41" s="1"/>
  <c r="L237" i="176" s="1"/>
  <c r="J237" i="41" a="1"/>
  <c r="J237" i="41" s="1"/>
  <c r="M237" i="176" s="1"/>
  <c r="K237" i="41" a="1"/>
  <c r="K237" i="41" s="1"/>
  <c r="N237" i="176" s="1"/>
  <c r="L237" i="41" a="1"/>
  <c r="L237" i="41" s="1"/>
  <c r="O237" i="176" s="1"/>
  <c r="F238" i="41" a="1"/>
  <c r="F238" i="41" s="1"/>
  <c r="G238" i="176" s="1"/>
  <c r="G238" i="41" a="1"/>
  <c r="G238" i="41" s="1"/>
  <c r="H238" i="176" s="1"/>
  <c r="I238" i="41" a="1"/>
  <c r="I238" i="41" s="1"/>
  <c r="L238" i="176" s="1"/>
  <c r="J238" i="41" a="1"/>
  <c r="J238" i="41" s="1"/>
  <c r="M238" i="176" s="1"/>
  <c r="K238" i="41" a="1"/>
  <c r="K238" i="41" s="1"/>
  <c r="N238" i="176" s="1"/>
  <c r="L238" i="41" a="1"/>
  <c r="L238" i="41" s="1"/>
  <c r="O238" i="176" s="1"/>
  <c r="F239" i="41" a="1"/>
  <c r="F239" i="41" s="1"/>
  <c r="G239" i="176" s="1"/>
  <c r="G239" i="41" a="1"/>
  <c r="G239" i="41" s="1"/>
  <c r="H239" i="176" s="1"/>
  <c r="I239" i="41" a="1"/>
  <c r="I239" i="41" s="1"/>
  <c r="L239" i="176" s="1"/>
  <c r="J239" i="41" a="1"/>
  <c r="J239" i="41" s="1"/>
  <c r="M239" i="176" s="1"/>
  <c r="K239" i="41" a="1"/>
  <c r="K239" i="41" s="1"/>
  <c r="N239" i="176" s="1"/>
  <c r="L239" i="41" a="1"/>
  <c r="L239" i="41" s="1"/>
  <c r="O239" i="176" s="1"/>
  <c r="F240" i="41" a="1"/>
  <c r="F240" i="41" s="1"/>
  <c r="G240" i="176" s="1"/>
  <c r="G240" i="41" a="1"/>
  <c r="G240" i="41" s="1"/>
  <c r="H240" i="176" s="1"/>
  <c r="I240" i="41" a="1"/>
  <c r="I240" i="41" s="1"/>
  <c r="L240" i="176" s="1"/>
  <c r="J240" i="41" a="1"/>
  <c r="J240" i="41" s="1"/>
  <c r="M240" i="176" s="1"/>
  <c r="K240" i="41" a="1"/>
  <c r="K240" i="41" s="1"/>
  <c r="N240" i="176" s="1"/>
  <c r="L240" i="41" a="1"/>
  <c r="L240" i="41" s="1"/>
  <c r="O240" i="176" s="1"/>
  <c r="F250" i="41" a="1"/>
  <c r="F250" i="41" s="1"/>
  <c r="G250" i="176" s="1"/>
  <c r="G250" i="41" a="1"/>
  <c r="G250" i="41" s="1"/>
  <c r="H250" i="176" s="1"/>
  <c r="I250" i="41" a="1"/>
  <c r="I250" i="41" s="1"/>
  <c r="L250" i="176" s="1"/>
  <c r="J250" i="41" a="1"/>
  <c r="J250" i="41" s="1"/>
  <c r="M250" i="176" s="1"/>
  <c r="K250" i="41" a="1"/>
  <c r="K250" i="41" s="1"/>
  <c r="N250" i="176" s="1"/>
  <c r="L250" i="41" a="1"/>
  <c r="L250" i="41" s="1"/>
  <c r="O250" i="176" s="1"/>
  <c r="F251" i="41" a="1"/>
  <c r="F251" i="41" s="1"/>
  <c r="G251" i="176" s="1"/>
  <c r="G251" i="41" a="1"/>
  <c r="G251" i="41" s="1"/>
  <c r="H251" i="176" s="1"/>
  <c r="I251" i="41" a="1"/>
  <c r="I251" i="41" s="1"/>
  <c r="L251" i="176" s="1"/>
  <c r="J251" i="41" a="1"/>
  <c r="J251" i="41" s="1"/>
  <c r="M251" i="176" s="1"/>
  <c r="K251" i="41" a="1"/>
  <c r="K251" i="41" s="1"/>
  <c r="N251" i="176" s="1"/>
  <c r="L251" i="41" a="1"/>
  <c r="L251" i="41" s="1"/>
  <c r="O251" i="176" s="1"/>
  <c r="F252" i="41" a="1"/>
  <c r="F252" i="41" s="1"/>
  <c r="G252" i="176" s="1"/>
  <c r="G252" i="41" a="1"/>
  <c r="G252" i="41" s="1"/>
  <c r="H252" i="176" s="1"/>
  <c r="I252" i="41" a="1"/>
  <c r="I252" i="41" s="1"/>
  <c r="L252" i="176" s="1"/>
  <c r="J252" i="41" a="1"/>
  <c r="J252" i="41" s="1"/>
  <c r="M252" i="176" s="1"/>
  <c r="K252" i="41" a="1"/>
  <c r="K252" i="41" s="1"/>
  <c r="N252" i="176" s="1"/>
  <c r="L252" i="41" a="1"/>
  <c r="L252" i="41" s="1"/>
  <c r="O252" i="176" s="1"/>
  <c r="F253" i="41" a="1"/>
  <c r="F253" i="41" s="1"/>
  <c r="G253" i="176" s="1"/>
  <c r="G253" i="41" a="1"/>
  <c r="G253" i="41" s="1"/>
  <c r="H253" i="176" s="1"/>
  <c r="I253" i="41" a="1"/>
  <c r="I253" i="41" s="1"/>
  <c r="L253" i="176" s="1"/>
  <c r="J253" i="41" a="1"/>
  <c r="J253" i="41" s="1"/>
  <c r="M253" i="176" s="1"/>
  <c r="K253" i="41" a="1"/>
  <c r="K253" i="41" s="1"/>
  <c r="N253" i="176" s="1"/>
  <c r="L253" i="41" a="1"/>
  <c r="L253" i="41" s="1"/>
  <c r="O253" i="176" s="1"/>
  <c r="F254" i="41" a="1"/>
  <c r="F254" i="41" s="1"/>
  <c r="G254" i="176" s="1"/>
  <c r="G254" i="41" a="1"/>
  <c r="G254" i="41" s="1"/>
  <c r="H254" i="176" s="1"/>
  <c r="I254" i="41" a="1"/>
  <c r="I254" i="41" s="1"/>
  <c r="L254" i="176" s="1"/>
  <c r="J254" i="41" a="1"/>
  <c r="J254" i="41" s="1"/>
  <c r="M254" i="176" s="1"/>
  <c r="K254" i="41" a="1"/>
  <c r="K254" i="41" s="1"/>
  <c r="N254" i="176" s="1"/>
  <c r="L254" i="41" a="1"/>
  <c r="L254" i="41" s="1"/>
  <c r="O254" i="176" s="1"/>
  <c r="F264" i="41" a="1"/>
  <c r="F264" i="41" s="1"/>
  <c r="G264" i="176" s="1"/>
  <c r="G264" i="41" a="1"/>
  <c r="G264" i="41" s="1"/>
  <c r="H264" i="176" s="1"/>
  <c r="I264" i="41" a="1"/>
  <c r="I264" i="41" s="1"/>
  <c r="L264" i="176" s="1"/>
  <c r="J264" i="41" a="1"/>
  <c r="J264" i="41" s="1"/>
  <c r="M264" i="176" s="1"/>
  <c r="K264" i="41" a="1"/>
  <c r="K264" i="41" s="1"/>
  <c r="N264" i="176" s="1"/>
  <c r="L264" i="41" a="1"/>
  <c r="L264" i="41" s="1"/>
  <c r="O264" i="176" s="1"/>
  <c r="F265" i="41" a="1"/>
  <c r="F265" i="41" s="1"/>
  <c r="G265" i="176" s="1"/>
  <c r="G265" i="41" a="1"/>
  <c r="G265" i="41" s="1"/>
  <c r="H265" i="176" s="1"/>
  <c r="I265" i="41" a="1"/>
  <c r="I265" i="41" s="1"/>
  <c r="L265" i="176" s="1"/>
  <c r="J265" i="41" a="1"/>
  <c r="J265" i="41" s="1"/>
  <c r="M265" i="176" s="1"/>
  <c r="K265" i="41" a="1"/>
  <c r="K265" i="41" s="1"/>
  <c r="N265" i="176" s="1"/>
  <c r="L265" i="41" a="1"/>
  <c r="L265" i="41" s="1"/>
  <c r="O265" i="176" s="1"/>
  <c r="F266" i="41" a="1"/>
  <c r="F266" i="41" s="1"/>
  <c r="G266" i="176" s="1"/>
  <c r="G266" i="41" a="1"/>
  <c r="G266" i="41" s="1"/>
  <c r="H266" i="176" s="1"/>
  <c r="I266" i="41" a="1"/>
  <c r="I266" i="41" s="1"/>
  <c r="L266" i="176" s="1"/>
  <c r="J266" i="41" a="1"/>
  <c r="J266" i="41" s="1"/>
  <c r="M266" i="176" s="1"/>
  <c r="K266" i="41" a="1"/>
  <c r="K266" i="41" s="1"/>
  <c r="N266" i="176" s="1"/>
  <c r="L266" i="41" a="1"/>
  <c r="L266" i="41" s="1"/>
  <c r="O266" i="176" s="1"/>
  <c r="F267" i="41" a="1"/>
  <c r="F267" i="41" s="1"/>
  <c r="G267" i="176" s="1"/>
  <c r="G267" i="41" a="1"/>
  <c r="G267" i="41" s="1"/>
  <c r="H267" i="176" s="1"/>
  <c r="I267" i="41" a="1"/>
  <c r="I267" i="41" s="1"/>
  <c r="L267" i="176" s="1"/>
  <c r="J267" i="41" a="1"/>
  <c r="J267" i="41" s="1"/>
  <c r="M267" i="176" s="1"/>
  <c r="K267" i="41" a="1"/>
  <c r="K267" i="41" s="1"/>
  <c r="N267" i="176" s="1"/>
  <c r="L267" i="41" a="1"/>
  <c r="L267" i="41" s="1"/>
  <c r="O267" i="176" s="1"/>
  <c r="F268" i="41" a="1"/>
  <c r="F268" i="41" s="1"/>
  <c r="G268" i="176" s="1"/>
  <c r="G268" i="41" a="1"/>
  <c r="G268" i="41" s="1"/>
  <c r="H268" i="176" s="1"/>
  <c r="I268" i="41" a="1"/>
  <c r="I268" i="41" s="1"/>
  <c r="L268" i="176" s="1"/>
  <c r="J268" i="41" a="1"/>
  <c r="J268" i="41" s="1"/>
  <c r="M268" i="176" s="1"/>
  <c r="K268" i="41" a="1"/>
  <c r="K268" i="41" s="1"/>
  <c r="N268" i="176" s="1"/>
  <c r="L268" i="41" a="1"/>
  <c r="L268" i="41" s="1"/>
  <c r="O268" i="176" s="1"/>
  <c r="F17" i="41" a="1"/>
  <c r="F17" i="41" s="1"/>
  <c r="G17" i="176" s="1"/>
  <c r="G17" i="41" a="1"/>
  <c r="G17" i="41" s="1"/>
  <c r="H17" i="176" s="1"/>
  <c r="I17" i="41" a="1"/>
  <c r="I17" i="41" s="1"/>
  <c r="L17" i="176" s="1"/>
  <c r="J17" i="41" a="1"/>
  <c r="J17" i="41" s="1"/>
  <c r="M17" i="176" s="1"/>
  <c r="K17" i="41" a="1"/>
  <c r="K17" i="41" s="1"/>
  <c r="N17" i="176" s="1"/>
  <c r="L17" i="41" a="1"/>
  <c r="L17" i="41" s="1"/>
  <c r="O17" i="176" s="1"/>
  <c r="F18" i="41" a="1"/>
  <c r="F18" i="41" s="1"/>
  <c r="G18" i="176" s="1"/>
  <c r="G18" i="41" a="1"/>
  <c r="G18" i="41" s="1"/>
  <c r="H18" i="176" s="1"/>
  <c r="I18" i="41" a="1"/>
  <c r="I18" i="41" s="1"/>
  <c r="L18" i="176" s="1"/>
  <c r="J18" i="41" a="1"/>
  <c r="J18" i="41" s="1"/>
  <c r="M18" i="176" s="1"/>
  <c r="K18" i="41" a="1"/>
  <c r="K18" i="41" s="1"/>
  <c r="N18" i="176" s="1"/>
  <c r="L18" i="41" a="1"/>
  <c r="L18" i="41" s="1"/>
  <c r="O18" i="176" s="1"/>
  <c r="F19" i="41" a="1"/>
  <c r="F19" i="41" s="1"/>
  <c r="G19" i="176" s="1"/>
  <c r="G19" i="41" a="1"/>
  <c r="G19" i="41" s="1"/>
  <c r="H19" i="176" s="1"/>
  <c r="I19" i="41" a="1"/>
  <c r="I19" i="41" s="1"/>
  <c r="L19" i="176" s="1"/>
  <c r="J19" i="41" a="1"/>
  <c r="J19" i="41" s="1"/>
  <c r="M19" i="176" s="1"/>
  <c r="K19" i="41" a="1"/>
  <c r="K19" i="41" s="1"/>
  <c r="N19" i="176" s="1"/>
  <c r="L19" i="41" a="1"/>
  <c r="L19" i="41" s="1"/>
  <c r="O19" i="176" s="1"/>
  <c r="F20" i="41" a="1"/>
  <c r="F20" i="41" s="1"/>
  <c r="G20" i="176" s="1"/>
  <c r="G20" i="41" a="1"/>
  <c r="G20" i="41" s="1"/>
  <c r="H20" i="176" s="1"/>
  <c r="I20" i="41" a="1"/>
  <c r="I20" i="41" s="1"/>
  <c r="L20" i="176" s="1"/>
  <c r="J20" i="41" a="1"/>
  <c r="J20" i="41" s="1"/>
  <c r="M20" i="176" s="1"/>
  <c r="K20" i="41" a="1"/>
  <c r="K20" i="41" s="1"/>
  <c r="N20" i="176" s="1"/>
  <c r="L20" i="41" a="1"/>
  <c r="L20" i="41" s="1"/>
  <c r="O20" i="176" s="1"/>
  <c r="F21" i="41" a="1"/>
  <c r="F21" i="41" s="1"/>
  <c r="G21" i="176" s="1"/>
  <c r="G21" i="41" a="1"/>
  <c r="G21" i="41" s="1"/>
  <c r="H21" i="176" s="1"/>
  <c r="I21" i="41" a="1"/>
  <c r="I21" i="41" s="1"/>
  <c r="L21" i="176" s="1"/>
  <c r="J21" i="41" a="1"/>
  <c r="J21" i="41" s="1"/>
  <c r="M21" i="176" s="1"/>
  <c r="K21" i="41" a="1"/>
  <c r="K21" i="41" s="1"/>
  <c r="N21" i="176" s="1"/>
  <c r="L21" i="41" a="1"/>
  <c r="L21" i="41" s="1"/>
  <c r="O21" i="176" s="1"/>
  <c r="B54" i="203"/>
  <c r="C24" i="102"/>
  <c r="C24" i="101"/>
  <c r="C24" i="113"/>
  <c r="E48" i="99"/>
  <c r="F48" i="99"/>
  <c r="C60" i="95"/>
  <c r="C24" i="95" s="1"/>
  <c r="B74" i="99"/>
  <c r="C24" i="99" s="1"/>
  <c r="C24" i="110"/>
  <c r="V16" i="41" a="1"/>
  <c r="V16" i="41" s="1"/>
  <c r="AC16" i="176" s="1"/>
  <c r="F17" i="137"/>
  <c r="F18" i="137"/>
  <c r="F19" i="137"/>
  <c r="F20" i="137"/>
  <c r="F24" i="137"/>
  <c r="F26" i="137"/>
  <c r="F28" i="137"/>
  <c r="F30" i="137"/>
  <c r="F31" i="137"/>
  <c r="B58" i="203"/>
  <c r="E64" i="203" s="1"/>
  <c r="I146" i="177"/>
  <c r="D22" i="135"/>
  <c r="K8" i="41" a="1"/>
  <c r="K8" i="41" s="1"/>
  <c r="N8" i="176" s="1"/>
  <c r="L8" i="41" a="1"/>
  <c r="L8" i="41" s="1"/>
  <c r="O8" i="176" s="1"/>
  <c r="K9" i="41" a="1"/>
  <c r="K9" i="41" s="1"/>
  <c r="N9" i="176" s="1"/>
  <c r="Q9" i="176" s="1"/>
  <c r="L9" i="41" a="1"/>
  <c r="L9" i="41" s="1"/>
  <c r="O9" i="176" s="1"/>
  <c r="K10" i="41" a="1"/>
  <c r="K10" i="41" s="1"/>
  <c r="N10" i="176" s="1"/>
  <c r="Q10" i="176" s="1"/>
  <c r="L10" i="41" a="1"/>
  <c r="L10" i="41" s="1"/>
  <c r="O10" i="176" s="1"/>
  <c r="K11" i="41" a="1"/>
  <c r="K11" i="41" s="1"/>
  <c r="N11" i="176" s="1"/>
  <c r="Q11" i="176" s="1"/>
  <c r="L11" i="41" a="1"/>
  <c r="L11" i="41" s="1"/>
  <c r="O11" i="176" s="1"/>
  <c r="K12" i="41" a="1"/>
  <c r="K12" i="41" s="1"/>
  <c r="N12" i="176" s="1"/>
  <c r="L12" i="41" a="1"/>
  <c r="L12" i="41" s="1"/>
  <c r="O12" i="176" s="1"/>
  <c r="K13" i="41" a="1"/>
  <c r="K13" i="41" s="1"/>
  <c r="N13" i="176" s="1"/>
  <c r="L13" i="41" a="1"/>
  <c r="L13" i="41" s="1"/>
  <c r="O13" i="176" s="1"/>
  <c r="K14" i="41" a="1"/>
  <c r="K14" i="41" s="1"/>
  <c r="N14" i="176" s="1"/>
  <c r="L14" i="41" a="1"/>
  <c r="L14" i="41" s="1"/>
  <c r="O14" i="176" s="1"/>
  <c r="K15" i="41" a="1"/>
  <c r="K15" i="41" s="1"/>
  <c r="N15" i="176" s="1"/>
  <c r="Q15" i="176" s="1"/>
  <c r="L15" i="41" a="1"/>
  <c r="L15" i="41" s="1"/>
  <c r="O15" i="176" s="1"/>
  <c r="K16" i="41" a="1"/>
  <c r="K16" i="41" s="1"/>
  <c r="N16" i="176" s="1"/>
  <c r="L16" i="41" a="1"/>
  <c r="L16" i="41" s="1"/>
  <c r="O16" i="176" s="1"/>
  <c r="K22" i="41" a="1"/>
  <c r="K22" i="41" s="1"/>
  <c r="N22" i="176" s="1"/>
  <c r="Q22" i="176" s="1"/>
  <c r="L22" i="41" a="1"/>
  <c r="L22" i="41" s="1"/>
  <c r="O22" i="176" s="1"/>
  <c r="K23" i="41" a="1"/>
  <c r="K23" i="41" s="1"/>
  <c r="N23" i="176" s="1"/>
  <c r="L23" i="41" a="1"/>
  <c r="L23" i="41" s="1"/>
  <c r="O23" i="176" s="1"/>
  <c r="K24" i="41" a="1"/>
  <c r="K24" i="41" s="1"/>
  <c r="N24" i="176" s="1"/>
  <c r="Q24" i="176" s="1"/>
  <c r="L24" i="41" a="1"/>
  <c r="L24" i="41" s="1"/>
  <c r="O24" i="176" s="1"/>
  <c r="K25" i="41" a="1"/>
  <c r="K25" i="41" s="1"/>
  <c r="N25" i="176" s="1"/>
  <c r="L25" i="41" a="1"/>
  <c r="L25" i="41" s="1"/>
  <c r="O25" i="176" s="1"/>
  <c r="K26" i="41" a="1"/>
  <c r="K26" i="41" s="1"/>
  <c r="N26" i="176" s="1"/>
  <c r="Q26" i="176" s="1"/>
  <c r="L26" i="41" a="1"/>
  <c r="L26" i="41" s="1"/>
  <c r="O26" i="176" s="1"/>
  <c r="K27" i="41" a="1"/>
  <c r="K27" i="41" s="1"/>
  <c r="N27" i="176" s="1"/>
  <c r="Q27" i="176" s="1"/>
  <c r="L27" i="41" a="1"/>
  <c r="L27" i="41" s="1"/>
  <c r="O27" i="176" s="1"/>
  <c r="K28" i="41" a="1"/>
  <c r="K28" i="41" s="1"/>
  <c r="N28" i="176" s="1"/>
  <c r="L28" i="41" a="1"/>
  <c r="L28" i="41" s="1"/>
  <c r="O28" i="176" s="1"/>
  <c r="K29" i="41" a="1"/>
  <c r="K29" i="41" s="1"/>
  <c r="N29" i="176" s="1"/>
  <c r="L29" i="41" a="1"/>
  <c r="L29" i="41" s="1"/>
  <c r="O29" i="176" s="1"/>
  <c r="K30" i="41" a="1"/>
  <c r="K30" i="41" s="1"/>
  <c r="N30" i="176" s="1"/>
  <c r="Q30" i="176" s="1"/>
  <c r="L30" i="41" a="1"/>
  <c r="L30" i="41" s="1"/>
  <c r="O30" i="176" s="1"/>
  <c r="K36" i="41" a="1"/>
  <c r="K36" i="41" s="1"/>
  <c r="N36" i="176" s="1"/>
  <c r="Q36" i="176" s="1"/>
  <c r="L36" i="41" a="1"/>
  <c r="L36" i="41" s="1"/>
  <c r="O36" i="176" s="1"/>
  <c r="K37" i="41" a="1"/>
  <c r="K37" i="41" s="1"/>
  <c r="N37" i="176" s="1"/>
  <c r="Q37" i="176" s="1"/>
  <c r="L37" i="41" a="1"/>
  <c r="L37" i="41" s="1"/>
  <c r="O37" i="176" s="1"/>
  <c r="K38" i="41" a="1"/>
  <c r="K38" i="41" s="1"/>
  <c r="N38" i="176" s="1"/>
  <c r="L38" i="41" a="1"/>
  <c r="L38" i="41" s="1"/>
  <c r="O38" i="176" s="1"/>
  <c r="K39" i="41" a="1"/>
  <c r="K39" i="41" s="1"/>
  <c r="N39" i="176" s="1"/>
  <c r="Q39" i="176" s="1"/>
  <c r="L39" i="41" a="1"/>
  <c r="L39" i="41" s="1"/>
  <c r="O39" i="176" s="1"/>
  <c r="K40" i="41" a="1"/>
  <c r="K40" i="41" s="1"/>
  <c r="N40" i="176" s="1"/>
  <c r="Q40" i="176" s="1"/>
  <c r="L40" i="41" a="1"/>
  <c r="L40" i="41" s="1"/>
  <c r="O40" i="176" s="1"/>
  <c r="K41" i="41" a="1"/>
  <c r="K41" i="41" s="1"/>
  <c r="N41" i="176" s="1"/>
  <c r="L41" i="41" a="1"/>
  <c r="L41" i="41" s="1"/>
  <c r="O41" i="176" s="1"/>
  <c r="K42" i="41" a="1"/>
  <c r="K42" i="41" s="1"/>
  <c r="N42" i="176" s="1"/>
  <c r="L42" i="41" a="1"/>
  <c r="L42" i="41" s="1"/>
  <c r="O42" i="176" s="1"/>
  <c r="K43" i="41" a="1"/>
  <c r="K43" i="41" s="1"/>
  <c r="N43" i="176" s="1"/>
  <c r="Q43" i="176" s="1"/>
  <c r="L43" i="41" a="1"/>
  <c r="L43" i="41" s="1"/>
  <c r="O43" i="176" s="1"/>
  <c r="K44" i="41" a="1"/>
  <c r="K44" i="41" s="1"/>
  <c r="N44" i="176" s="1"/>
  <c r="L44" i="41" a="1"/>
  <c r="L44" i="41" s="1"/>
  <c r="O44" i="176" s="1"/>
  <c r="K50" i="41" a="1"/>
  <c r="K50" i="41" s="1"/>
  <c r="N50" i="176" s="1"/>
  <c r="Q50" i="176" s="1"/>
  <c r="L50" i="41" a="1"/>
  <c r="L50" i="41" s="1"/>
  <c r="O50" i="176" s="1"/>
  <c r="K51" i="41" a="1"/>
  <c r="K51" i="41" s="1"/>
  <c r="N51" i="176" s="1"/>
  <c r="L51" i="41" a="1"/>
  <c r="L51" i="41" s="1"/>
  <c r="O51" i="176" s="1"/>
  <c r="K52" i="41" a="1"/>
  <c r="K52" i="41" s="1"/>
  <c r="N52" i="176" s="1"/>
  <c r="Q52" i="176" s="1"/>
  <c r="L52" i="41" a="1"/>
  <c r="L52" i="41" s="1"/>
  <c r="O52" i="176" s="1"/>
  <c r="K53" i="41" a="1"/>
  <c r="K53" i="41" s="1"/>
  <c r="N53" i="176" s="1"/>
  <c r="L53" i="41" a="1"/>
  <c r="L53" i="41" s="1"/>
  <c r="O53" i="176" s="1"/>
  <c r="K54" i="41" a="1"/>
  <c r="K54" i="41" s="1"/>
  <c r="N54" i="176" s="1"/>
  <c r="Q54" i="176" s="1"/>
  <c r="L54" i="41" a="1"/>
  <c r="L54" i="41" s="1"/>
  <c r="O54" i="176" s="1"/>
  <c r="K55" i="41" a="1"/>
  <c r="K55" i="41" s="1"/>
  <c r="N55" i="176" s="1"/>
  <c r="Q55" i="176" s="1"/>
  <c r="L55" i="41" a="1"/>
  <c r="L55" i="41" s="1"/>
  <c r="O55" i="176" s="1"/>
  <c r="K56" i="41" a="1"/>
  <c r="K56" i="41" s="1"/>
  <c r="N56" i="176" s="1"/>
  <c r="L56" i="41" a="1"/>
  <c r="L56" i="41" s="1"/>
  <c r="O56" i="176" s="1"/>
  <c r="K57" i="41" a="1"/>
  <c r="K57" i="41" s="1"/>
  <c r="N57" i="176" s="1"/>
  <c r="L57" i="41" a="1"/>
  <c r="L57" i="41" s="1"/>
  <c r="O57" i="176" s="1"/>
  <c r="K58" i="41" a="1"/>
  <c r="K58" i="41" s="1"/>
  <c r="N58" i="176" s="1"/>
  <c r="Q58" i="176" s="1"/>
  <c r="L58" i="41" a="1"/>
  <c r="L58" i="41" s="1"/>
  <c r="O58" i="176" s="1"/>
  <c r="K64" i="41" a="1"/>
  <c r="K64" i="41" s="1"/>
  <c r="N64" i="176" s="1"/>
  <c r="L64" i="41" a="1"/>
  <c r="L64" i="41" s="1"/>
  <c r="O64" i="176" s="1"/>
  <c r="K65" i="41" a="1"/>
  <c r="K65" i="41" s="1"/>
  <c r="N65" i="176" s="1"/>
  <c r="Q65" i="176" s="1"/>
  <c r="L65" i="41" a="1"/>
  <c r="L65" i="41" s="1"/>
  <c r="O65" i="176" s="1"/>
  <c r="K66" i="41" a="1"/>
  <c r="K66" i="41" s="1"/>
  <c r="N66" i="176" s="1"/>
  <c r="L66" i="41" a="1"/>
  <c r="L66" i="41" s="1"/>
  <c r="O66" i="176" s="1"/>
  <c r="K67" i="41" a="1"/>
  <c r="K67" i="41" s="1"/>
  <c r="N67" i="176" s="1"/>
  <c r="L67" i="41" a="1"/>
  <c r="L67" i="41" s="1"/>
  <c r="O67" i="176" s="1"/>
  <c r="K68" i="41" a="1"/>
  <c r="K68" i="41" s="1"/>
  <c r="N68" i="176" s="1"/>
  <c r="L68" i="41" a="1"/>
  <c r="L68" i="41" s="1"/>
  <c r="O68" i="176" s="1"/>
  <c r="K69" i="41" a="1"/>
  <c r="K69" i="41" s="1"/>
  <c r="N69" i="176" s="1"/>
  <c r="Q69" i="176" s="1"/>
  <c r="L69" i="41" a="1"/>
  <c r="L69" i="41" s="1"/>
  <c r="O69" i="176" s="1"/>
  <c r="K70" i="41" a="1"/>
  <c r="K70" i="41" s="1"/>
  <c r="N70" i="176" s="1"/>
  <c r="L70" i="41" a="1"/>
  <c r="L70" i="41" s="1"/>
  <c r="O70" i="176" s="1"/>
  <c r="K71" i="41" a="1"/>
  <c r="K71" i="41" s="1"/>
  <c r="N71" i="176" s="1"/>
  <c r="Q71" i="176" s="1"/>
  <c r="L71" i="41" a="1"/>
  <c r="L71" i="41" s="1"/>
  <c r="O71" i="176" s="1"/>
  <c r="K72" i="41" a="1"/>
  <c r="K72" i="41" s="1"/>
  <c r="N72" i="176" s="1"/>
  <c r="Q72" i="176" s="1"/>
  <c r="L72" i="41" a="1"/>
  <c r="L72" i="41" s="1"/>
  <c r="O72" i="176" s="1"/>
  <c r="K73" i="41" a="1"/>
  <c r="K73" i="41" s="1"/>
  <c r="N73" i="176" s="1"/>
  <c r="Q73" i="176" s="1"/>
  <c r="C192" i="177" s="1"/>
  <c r="L73" i="41" a="1"/>
  <c r="L73" i="41" s="1"/>
  <c r="O73" i="176" s="1"/>
  <c r="K74" i="41" a="1"/>
  <c r="K74" i="41" s="1"/>
  <c r="N74" i="176" s="1"/>
  <c r="L74" i="41" a="1"/>
  <c r="L74" i="41" s="1"/>
  <c r="O74" i="176" s="1"/>
  <c r="K75" i="41" a="1"/>
  <c r="K75" i="41" s="1"/>
  <c r="N75" i="176" s="1"/>
  <c r="Q75" i="176" s="1"/>
  <c r="E192" i="177" s="1"/>
  <c r="L75" i="41" a="1"/>
  <c r="L75" i="41" s="1"/>
  <c r="O75" i="176" s="1"/>
  <c r="K76" i="41" a="1"/>
  <c r="K76" i="41" s="1"/>
  <c r="N76" i="176" s="1"/>
  <c r="L76" i="41" a="1"/>
  <c r="L76" i="41" s="1"/>
  <c r="O76" i="176" s="1"/>
  <c r="K77" i="41" a="1"/>
  <c r="K77" i="41" s="1"/>
  <c r="N77" i="176" s="1"/>
  <c r="L77" i="41" a="1"/>
  <c r="L77" i="41" s="1"/>
  <c r="O77" i="176" s="1"/>
  <c r="K78" i="41" a="1"/>
  <c r="K78" i="41" s="1"/>
  <c r="N78" i="176" s="1"/>
  <c r="Q78" i="176" s="1"/>
  <c r="L78" i="41" a="1"/>
  <c r="L78" i="41" s="1"/>
  <c r="O78" i="176" s="1"/>
  <c r="K79" i="41" a="1"/>
  <c r="K79" i="41" s="1"/>
  <c r="N79" i="176" s="1"/>
  <c r="Q79" i="176" s="1"/>
  <c r="L79" i="41" a="1"/>
  <c r="L79" i="41" s="1"/>
  <c r="O79" i="176" s="1"/>
  <c r="K80" i="41" a="1"/>
  <c r="K80" i="41" s="1"/>
  <c r="N80" i="176" s="1"/>
  <c r="L80" i="41" a="1"/>
  <c r="L80" i="41" s="1"/>
  <c r="O80" i="176" s="1"/>
  <c r="K81" i="41" a="1"/>
  <c r="K81" i="41" s="1"/>
  <c r="N81" i="176" s="1"/>
  <c r="Q81" i="176" s="1"/>
  <c r="L81" i="41" a="1"/>
  <c r="L81" i="41" s="1"/>
  <c r="O81" i="176" s="1"/>
  <c r="K82" i="41" a="1"/>
  <c r="K82" i="41" s="1"/>
  <c r="N82" i="176" s="1"/>
  <c r="Q82" i="176" s="1"/>
  <c r="L82" i="41" a="1"/>
  <c r="L82" i="41" s="1"/>
  <c r="O82" i="176" s="1"/>
  <c r="K83" i="41" a="1"/>
  <c r="K83" i="41" s="1"/>
  <c r="N83" i="176" s="1"/>
  <c r="Q83" i="176" s="1"/>
  <c r="L83" i="41" a="1"/>
  <c r="L83" i="41" s="1"/>
  <c r="O83" i="176" s="1"/>
  <c r="K84" i="41" a="1"/>
  <c r="K84" i="41" s="1"/>
  <c r="N84" i="176" s="1"/>
  <c r="L84" i="41" a="1"/>
  <c r="L84" i="41" s="1"/>
  <c r="O84" i="176" s="1"/>
  <c r="K85" i="41" a="1"/>
  <c r="K85" i="41" s="1"/>
  <c r="N85" i="176" s="1"/>
  <c r="Q85" i="176" s="1"/>
  <c r="L85" i="41" a="1"/>
  <c r="L85" i="41" s="1"/>
  <c r="O85" i="176" s="1"/>
  <c r="K86" i="41" a="1"/>
  <c r="K86" i="41" s="1"/>
  <c r="N86" i="176" s="1"/>
  <c r="L86" i="41" a="1"/>
  <c r="L86" i="41" s="1"/>
  <c r="O86" i="176" s="1"/>
  <c r="K87" i="41" a="1"/>
  <c r="K87" i="41" s="1"/>
  <c r="N87" i="176" s="1"/>
  <c r="Q87" i="176" s="1"/>
  <c r="C193" i="177" s="1"/>
  <c r="L87" i="41" a="1"/>
  <c r="L87" i="41" s="1"/>
  <c r="O87" i="176" s="1"/>
  <c r="K88" i="41" a="1"/>
  <c r="K88" i="41" s="1"/>
  <c r="N88" i="176" s="1"/>
  <c r="L88" i="41" a="1"/>
  <c r="L88" i="41" s="1"/>
  <c r="O88" i="176" s="1"/>
  <c r="K89" i="41" a="1"/>
  <c r="K89" i="41" s="1"/>
  <c r="N89" i="176" s="1"/>
  <c r="L89" i="41" a="1"/>
  <c r="L89" i="41" s="1"/>
  <c r="O89" i="176" s="1"/>
  <c r="K90" i="41" a="1"/>
  <c r="K90" i="41" s="1"/>
  <c r="N90" i="176" s="1"/>
  <c r="L90" i="41" a="1"/>
  <c r="L90" i="41" s="1"/>
  <c r="O90" i="176" s="1"/>
  <c r="K91" i="41" a="1"/>
  <c r="K91" i="41" s="1"/>
  <c r="N91" i="176" s="1"/>
  <c r="Q91" i="176" s="1"/>
  <c r="G193" i="177" s="1"/>
  <c r="L91" i="41" a="1"/>
  <c r="L91" i="41" s="1"/>
  <c r="O91" i="176" s="1"/>
  <c r="K92" i="41" a="1"/>
  <c r="K92" i="41" s="1"/>
  <c r="N92" i="176" s="1"/>
  <c r="L92" i="41" a="1"/>
  <c r="L92" i="41" s="1"/>
  <c r="O92" i="176" s="1"/>
  <c r="K93" i="41" a="1"/>
  <c r="K93" i="41" s="1"/>
  <c r="N93" i="176" s="1"/>
  <c r="Q93" i="176" s="1"/>
  <c r="L93" i="41" a="1"/>
  <c r="L93" i="41" s="1"/>
  <c r="O93" i="176" s="1"/>
  <c r="K94" i="41" a="1"/>
  <c r="K94" i="41" s="1"/>
  <c r="N94" i="176" s="1"/>
  <c r="L94" i="41" a="1"/>
  <c r="L94" i="41" s="1"/>
  <c r="O94" i="176" s="1"/>
  <c r="K95" i="41" a="1"/>
  <c r="K95" i="41" s="1"/>
  <c r="N95" i="176" s="1"/>
  <c r="Q95" i="176" s="1"/>
  <c r="L95" i="41" a="1"/>
  <c r="L95" i="41" s="1"/>
  <c r="O95" i="176" s="1"/>
  <c r="K101" i="41" a="1"/>
  <c r="K101" i="41" s="1"/>
  <c r="N101" i="176" s="1"/>
  <c r="L101" i="41" a="1"/>
  <c r="L101" i="41" s="1"/>
  <c r="O101" i="176" s="1"/>
  <c r="K102" i="41" a="1"/>
  <c r="K102" i="41" s="1"/>
  <c r="N102" i="176" s="1"/>
  <c r="Q102" i="176" s="1"/>
  <c r="L102" i="41" a="1"/>
  <c r="L102" i="41" s="1"/>
  <c r="O102" i="176" s="1"/>
  <c r="K103" i="41" a="1"/>
  <c r="K103" i="41" s="1"/>
  <c r="N103" i="176" s="1"/>
  <c r="L103" i="41" a="1"/>
  <c r="L103" i="41" s="1"/>
  <c r="O103" i="176" s="1"/>
  <c r="K104" i="41" a="1"/>
  <c r="K104" i="41" s="1"/>
  <c r="N104" i="176" s="1"/>
  <c r="Q104" i="176" s="1"/>
  <c r="L104" i="41" a="1"/>
  <c r="L104" i="41" s="1"/>
  <c r="O104" i="176" s="1"/>
  <c r="K105" i="41" a="1"/>
  <c r="K105" i="41" s="1"/>
  <c r="N105" i="176" s="1"/>
  <c r="L105" i="41" a="1"/>
  <c r="L105" i="41" s="1"/>
  <c r="O105" i="176" s="1"/>
  <c r="K106" i="41" a="1"/>
  <c r="K106" i="41" s="1"/>
  <c r="N106" i="176" s="1"/>
  <c r="Q106" i="176" s="1"/>
  <c r="L106" i="41" a="1"/>
  <c r="L106" i="41" s="1"/>
  <c r="O106" i="176" s="1"/>
  <c r="K107" i="41" a="1"/>
  <c r="K107" i="41" s="1"/>
  <c r="N107" i="176" s="1"/>
  <c r="L107" i="41" a="1"/>
  <c r="L107" i="41" s="1"/>
  <c r="O107" i="176" s="1"/>
  <c r="K108" i="41" a="1"/>
  <c r="K108" i="41" s="1"/>
  <c r="N108" i="176" s="1"/>
  <c r="Q108" i="176" s="1"/>
  <c r="L108" i="41" a="1"/>
  <c r="L108" i="41" s="1"/>
  <c r="O108" i="176" s="1"/>
  <c r="K109" i="41" a="1"/>
  <c r="K109" i="41" s="1"/>
  <c r="N109" i="176" s="1"/>
  <c r="L109" i="41" a="1"/>
  <c r="L109" i="41" s="1"/>
  <c r="O109" i="176" s="1"/>
  <c r="K115" i="41" a="1"/>
  <c r="K115" i="41" s="1"/>
  <c r="N115" i="176" s="1"/>
  <c r="L115" i="41" a="1"/>
  <c r="L115" i="41" s="1"/>
  <c r="O115" i="176" s="1"/>
  <c r="K116" i="41" a="1"/>
  <c r="K116" i="41" s="1"/>
  <c r="N116" i="176" s="1"/>
  <c r="L116" i="41" a="1"/>
  <c r="L116" i="41" s="1"/>
  <c r="O116" i="176" s="1"/>
  <c r="K117" i="41" a="1"/>
  <c r="K117" i="41" s="1"/>
  <c r="N117" i="176" s="1"/>
  <c r="Q117" i="176" s="1"/>
  <c r="L117" i="41" a="1"/>
  <c r="L117" i="41" s="1"/>
  <c r="O117" i="176" s="1"/>
  <c r="K118" i="41" a="1"/>
  <c r="K118" i="41" s="1"/>
  <c r="N118" i="176" s="1"/>
  <c r="L118" i="41" a="1"/>
  <c r="L118" i="41" s="1"/>
  <c r="O118" i="176" s="1"/>
  <c r="K119" i="41" a="1"/>
  <c r="K119" i="41" s="1"/>
  <c r="N119" i="176" s="1"/>
  <c r="Q119" i="176" s="1"/>
  <c r="L119" i="41" a="1"/>
  <c r="L119" i="41" s="1"/>
  <c r="O119" i="176" s="1"/>
  <c r="K120" i="41" a="1"/>
  <c r="K120" i="41" s="1"/>
  <c r="N120" i="176" s="1"/>
  <c r="L120" i="41" a="1"/>
  <c r="L120" i="41" s="1"/>
  <c r="O120" i="176" s="1"/>
  <c r="K121" i="41" a="1"/>
  <c r="K121" i="41" s="1"/>
  <c r="N121" i="176" s="1"/>
  <c r="Q121" i="176" s="1"/>
  <c r="L121" i="41" a="1"/>
  <c r="L121" i="41" s="1"/>
  <c r="O121" i="176" s="1"/>
  <c r="K122" i="41" a="1"/>
  <c r="K122" i="41" s="1"/>
  <c r="N122" i="176" s="1"/>
  <c r="L122" i="41" a="1"/>
  <c r="L122" i="41" s="1"/>
  <c r="O122" i="176" s="1"/>
  <c r="K123" i="41" a="1"/>
  <c r="K123" i="41" s="1"/>
  <c r="N123" i="176" s="1"/>
  <c r="Q123" i="176" s="1"/>
  <c r="L123" i="41" a="1"/>
  <c r="L123" i="41" s="1"/>
  <c r="O123" i="176" s="1"/>
  <c r="K129" i="41" a="1"/>
  <c r="K129" i="41" s="1"/>
  <c r="N129" i="176" s="1"/>
  <c r="L129" i="41" a="1"/>
  <c r="L129" i="41" s="1"/>
  <c r="O129" i="176" s="1"/>
  <c r="K130" i="41" a="1"/>
  <c r="K130" i="41" s="1"/>
  <c r="N130" i="176" s="1"/>
  <c r="Q130" i="176" s="1"/>
  <c r="L130" i="41" a="1"/>
  <c r="L130" i="41" s="1"/>
  <c r="O130" i="176" s="1"/>
  <c r="K131" i="41" a="1"/>
  <c r="K131" i="41" s="1"/>
  <c r="N131" i="176" s="1"/>
  <c r="L131" i="41" a="1"/>
  <c r="L131" i="41" s="1"/>
  <c r="O131" i="176" s="1"/>
  <c r="K132" i="41" a="1"/>
  <c r="K132" i="41" s="1"/>
  <c r="N132" i="176" s="1"/>
  <c r="L132" i="41" a="1"/>
  <c r="L132" i="41" s="1"/>
  <c r="O132" i="176" s="1"/>
  <c r="K133" i="41" a="1"/>
  <c r="K133" i="41" s="1"/>
  <c r="N133" i="176" s="1"/>
  <c r="L133" i="41" a="1"/>
  <c r="L133" i="41" s="1"/>
  <c r="O133" i="176" s="1"/>
  <c r="K134" i="41" a="1"/>
  <c r="K134" i="41" s="1"/>
  <c r="N134" i="176" s="1"/>
  <c r="Q134" i="176" s="1"/>
  <c r="L134" i="41" a="1"/>
  <c r="L134" i="41" s="1"/>
  <c r="O134" i="176" s="1"/>
  <c r="K135" i="41" a="1"/>
  <c r="K135" i="41" s="1"/>
  <c r="N135" i="176" s="1"/>
  <c r="L135" i="41" a="1"/>
  <c r="L135" i="41" s="1"/>
  <c r="O135" i="176" s="1"/>
  <c r="K136" i="41" a="1"/>
  <c r="K136" i="41" s="1"/>
  <c r="N136" i="176" s="1"/>
  <c r="L136" i="41" a="1"/>
  <c r="L136" i="41" s="1"/>
  <c r="O136" i="176" s="1"/>
  <c r="K137" i="41" a="1"/>
  <c r="K137" i="41" s="1"/>
  <c r="N137" i="176" s="1"/>
  <c r="L137" i="41" a="1"/>
  <c r="L137" i="41" s="1"/>
  <c r="O137" i="176" s="1"/>
  <c r="K143" i="41" a="1"/>
  <c r="K143" i="41" s="1"/>
  <c r="N143" i="176" s="1"/>
  <c r="L143" i="41" a="1"/>
  <c r="L143" i="41" s="1"/>
  <c r="O143" i="176" s="1"/>
  <c r="K144" i="41" a="1"/>
  <c r="K144" i="41" s="1"/>
  <c r="N144" i="176" s="1"/>
  <c r="L144" i="41" a="1"/>
  <c r="L144" i="41" s="1"/>
  <c r="O144" i="176" s="1"/>
  <c r="K145" i="41" a="1"/>
  <c r="K145" i="41" s="1"/>
  <c r="N145" i="176" s="1"/>
  <c r="L145" i="41" a="1"/>
  <c r="L145" i="41" s="1"/>
  <c r="O145" i="176" s="1"/>
  <c r="K146" i="41" a="1"/>
  <c r="K146" i="41" s="1"/>
  <c r="N146" i="176" s="1"/>
  <c r="L146" i="41" a="1"/>
  <c r="L146" i="41" s="1"/>
  <c r="O146" i="176" s="1"/>
  <c r="K147" i="41" a="1"/>
  <c r="K147" i="41" s="1"/>
  <c r="N147" i="176" s="1"/>
  <c r="Q147" i="176" s="1"/>
  <c r="L147" i="41" a="1"/>
  <c r="L147" i="41" s="1"/>
  <c r="O147" i="176" s="1"/>
  <c r="K148" i="41" a="1"/>
  <c r="K148" i="41" s="1"/>
  <c r="N148" i="176" s="1"/>
  <c r="L148" i="41" a="1"/>
  <c r="L148" i="41" s="1"/>
  <c r="O148" i="176" s="1"/>
  <c r="K149" i="41" a="1"/>
  <c r="K149" i="41" s="1"/>
  <c r="N149" i="176" s="1"/>
  <c r="Q149" i="176" s="1"/>
  <c r="L149" i="41" a="1"/>
  <c r="L149" i="41" s="1"/>
  <c r="O149" i="176" s="1"/>
  <c r="K150" i="41" a="1"/>
  <c r="K150" i="41" s="1"/>
  <c r="N150" i="176" s="1"/>
  <c r="L150" i="41" a="1"/>
  <c r="L150" i="41" s="1"/>
  <c r="O150" i="176" s="1"/>
  <c r="K151" i="41" a="1"/>
  <c r="K151" i="41" s="1"/>
  <c r="N151" i="176" s="1"/>
  <c r="L151" i="41" a="1"/>
  <c r="L151" i="41" s="1"/>
  <c r="O151" i="176" s="1"/>
  <c r="K157" i="41" a="1"/>
  <c r="K157" i="41" s="1"/>
  <c r="N157" i="176" s="1"/>
  <c r="L157" i="41" a="1"/>
  <c r="L157" i="41" s="1"/>
  <c r="O157" i="176" s="1"/>
  <c r="K158" i="41" a="1"/>
  <c r="K158" i="41" s="1"/>
  <c r="N158" i="176" s="1"/>
  <c r="Q158" i="176" s="1"/>
  <c r="L158" i="41" a="1"/>
  <c r="L158" i="41" s="1"/>
  <c r="O158" i="176" s="1"/>
  <c r="K159" i="41" a="1"/>
  <c r="K159" i="41" s="1"/>
  <c r="N159" i="176" s="1"/>
  <c r="L159" i="41" a="1"/>
  <c r="L159" i="41" s="1"/>
  <c r="O159" i="176" s="1"/>
  <c r="K160" i="41" a="1"/>
  <c r="K160" i="41" s="1"/>
  <c r="N160" i="176" s="1"/>
  <c r="Q160" i="176" s="1"/>
  <c r="L160" i="41" a="1"/>
  <c r="L160" i="41" s="1"/>
  <c r="O160" i="176" s="1"/>
  <c r="K161" i="41" a="1"/>
  <c r="K161" i="41" s="1"/>
  <c r="N161" i="176" s="1"/>
  <c r="L161" i="41" a="1"/>
  <c r="L161" i="41" s="1"/>
  <c r="O161" i="176" s="1"/>
  <c r="K162" i="41" a="1"/>
  <c r="K162" i="41" s="1"/>
  <c r="N162" i="176" s="1"/>
  <c r="Q162" i="176" s="1"/>
  <c r="L162" i="41" a="1"/>
  <c r="L162" i="41" s="1"/>
  <c r="O162" i="176" s="1"/>
  <c r="K163" i="41" a="1"/>
  <c r="K163" i="41" s="1"/>
  <c r="N163" i="176" s="1"/>
  <c r="L163" i="41" a="1"/>
  <c r="L163" i="41" s="1"/>
  <c r="O163" i="176" s="1"/>
  <c r="K164" i="41" a="1"/>
  <c r="K164" i="41" s="1"/>
  <c r="N164" i="176" s="1"/>
  <c r="Q164" i="176" s="1"/>
  <c r="L164" i="41" a="1"/>
  <c r="L164" i="41" s="1"/>
  <c r="O164" i="176" s="1"/>
  <c r="K165" i="41" a="1"/>
  <c r="K165" i="41" s="1"/>
  <c r="N165" i="176" s="1"/>
  <c r="L165" i="41" a="1"/>
  <c r="L165" i="41" s="1"/>
  <c r="O165" i="176" s="1"/>
  <c r="K171" i="41" a="1"/>
  <c r="K171" i="41" s="1"/>
  <c r="N171" i="176" s="1"/>
  <c r="L171" i="41" a="1"/>
  <c r="L171" i="41" s="1"/>
  <c r="O171" i="176" s="1"/>
  <c r="K172" i="41" a="1"/>
  <c r="K172" i="41" s="1"/>
  <c r="N172" i="176" s="1"/>
  <c r="L172" i="41" a="1"/>
  <c r="L172" i="41" s="1"/>
  <c r="O172" i="176" s="1"/>
  <c r="K173" i="41" a="1"/>
  <c r="K173" i="41" s="1"/>
  <c r="N173" i="176" s="1"/>
  <c r="Q173" i="176" s="1"/>
  <c r="L173" i="41" a="1"/>
  <c r="L173" i="41" s="1"/>
  <c r="O173" i="176" s="1"/>
  <c r="K174" i="41" a="1"/>
  <c r="K174" i="41" s="1"/>
  <c r="N174" i="176" s="1"/>
  <c r="L174" i="41" a="1"/>
  <c r="L174" i="41" s="1"/>
  <c r="O174" i="176" s="1"/>
  <c r="K175" i="41" a="1"/>
  <c r="K175" i="41" s="1"/>
  <c r="N175" i="176" s="1"/>
  <c r="L175" i="41" a="1"/>
  <c r="L175" i="41" s="1"/>
  <c r="O175" i="176" s="1"/>
  <c r="K176" i="41" a="1"/>
  <c r="K176" i="41" s="1"/>
  <c r="N176" i="176" s="1"/>
  <c r="L176" i="41" a="1"/>
  <c r="L176" i="41" s="1"/>
  <c r="O176" i="176" s="1"/>
  <c r="K177" i="41" a="1"/>
  <c r="K177" i="41" s="1"/>
  <c r="N177" i="176" s="1"/>
  <c r="Q177" i="176" s="1"/>
  <c r="L177" i="41" a="1"/>
  <c r="L177" i="41" s="1"/>
  <c r="O177" i="176" s="1"/>
  <c r="K178" i="41" a="1"/>
  <c r="K178" i="41" s="1"/>
  <c r="N178" i="176" s="1"/>
  <c r="L178" i="41" a="1"/>
  <c r="L178" i="41" s="1"/>
  <c r="O178" i="176" s="1"/>
  <c r="K179" i="41" a="1"/>
  <c r="K179" i="41" s="1"/>
  <c r="N179" i="176" s="1"/>
  <c r="L179" i="41" a="1"/>
  <c r="L179" i="41" s="1"/>
  <c r="O179" i="176" s="1"/>
  <c r="K185" i="41" a="1"/>
  <c r="K185" i="41" s="1"/>
  <c r="N185" i="176" s="1"/>
  <c r="L185" i="41" a="1"/>
  <c r="L185" i="41" s="1"/>
  <c r="O185" i="176" s="1"/>
  <c r="K186" i="41" a="1"/>
  <c r="K186" i="41" s="1"/>
  <c r="N186" i="176" s="1"/>
  <c r="Q186" i="176" s="1"/>
  <c r="L186" i="41" a="1"/>
  <c r="L186" i="41" s="1"/>
  <c r="O186" i="176" s="1"/>
  <c r="K187" i="41" a="1"/>
  <c r="K187" i="41" s="1"/>
  <c r="N187" i="176" s="1"/>
  <c r="L187" i="41" a="1"/>
  <c r="L187" i="41" s="1"/>
  <c r="O187" i="176" s="1"/>
  <c r="K188" i="41" a="1"/>
  <c r="K188" i="41" s="1"/>
  <c r="N188" i="176" s="1"/>
  <c r="L188" i="41" a="1"/>
  <c r="L188" i="41" s="1"/>
  <c r="O188" i="176" s="1"/>
  <c r="K189" i="41" a="1"/>
  <c r="K189" i="41" s="1"/>
  <c r="N189" i="176" s="1"/>
  <c r="L189" i="41" a="1"/>
  <c r="L189" i="41" s="1"/>
  <c r="O189" i="176" s="1"/>
  <c r="K190" i="41" a="1"/>
  <c r="K190" i="41" s="1"/>
  <c r="N190" i="176" s="1"/>
  <c r="Q190" i="176" s="1"/>
  <c r="L190" i="41" a="1"/>
  <c r="L190" i="41" s="1"/>
  <c r="O190" i="176" s="1"/>
  <c r="K191" i="41" a="1"/>
  <c r="K191" i="41" s="1"/>
  <c r="N191" i="176" s="1"/>
  <c r="L191" i="41" a="1"/>
  <c r="L191" i="41" s="1"/>
  <c r="O191" i="176" s="1"/>
  <c r="K192" i="41" a="1"/>
  <c r="K192" i="41" s="1"/>
  <c r="N192" i="176" s="1"/>
  <c r="L192" i="41" a="1"/>
  <c r="L192" i="41" s="1"/>
  <c r="O192" i="176" s="1"/>
  <c r="K193" i="41" a="1"/>
  <c r="K193" i="41" s="1"/>
  <c r="N193" i="176" s="1"/>
  <c r="L193" i="41" a="1"/>
  <c r="L193" i="41" s="1"/>
  <c r="O193" i="176" s="1"/>
  <c r="K194" i="41" a="1"/>
  <c r="K194" i="41" s="1"/>
  <c r="N194" i="176" s="1"/>
  <c r="Q194" i="176" s="1"/>
  <c r="C194" i="177" s="1"/>
  <c r="L194" i="41" a="1"/>
  <c r="L194" i="41" s="1"/>
  <c r="O194" i="176" s="1"/>
  <c r="K195" i="41" a="1"/>
  <c r="K195" i="41" s="1"/>
  <c r="N195" i="176" s="1"/>
  <c r="L195" i="41" a="1"/>
  <c r="L195" i="41" s="1"/>
  <c r="O195" i="176" s="1"/>
  <c r="K196" i="41" a="1"/>
  <c r="K196" i="41" s="1"/>
  <c r="N196" i="176" s="1"/>
  <c r="Q196" i="176" s="1"/>
  <c r="E194" i="177" s="1"/>
  <c r="L196" i="41" a="1"/>
  <c r="L196" i="41" s="1"/>
  <c r="O196" i="176" s="1"/>
  <c r="K197" i="41" a="1"/>
  <c r="K197" i="41" s="1"/>
  <c r="N197" i="176" s="1"/>
  <c r="L197" i="41" a="1"/>
  <c r="L197" i="41" s="1"/>
  <c r="O197" i="176" s="1"/>
  <c r="K198" i="41" a="1"/>
  <c r="K198" i="41" s="1"/>
  <c r="N198" i="176" s="1"/>
  <c r="Q198" i="176" s="1"/>
  <c r="G194" i="177" s="1"/>
  <c r="L198" i="41" a="1"/>
  <c r="L198" i="41" s="1"/>
  <c r="O198" i="176" s="1"/>
  <c r="K199" i="41" a="1"/>
  <c r="K199" i="41" s="1"/>
  <c r="N199" i="176" s="1"/>
  <c r="L199" i="41" a="1"/>
  <c r="L199" i="41" s="1"/>
  <c r="O199" i="176" s="1"/>
  <c r="K200" i="41" a="1"/>
  <c r="K200" i="41" s="1"/>
  <c r="N200" i="176" s="1"/>
  <c r="L200" i="41" a="1"/>
  <c r="L200" i="41" s="1"/>
  <c r="O200" i="176" s="1"/>
  <c r="K201" i="41" a="1"/>
  <c r="K201" i="41" s="1"/>
  <c r="N201" i="176" s="1"/>
  <c r="L201" i="41" a="1"/>
  <c r="L201" i="41" s="1"/>
  <c r="O201" i="176" s="1"/>
  <c r="K202" i="41" a="1"/>
  <c r="K202" i="41" s="1"/>
  <c r="N202" i="176" s="1"/>
  <c r="Q202" i="176" s="1"/>
  <c r="L202" i="41" a="1"/>
  <c r="L202" i="41" s="1"/>
  <c r="O202" i="176" s="1"/>
  <c r="K203" i="41" a="1"/>
  <c r="K203" i="41" s="1"/>
  <c r="N203" i="176" s="1"/>
  <c r="L203" i="41" a="1"/>
  <c r="L203" i="41" s="1"/>
  <c r="O203" i="176" s="1"/>
  <c r="K204" i="41" a="1"/>
  <c r="K204" i="41" s="1"/>
  <c r="N204" i="176" s="1"/>
  <c r="L204" i="41" a="1"/>
  <c r="L204" i="41" s="1"/>
  <c r="O204" i="176" s="1"/>
  <c r="K205" i="41" a="1"/>
  <c r="K205" i="41" s="1"/>
  <c r="N205" i="176" s="1"/>
  <c r="L205" i="41" a="1"/>
  <c r="L205" i="41" s="1"/>
  <c r="O205" i="176" s="1"/>
  <c r="K206" i="41" a="1"/>
  <c r="K206" i="41" s="1"/>
  <c r="N206" i="176" s="1"/>
  <c r="Q206" i="176" s="1"/>
  <c r="L206" i="41" a="1"/>
  <c r="L206" i="41" s="1"/>
  <c r="O206" i="176" s="1"/>
  <c r="K207" i="41" a="1"/>
  <c r="K207" i="41" s="1"/>
  <c r="N207" i="176" s="1"/>
  <c r="L207" i="41" a="1"/>
  <c r="L207" i="41" s="1"/>
  <c r="O207" i="176" s="1"/>
  <c r="K208" i="41" a="1"/>
  <c r="K208" i="41" s="1"/>
  <c r="N208" i="176" s="1"/>
  <c r="Q208" i="176" s="1"/>
  <c r="C195" i="177" s="1"/>
  <c r="L208" i="41" a="1"/>
  <c r="L208" i="41" s="1"/>
  <c r="O208" i="176" s="1"/>
  <c r="K209" i="41" a="1"/>
  <c r="K209" i="41" s="1"/>
  <c r="N209" i="176" s="1"/>
  <c r="L209" i="41" a="1"/>
  <c r="L209" i="41" s="1"/>
  <c r="O209" i="176" s="1"/>
  <c r="K210" i="41" a="1"/>
  <c r="K210" i="41" s="1"/>
  <c r="N210" i="176" s="1"/>
  <c r="Q210" i="176" s="1"/>
  <c r="E195" i="177" s="1"/>
  <c r="L210" i="41" a="1"/>
  <c r="L210" i="41" s="1"/>
  <c r="O210" i="176" s="1"/>
  <c r="K211" i="41" a="1"/>
  <c r="K211" i="41" s="1"/>
  <c r="N211" i="176" s="1"/>
  <c r="L211" i="41" a="1"/>
  <c r="L211" i="41" s="1"/>
  <c r="O211" i="176" s="1"/>
  <c r="K212" i="41" a="1"/>
  <c r="K212" i="41" s="1"/>
  <c r="N212" i="176" s="1"/>
  <c r="L212" i="41" a="1"/>
  <c r="L212" i="41" s="1"/>
  <c r="O212" i="176" s="1"/>
  <c r="K213" i="41" a="1"/>
  <c r="K213" i="41" s="1"/>
  <c r="N213" i="176" s="1"/>
  <c r="L213" i="41" a="1"/>
  <c r="L213" i="41" s="1"/>
  <c r="O213" i="176" s="1"/>
  <c r="K214" i="41" a="1"/>
  <c r="K214" i="41" s="1"/>
  <c r="N214" i="176" s="1"/>
  <c r="Q214" i="176" s="1"/>
  <c r="L214" i="41" a="1"/>
  <c r="L214" i="41" s="1"/>
  <c r="O214" i="176" s="1"/>
  <c r="K215" i="41" a="1"/>
  <c r="K215" i="41" s="1"/>
  <c r="N215" i="176" s="1"/>
  <c r="L215" i="41" a="1"/>
  <c r="L215" i="41" s="1"/>
  <c r="O215" i="176" s="1"/>
  <c r="K216" i="41" a="1"/>
  <c r="K216" i="41" s="1"/>
  <c r="N216" i="176" s="1"/>
  <c r="Q216" i="176" s="1"/>
  <c r="L216" i="41" a="1"/>
  <c r="L216" i="41" s="1"/>
  <c r="O216" i="176" s="1"/>
  <c r="K217" i="41" a="1"/>
  <c r="K217" i="41" s="1"/>
  <c r="N217" i="176" s="1"/>
  <c r="L217" i="41" a="1"/>
  <c r="L217" i="41" s="1"/>
  <c r="O217" i="176" s="1"/>
  <c r="K218" i="41" a="1"/>
  <c r="K218" i="41" s="1"/>
  <c r="N218" i="176" s="1"/>
  <c r="Q218" i="176" s="1"/>
  <c r="L218" i="41" a="1"/>
  <c r="L218" i="41" s="1"/>
  <c r="O218" i="176" s="1"/>
  <c r="K219" i="41" a="1"/>
  <c r="K219" i="41" s="1"/>
  <c r="N219" i="176" s="1"/>
  <c r="L219" i="41" a="1"/>
  <c r="L219" i="41" s="1"/>
  <c r="O219" i="176" s="1"/>
  <c r="K220" i="41" a="1"/>
  <c r="K220" i="41" s="1"/>
  <c r="N220" i="176" s="1"/>
  <c r="L220" i="41" a="1"/>
  <c r="L220" i="41" s="1"/>
  <c r="O220" i="176" s="1"/>
  <c r="K221" i="41" a="1"/>
  <c r="K221" i="41" s="1"/>
  <c r="N221" i="176" s="1"/>
  <c r="L221" i="41" a="1"/>
  <c r="L221" i="41" s="1"/>
  <c r="O221" i="176" s="1"/>
  <c r="K227" i="41" a="1"/>
  <c r="K227" i="41" s="1"/>
  <c r="N227" i="176" s="1"/>
  <c r="Q227" i="176" s="1"/>
  <c r="L227" i="41" a="1"/>
  <c r="L227" i="41" s="1"/>
  <c r="O227" i="176" s="1"/>
  <c r="K228" i="41" a="1"/>
  <c r="K228" i="41" s="1"/>
  <c r="N228" i="176" s="1"/>
  <c r="L228" i="41" a="1"/>
  <c r="L228" i="41" s="1"/>
  <c r="O228" i="176" s="1"/>
  <c r="K229" i="41" a="1"/>
  <c r="K229" i="41" s="1"/>
  <c r="N229" i="176" s="1"/>
  <c r="L229" i="41" a="1"/>
  <c r="L229" i="41" s="1"/>
  <c r="O229" i="176" s="1"/>
  <c r="K230" i="41" a="1"/>
  <c r="K230" i="41" s="1"/>
  <c r="N230" i="176" s="1"/>
  <c r="L230" i="41" a="1"/>
  <c r="L230" i="41" s="1"/>
  <c r="O230" i="176" s="1"/>
  <c r="K231" i="41" a="1"/>
  <c r="K231" i="41" s="1"/>
  <c r="N231" i="176" s="1"/>
  <c r="Q231" i="176" s="1"/>
  <c r="L231" i="41" a="1"/>
  <c r="L231" i="41" s="1"/>
  <c r="O231" i="176" s="1"/>
  <c r="K232" i="41" a="1"/>
  <c r="K232" i="41" s="1"/>
  <c r="N232" i="176" s="1"/>
  <c r="L232" i="41" a="1"/>
  <c r="L232" i="41" s="1"/>
  <c r="O232" i="176" s="1"/>
  <c r="K233" i="41" a="1"/>
  <c r="K233" i="41" s="1"/>
  <c r="N233" i="176" s="1"/>
  <c r="L233" i="41" a="1"/>
  <c r="L233" i="41" s="1"/>
  <c r="O233" i="176" s="1"/>
  <c r="K234" i="41" a="1"/>
  <c r="K234" i="41" s="1"/>
  <c r="N234" i="176" s="1"/>
  <c r="L234" i="41" a="1"/>
  <c r="L234" i="41" s="1"/>
  <c r="O234" i="176" s="1"/>
  <c r="K235" i="41" a="1"/>
  <c r="K235" i="41" s="1"/>
  <c r="N235" i="176" s="1"/>
  <c r="Q235" i="176" s="1"/>
  <c r="L235" i="41" a="1"/>
  <c r="L235" i="41" s="1"/>
  <c r="O235" i="176" s="1"/>
  <c r="K241" i="41" a="1"/>
  <c r="K241" i="41" s="1"/>
  <c r="N241" i="176" s="1"/>
  <c r="L241" i="41" a="1"/>
  <c r="L241" i="41" s="1"/>
  <c r="O241" i="176" s="1"/>
  <c r="K242" i="41" a="1"/>
  <c r="K242" i="41" s="1"/>
  <c r="N242" i="176" s="1"/>
  <c r="L242" i="41" a="1"/>
  <c r="L242" i="41" s="1"/>
  <c r="O242" i="176" s="1"/>
  <c r="K243" i="41" a="1"/>
  <c r="K243" i="41" s="1"/>
  <c r="N243" i="176" s="1"/>
  <c r="L243" i="41" a="1"/>
  <c r="L243" i="41" s="1"/>
  <c r="O243" i="176" s="1"/>
  <c r="K244" i="41" a="1"/>
  <c r="K244" i="41" s="1"/>
  <c r="N244" i="176" s="1"/>
  <c r="Q244" i="176" s="1"/>
  <c r="L244" i="41" a="1"/>
  <c r="L244" i="41" s="1"/>
  <c r="O244" i="176" s="1"/>
  <c r="K245" i="41" a="1"/>
  <c r="K245" i="41" s="1"/>
  <c r="N245" i="176" s="1"/>
  <c r="L245" i="41" a="1"/>
  <c r="L245" i="41" s="1"/>
  <c r="O245" i="176" s="1"/>
  <c r="K246" i="41" a="1"/>
  <c r="K246" i="41" s="1"/>
  <c r="N246" i="176" s="1"/>
  <c r="L246" i="41" a="1"/>
  <c r="L246" i="41" s="1"/>
  <c r="O246" i="176" s="1"/>
  <c r="K247" i="41" a="1"/>
  <c r="K247" i="41" s="1"/>
  <c r="N247" i="176" s="1"/>
  <c r="L247" i="41" a="1"/>
  <c r="L247" i="41" s="1"/>
  <c r="O247" i="176" s="1"/>
  <c r="K248" i="41" a="1"/>
  <c r="K248" i="41" s="1"/>
  <c r="N248" i="176" s="1"/>
  <c r="L248" i="41" a="1"/>
  <c r="L248" i="41" s="1"/>
  <c r="O248" i="176" s="1"/>
  <c r="K249" i="41" a="1"/>
  <c r="K249" i="41" s="1"/>
  <c r="N249" i="176" s="1"/>
  <c r="L249" i="41" a="1"/>
  <c r="L249" i="41" s="1"/>
  <c r="O249" i="176" s="1"/>
  <c r="K255" i="41" a="1"/>
  <c r="K255" i="41" s="1"/>
  <c r="N255" i="176" s="1"/>
  <c r="L255" i="41" a="1"/>
  <c r="L255" i="41" s="1"/>
  <c r="O255" i="176" s="1"/>
  <c r="K256" i="41" a="1"/>
  <c r="K256" i="41" s="1"/>
  <c r="N256" i="176" s="1"/>
  <c r="L256" i="41" a="1"/>
  <c r="L256" i="41" s="1"/>
  <c r="O256" i="176" s="1"/>
  <c r="K257" i="41" a="1"/>
  <c r="K257" i="41" s="1"/>
  <c r="N257" i="176" s="1"/>
  <c r="Q257" i="176" s="1"/>
  <c r="L257" i="41" a="1"/>
  <c r="L257" i="41" s="1"/>
  <c r="O257" i="176" s="1"/>
  <c r="K258" i="41" a="1"/>
  <c r="K258" i="41" s="1"/>
  <c r="N258" i="176" s="1"/>
  <c r="L258" i="41" a="1"/>
  <c r="L258" i="41" s="1"/>
  <c r="O258" i="176" s="1"/>
  <c r="K259" i="41" a="1"/>
  <c r="K259" i="41" s="1"/>
  <c r="N259" i="176" s="1"/>
  <c r="L259" i="41" a="1"/>
  <c r="L259" i="41" s="1"/>
  <c r="O259" i="176" s="1"/>
  <c r="K260" i="41" a="1"/>
  <c r="K260" i="41" s="1"/>
  <c r="N260" i="176" s="1"/>
  <c r="L260" i="41" a="1"/>
  <c r="L260" i="41" s="1"/>
  <c r="O260" i="176" s="1"/>
  <c r="K261" i="41" a="1"/>
  <c r="K261" i="41" s="1"/>
  <c r="N261" i="176" s="1"/>
  <c r="Q261" i="176" s="1"/>
  <c r="L261" i="41" a="1"/>
  <c r="L261" i="41" s="1"/>
  <c r="O261" i="176" s="1"/>
  <c r="K262" i="41" a="1"/>
  <c r="K262" i="41" s="1"/>
  <c r="N262" i="176" s="1"/>
  <c r="L262" i="41" a="1"/>
  <c r="L262" i="41" s="1"/>
  <c r="O262" i="176" s="1"/>
  <c r="K263" i="41" a="1"/>
  <c r="K263" i="41" s="1"/>
  <c r="N263" i="176" s="1"/>
  <c r="L263" i="41" a="1"/>
  <c r="L263" i="41" s="1"/>
  <c r="O263" i="176" s="1"/>
  <c r="K269" i="41" a="1"/>
  <c r="K269" i="41" s="1"/>
  <c r="N269" i="176" s="1"/>
  <c r="L269" i="41" a="1"/>
  <c r="L269" i="41" s="1"/>
  <c r="O269" i="176" s="1"/>
  <c r="K270" i="41" a="1"/>
  <c r="K270" i="41" s="1"/>
  <c r="N270" i="176" s="1"/>
  <c r="Q270" i="176" s="1"/>
  <c r="L270" i="41" a="1"/>
  <c r="L270" i="41" s="1"/>
  <c r="O270" i="176" s="1"/>
  <c r="K271" i="41" a="1"/>
  <c r="K271" i="41" s="1"/>
  <c r="N271" i="176" s="1"/>
  <c r="L271" i="41" a="1"/>
  <c r="L271" i="41" s="1"/>
  <c r="O271" i="176" s="1"/>
  <c r="K272" i="41" a="1"/>
  <c r="K272" i="41" s="1"/>
  <c r="N272" i="176" s="1"/>
  <c r="Q272" i="176" s="1"/>
  <c r="L272" i="41" a="1"/>
  <c r="L272" i="41" s="1"/>
  <c r="O272" i="176" s="1"/>
  <c r="K273" i="41" a="1"/>
  <c r="K273" i="41" s="1"/>
  <c r="N273" i="176" s="1"/>
  <c r="L273" i="41" a="1"/>
  <c r="L273" i="41" s="1"/>
  <c r="O273" i="176" s="1"/>
  <c r="K274" i="41" a="1"/>
  <c r="K274" i="41" s="1"/>
  <c r="N274" i="176" s="1"/>
  <c r="L274" i="41" a="1"/>
  <c r="L274" i="41" s="1"/>
  <c r="O274" i="176" s="1"/>
  <c r="K283" i="41" a="1"/>
  <c r="K283" i="41" s="1"/>
  <c r="N283" i="176" s="1"/>
  <c r="L283" i="41" a="1"/>
  <c r="L283" i="41" s="1"/>
  <c r="O283" i="176" s="1"/>
  <c r="K284" i="41" a="1"/>
  <c r="K284" i="41" s="1"/>
  <c r="N284" i="176" s="1"/>
  <c r="L284" i="41" a="1"/>
  <c r="L284" i="41" s="1"/>
  <c r="O284" i="176" s="1"/>
  <c r="K285" i="41" a="1"/>
  <c r="K285" i="41" s="1"/>
  <c r="N285" i="176" s="1"/>
  <c r="L285" i="41" a="1"/>
  <c r="L285" i="41" s="1"/>
  <c r="O285" i="176" s="1"/>
  <c r="K286" i="41" a="1"/>
  <c r="K286" i="41" s="1"/>
  <c r="N286" i="176" s="1"/>
  <c r="L286" i="41" a="1"/>
  <c r="L286" i="41" s="1"/>
  <c r="O286" i="176" s="1"/>
  <c r="K287" i="41" a="1"/>
  <c r="K287" i="41" s="1"/>
  <c r="N287" i="176" s="1"/>
  <c r="L287" i="41" a="1"/>
  <c r="L287" i="41" s="1"/>
  <c r="O287" i="176" s="1"/>
  <c r="K288" i="41" a="1"/>
  <c r="K288" i="41" s="1"/>
  <c r="N288" i="176" s="1"/>
  <c r="L288" i="41" a="1"/>
  <c r="L288" i="41" s="1"/>
  <c r="O288" i="176" s="1"/>
  <c r="B73" i="113"/>
  <c r="E79" i="113" s="1"/>
  <c r="D24" i="113"/>
  <c r="C23" i="113"/>
  <c r="C22" i="113"/>
  <c r="B96" i="135"/>
  <c r="E102" i="135" s="1"/>
  <c r="V21" i="41" a="1"/>
  <c r="V21" i="41" s="1"/>
  <c r="AC21" i="176" s="1"/>
  <c r="W21" i="41" a="1"/>
  <c r="W21" i="41" s="1"/>
  <c r="AD21" i="176" s="1"/>
  <c r="V184" i="41" a="1"/>
  <c r="V184" i="41" s="1"/>
  <c r="AC184" i="176" s="1"/>
  <c r="E89" i="177" s="1"/>
  <c r="W184" i="41" a="1"/>
  <c r="W184" i="41" s="1"/>
  <c r="AD184" i="176" s="1"/>
  <c r="F89" i="177" s="1"/>
  <c r="E63" i="110"/>
  <c r="D63" i="110"/>
  <c r="C62" i="110"/>
  <c r="C48" i="110" s="1"/>
  <c r="E48" i="110" s="1"/>
  <c r="C61" i="110"/>
  <c r="D21" i="102"/>
  <c r="C22" i="102"/>
  <c r="C21" i="102" s="1"/>
  <c r="C49" i="95"/>
  <c r="C23" i="95" s="1"/>
  <c r="B77" i="95"/>
  <c r="C94" i="95"/>
  <c r="C100" i="95" s="1"/>
  <c r="C22" i="101"/>
  <c r="C23" i="101"/>
  <c r="D24" i="102"/>
  <c r="D24" i="105"/>
  <c r="C47" i="106"/>
  <c r="F25" i="99"/>
  <c r="D25" i="99"/>
  <c r="F27" i="99"/>
  <c r="D27" i="99"/>
  <c r="E143" i="99"/>
  <c r="D98" i="95"/>
  <c r="D97" i="95"/>
  <c r="D96" i="95"/>
  <c r="D25" i="95"/>
  <c r="F25" i="95" s="1"/>
  <c r="C61" i="95"/>
  <c r="D60" i="95"/>
  <c r="B60" i="95"/>
  <c r="F27" i="101"/>
  <c r="D27" i="101"/>
  <c r="D26" i="101"/>
  <c r="F26" i="101" s="1"/>
  <c r="D25" i="101"/>
  <c r="D24" i="101"/>
  <c r="C47" i="101"/>
  <c r="D22" i="101" s="1"/>
  <c r="E21" i="105"/>
  <c r="W288" i="41" a="1"/>
  <c r="W288" i="41" s="1"/>
  <c r="V288" i="41" a="1"/>
  <c r="V288" i="41" s="1"/>
  <c r="AC288" i="176" s="1"/>
  <c r="U288" i="41" a="1"/>
  <c r="U288" i="41" s="1"/>
  <c r="S288" i="41" a="1"/>
  <c r="S288" i="41" s="1"/>
  <c r="R288" i="41" a="1"/>
  <c r="R288" i="41" s="1"/>
  <c r="Q288" i="41" a="1"/>
  <c r="Q288" i="41" s="1"/>
  <c r="V288" i="176" s="1"/>
  <c r="P288" i="41" a="1"/>
  <c r="P288" i="41" s="1"/>
  <c r="N288" i="41" a="1"/>
  <c r="N288" i="41" s="1"/>
  <c r="J288" i="41" a="1"/>
  <c r="J288" i="41" s="1"/>
  <c r="I288" i="41" a="1"/>
  <c r="I288" i="41" s="1"/>
  <c r="L288" i="176" s="1"/>
  <c r="G288" i="41" a="1"/>
  <c r="G288" i="41" s="1"/>
  <c r="F288" i="41" a="1"/>
  <c r="F288" i="41" s="1"/>
  <c r="W287" i="41" a="1"/>
  <c r="W287" i="41" s="1"/>
  <c r="V287" i="41" a="1"/>
  <c r="V287" i="41" s="1"/>
  <c r="AC287" i="176" s="1"/>
  <c r="U287" i="41" a="1"/>
  <c r="U287" i="41" s="1"/>
  <c r="S287" i="41" a="1"/>
  <c r="S287" i="41" s="1"/>
  <c r="R287" i="41" a="1"/>
  <c r="R287" i="41" s="1"/>
  <c r="Q287" i="41" a="1"/>
  <c r="Q287" i="41" s="1"/>
  <c r="V287" i="176" s="1"/>
  <c r="P287" i="41" a="1"/>
  <c r="P287" i="41" s="1"/>
  <c r="N287" i="41" a="1"/>
  <c r="N287" i="41" s="1"/>
  <c r="J287" i="41" a="1"/>
  <c r="J287" i="41" s="1"/>
  <c r="I287" i="41" a="1"/>
  <c r="I287" i="41" s="1"/>
  <c r="L287" i="176" s="1"/>
  <c r="G287" i="41" a="1"/>
  <c r="G287" i="41" s="1"/>
  <c r="F287" i="41" a="1"/>
  <c r="F287" i="41" s="1"/>
  <c r="W286" i="41" a="1"/>
  <c r="W286" i="41" s="1"/>
  <c r="V286" i="41" a="1"/>
  <c r="V286" i="41" s="1"/>
  <c r="AC286" i="176" s="1"/>
  <c r="U286" i="41" a="1"/>
  <c r="U286" i="41" s="1"/>
  <c r="AB286" i="176" s="1"/>
  <c r="S286" i="41" a="1"/>
  <c r="S286" i="41" s="1"/>
  <c r="R286" i="41" a="1"/>
  <c r="R286" i="41" s="1"/>
  <c r="Q286" i="41" a="1"/>
  <c r="Q286" i="41" s="1"/>
  <c r="V286" i="176" s="1"/>
  <c r="P286" i="41" a="1"/>
  <c r="P286" i="41" s="1"/>
  <c r="N286" i="41" a="1"/>
  <c r="N286" i="41" s="1"/>
  <c r="J286" i="41" a="1"/>
  <c r="J286" i="41" s="1"/>
  <c r="I286" i="41" a="1"/>
  <c r="I286" i="41" s="1"/>
  <c r="L286" i="176" s="1"/>
  <c r="G286" i="41" a="1"/>
  <c r="G286" i="41" s="1"/>
  <c r="F286" i="41" a="1"/>
  <c r="F286" i="41" s="1"/>
  <c r="W285" i="41" a="1"/>
  <c r="W285" i="41" s="1"/>
  <c r="V285" i="41" a="1"/>
  <c r="V285" i="41" s="1"/>
  <c r="AC285" i="176" s="1"/>
  <c r="U285" i="41" a="1"/>
  <c r="U285" i="41" s="1"/>
  <c r="S285" i="41" a="1"/>
  <c r="S285" i="41" s="1"/>
  <c r="R285" i="41" a="1"/>
  <c r="R285" i="41" s="1"/>
  <c r="Q285" i="41" a="1"/>
  <c r="Q285" i="41" s="1"/>
  <c r="V285" i="176" s="1"/>
  <c r="P285" i="41" a="1"/>
  <c r="P285" i="41" s="1"/>
  <c r="N285" i="41" a="1"/>
  <c r="N285" i="41" s="1"/>
  <c r="J285" i="41" a="1"/>
  <c r="J285" i="41" s="1"/>
  <c r="I285" i="41" a="1"/>
  <c r="I285" i="41" s="1"/>
  <c r="L285" i="176" s="1"/>
  <c r="G285" i="41" a="1"/>
  <c r="G285" i="41" s="1"/>
  <c r="F285" i="41" a="1"/>
  <c r="F285" i="41" s="1"/>
  <c r="W284" i="41" a="1"/>
  <c r="W284" i="41" s="1"/>
  <c r="V284" i="41" a="1"/>
  <c r="V284" i="41" s="1"/>
  <c r="AC284" i="176" s="1"/>
  <c r="U284" i="41" a="1"/>
  <c r="U284" i="41" s="1"/>
  <c r="S284" i="41" a="1"/>
  <c r="S284" i="41" s="1"/>
  <c r="R284" i="41" a="1"/>
  <c r="R284" i="41" s="1"/>
  <c r="Q284" i="41" a="1"/>
  <c r="Q284" i="41" s="1"/>
  <c r="P284" i="41" a="1"/>
  <c r="P284" i="41" s="1"/>
  <c r="N284" i="41" a="1"/>
  <c r="N284" i="41" s="1"/>
  <c r="J284" i="41" a="1"/>
  <c r="J284" i="41" s="1"/>
  <c r="I284" i="41" a="1"/>
  <c r="I284" i="41" s="1"/>
  <c r="L284" i="176" s="1"/>
  <c r="G284" i="41" a="1"/>
  <c r="G284" i="41" s="1"/>
  <c r="F284" i="41" a="1"/>
  <c r="F284" i="41" s="1"/>
  <c r="W283" i="41" a="1"/>
  <c r="W283" i="41" s="1"/>
  <c r="V283" i="41" a="1"/>
  <c r="V283" i="41" s="1"/>
  <c r="U283" i="41" a="1"/>
  <c r="U283" i="41" s="1"/>
  <c r="S283" i="41" a="1"/>
  <c r="S283" i="41" s="1"/>
  <c r="R283" i="41" a="1"/>
  <c r="R283" i="41" s="1"/>
  <c r="Q283" i="41" a="1"/>
  <c r="Q283" i="41" s="1"/>
  <c r="V283" i="176" s="1"/>
  <c r="P283" i="41" a="1"/>
  <c r="P283" i="41" s="1"/>
  <c r="N283" i="41" a="1"/>
  <c r="N283" i="41" s="1"/>
  <c r="J283" i="41" a="1"/>
  <c r="J283" i="41" s="1"/>
  <c r="I283" i="41" a="1"/>
  <c r="I283" i="41" s="1"/>
  <c r="L283" i="176" s="1"/>
  <c r="G283" i="41" a="1"/>
  <c r="G283" i="41" s="1"/>
  <c r="F283" i="41" a="1"/>
  <c r="F283" i="41" s="1"/>
  <c r="W274" i="41" a="1"/>
  <c r="W274" i="41" s="1"/>
  <c r="V274" i="41" a="1"/>
  <c r="V274" i="41" s="1"/>
  <c r="AC274" i="176" s="1"/>
  <c r="U274" i="41" a="1"/>
  <c r="U274" i="41" s="1"/>
  <c r="S274" i="41" a="1"/>
  <c r="S274" i="41" s="1"/>
  <c r="R274" i="41" a="1"/>
  <c r="R274" i="41" s="1"/>
  <c r="Q274" i="41" a="1"/>
  <c r="Q274" i="41" s="1"/>
  <c r="V274" i="176" s="1"/>
  <c r="P274" i="41" a="1"/>
  <c r="P274" i="41" s="1"/>
  <c r="N274" i="41" a="1"/>
  <c r="N274" i="41" s="1"/>
  <c r="J274" i="41" a="1"/>
  <c r="J274" i="41" s="1"/>
  <c r="I274" i="41" a="1"/>
  <c r="I274" i="41" s="1"/>
  <c r="L274" i="176" s="1"/>
  <c r="G274" i="41" a="1"/>
  <c r="G274" i="41" s="1"/>
  <c r="F274" i="41" a="1"/>
  <c r="F274" i="41" s="1"/>
  <c r="W273" i="41" a="1"/>
  <c r="W273" i="41" s="1"/>
  <c r="V273" i="41" a="1"/>
  <c r="V273" i="41" s="1"/>
  <c r="AC273" i="176" s="1"/>
  <c r="U273" i="41" a="1"/>
  <c r="U273" i="41" s="1"/>
  <c r="S273" i="41" a="1"/>
  <c r="S273" i="41" s="1"/>
  <c r="R273" i="41" a="1"/>
  <c r="R273" i="41" s="1"/>
  <c r="Q273" i="41" a="1"/>
  <c r="Q273" i="41" s="1"/>
  <c r="V273" i="176" s="1"/>
  <c r="P273" i="41" a="1"/>
  <c r="P273" i="41" s="1"/>
  <c r="N273" i="41" a="1"/>
  <c r="N273" i="41" s="1"/>
  <c r="J273" i="41" a="1"/>
  <c r="J273" i="41" s="1"/>
  <c r="I273" i="41" a="1"/>
  <c r="I273" i="41" s="1"/>
  <c r="L273" i="176" s="1"/>
  <c r="G273" i="41" a="1"/>
  <c r="G273" i="41" s="1"/>
  <c r="F273" i="41" a="1"/>
  <c r="F273" i="41" s="1"/>
  <c r="W272" i="41" a="1"/>
  <c r="W272" i="41" s="1"/>
  <c r="V272" i="41" a="1"/>
  <c r="V272" i="41" s="1"/>
  <c r="U272" i="41" a="1"/>
  <c r="U272" i="41" s="1"/>
  <c r="S272" i="41" a="1"/>
  <c r="S272" i="41" s="1"/>
  <c r="R272" i="41" a="1"/>
  <c r="R272" i="41" s="1"/>
  <c r="Q272" i="41" a="1"/>
  <c r="Q272" i="41" s="1"/>
  <c r="V272" i="176" s="1"/>
  <c r="P272" i="41" a="1"/>
  <c r="P272" i="41" s="1"/>
  <c r="N272" i="41" a="1"/>
  <c r="N272" i="41" s="1"/>
  <c r="J272" i="41" a="1"/>
  <c r="J272" i="41" s="1"/>
  <c r="I272" i="41" a="1"/>
  <c r="I272" i="41" s="1"/>
  <c r="L272" i="176" s="1"/>
  <c r="G272" i="41" a="1"/>
  <c r="G272" i="41" s="1"/>
  <c r="F272" i="41" a="1"/>
  <c r="F272" i="41" s="1"/>
  <c r="W271" i="41" a="1"/>
  <c r="W271" i="41" s="1"/>
  <c r="V271" i="41" a="1"/>
  <c r="V271" i="41" s="1"/>
  <c r="AC271" i="176" s="1"/>
  <c r="U271" i="41" a="1"/>
  <c r="U271" i="41" s="1"/>
  <c r="S271" i="41" a="1"/>
  <c r="S271" i="41" s="1"/>
  <c r="R271" i="41" a="1"/>
  <c r="R271" i="41" s="1"/>
  <c r="Q271" i="41" a="1"/>
  <c r="Q271" i="41" s="1"/>
  <c r="V271" i="176" s="1"/>
  <c r="P271" i="41" a="1"/>
  <c r="P271" i="41" s="1"/>
  <c r="N271" i="41" a="1"/>
  <c r="N271" i="41" s="1"/>
  <c r="J271" i="41" a="1"/>
  <c r="J271" i="41" s="1"/>
  <c r="I271" i="41" a="1"/>
  <c r="I271" i="41" s="1"/>
  <c r="L271" i="176" s="1"/>
  <c r="G271" i="41" a="1"/>
  <c r="G271" i="41" s="1"/>
  <c r="F271" i="41" a="1"/>
  <c r="F271" i="41" s="1"/>
  <c r="W270" i="41" a="1"/>
  <c r="W270" i="41" s="1"/>
  <c r="V270" i="41" a="1"/>
  <c r="V270" i="41" s="1"/>
  <c r="AC270" i="176" s="1"/>
  <c r="U270" i="41" a="1"/>
  <c r="U270" i="41" s="1"/>
  <c r="S270" i="41" a="1"/>
  <c r="S270" i="41" s="1"/>
  <c r="R270" i="41" a="1"/>
  <c r="R270" i="41" s="1"/>
  <c r="Q270" i="41" a="1"/>
  <c r="Q270" i="41" s="1"/>
  <c r="V270" i="176" s="1"/>
  <c r="P270" i="41" a="1"/>
  <c r="P270" i="41" s="1"/>
  <c r="N270" i="41" a="1"/>
  <c r="N270" i="41" s="1"/>
  <c r="J270" i="41" a="1"/>
  <c r="J270" i="41" s="1"/>
  <c r="I270" i="41" a="1"/>
  <c r="I270" i="41" s="1"/>
  <c r="L270" i="176" s="1"/>
  <c r="G270" i="41" a="1"/>
  <c r="G270" i="41" s="1"/>
  <c r="F270" i="41" a="1"/>
  <c r="F270" i="41" s="1"/>
  <c r="W269" i="41" a="1"/>
  <c r="W269" i="41" s="1"/>
  <c r="V269" i="41" a="1"/>
  <c r="V269" i="41" s="1"/>
  <c r="AC269" i="176" s="1"/>
  <c r="U269" i="41" a="1"/>
  <c r="U269" i="41" s="1"/>
  <c r="S269" i="41" a="1"/>
  <c r="S269" i="41" s="1"/>
  <c r="R269" i="41" a="1"/>
  <c r="R269" i="41" s="1"/>
  <c r="Q269" i="41" a="1"/>
  <c r="Q269" i="41" s="1"/>
  <c r="V269" i="176" s="1"/>
  <c r="P269" i="41" a="1"/>
  <c r="P269" i="41" s="1"/>
  <c r="N269" i="41" a="1"/>
  <c r="N269" i="41" s="1"/>
  <c r="J269" i="41" a="1"/>
  <c r="J269" i="41" s="1"/>
  <c r="I269" i="41" a="1"/>
  <c r="I269" i="41" s="1"/>
  <c r="L269" i="176" s="1"/>
  <c r="G269" i="41" a="1"/>
  <c r="G269" i="41" s="1"/>
  <c r="F269" i="41" a="1"/>
  <c r="F269" i="41" s="1"/>
  <c r="W268" i="41" a="1"/>
  <c r="W268" i="41" s="1"/>
  <c r="V268" i="41" a="1"/>
  <c r="V268" i="41" s="1"/>
  <c r="AC268" i="176" s="1"/>
  <c r="E93" i="177" s="1"/>
  <c r="U268" i="41" a="1"/>
  <c r="U268" i="41" s="1"/>
  <c r="S268" i="41" a="1"/>
  <c r="S268" i="41" s="1"/>
  <c r="R268" i="41" a="1"/>
  <c r="R268" i="41" s="1"/>
  <c r="Q268" i="41" a="1"/>
  <c r="Q268" i="41" s="1"/>
  <c r="P268" i="41" a="1"/>
  <c r="P268" i="41" s="1"/>
  <c r="N268" i="41" a="1"/>
  <c r="N268" i="41" s="1"/>
  <c r="W267" i="41" a="1"/>
  <c r="W267" i="41" s="1"/>
  <c r="V267" i="41" a="1"/>
  <c r="V267" i="41" s="1"/>
  <c r="AC267" i="176" s="1"/>
  <c r="U267" i="41" a="1"/>
  <c r="U267" i="41" s="1"/>
  <c r="S267" i="41" a="1"/>
  <c r="S267" i="41" s="1"/>
  <c r="R267" i="41" a="1"/>
  <c r="R267" i="41" s="1"/>
  <c r="Q267" i="41" a="1"/>
  <c r="Q267" i="41" s="1"/>
  <c r="P267" i="41" a="1"/>
  <c r="P267" i="41" s="1"/>
  <c r="N267" i="41" a="1"/>
  <c r="N267" i="41" s="1"/>
  <c r="W266" i="41" a="1"/>
  <c r="W266" i="41" s="1"/>
  <c r="V266" i="41" a="1"/>
  <c r="V266" i="41" s="1"/>
  <c r="AC266" i="176" s="1"/>
  <c r="U266" i="41" a="1"/>
  <c r="U266" i="41" s="1"/>
  <c r="S266" i="41" a="1"/>
  <c r="S266" i="41" s="1"/>
  <c r="R266" i="41" a="1"/>
  <c r="R266" i="41" s="1"/>
  <c r="Q266" i="41" a="1"/>
  <c r="Q266" i="41" s="1"/>
  <c r="P266" i="41" a="1"/>
  <c r="P266" i="41" s="1"/>
  <c r="N266" i="41" a="1"/>
  <c r="N266" i="41" s="1"/>
  <c r="W265" i="41" a="1"/>
  <c r="W265" i="41" s="1"/>
  <c r="V265" i="41" a="1"/>
  <c r="V265" i="41" s="1"/>
  <c r="AC265" i="176" s="1"/>
  <c r="U265" i="41" a="1"/>
  <c r="U265" i="41" s="1"/>
  <c r="S265" i="41" a="1"/>
  <c r="S265" i="41" s="1"/>
  <c r="R265" i="41" a="1"/>
  <c r="R265" i="41" s="1"/>
  <c r="Q265" i="41" a="1"/>
  <c r="Q265" i="41" s="1"/>
  <c r="P265" i="41" a="1"/>
  <c r="P265" i="41" s="1"/>
  <c r="N265" i="41" a="1"/>
  <c r="N265" i="41" s="1"/>
  <c r="W264" i="41" a="1"/>
  <c r="W264" i="41" s="1"/>
  <c r="V264" i="41" a="1"/>
  <c r="V264" i="41" s="1"/>
  <c r="AC264" i="176" s="1"/>
  <c r="U264" i="41" a="1"/>
  <c r="U264" i="41" s="1"/>
  <c r="S264" i="41" a="1"/>
  <c r="S264" i="41" s="1"/>
  <c r="R264" i="41" a="1"/>
  <c r="R264" i="41" s="1"/>
  <c r="Q264" i="41" a="1"/>
  <c r="Q264" i="41" s="1"/>
  <c r="P264" i="41" a="1"/>
  <c r="P264" i="41" s="1"/>
  <c r="N264" i="41" a="1"/>
  <c r="N264" i="41" s="1"/>
  <c r="W263" i="41" a="1"/>
  <c r="W263" i="41" s="1"/>
  <c r="V263" i="41" a="1"/>
  <c r="V263" i="41" s="1"/>
  <c r="U263" i="41" a="1"/>
  <c r="U263" i="41" s="1"/>
  <c r="S263" i="41" a="1"/>
  <c r="S263" i="41" s="1"/>
  <c r="R263" i="41" a="1"/>
  <c r="R263" i="41" s="1"/>
  <c r="Q263" i="41" a="1"/>
  <c r="Q263" i="41" s="1"/>
  <c r="V263" i="176" s="1"/>
  <c r="P263" i="41" a="1"/>
  <c r="P263" i="41" s="1"/>
  <c r="N263" i="41" a="1"/>
  <c r="N263" i="41" s="1"/>
  <c r="J263" i="41" a="1"/>
  <c r="J263" i="41" s="1"/>
  <c r="I263" i="41" a="1"/>
  <c r="I263" i="41" s="1"/>
  <c r="L263" i="176" s="1"/>
  <c r="G263" i="41" a="1"/>
  <c r="G263" i="41" s="1"/>
  <c r="F263" i="41" a="1"/>
  <c r="F263" i="41" s="1"/>
  <c r="W262" i="41" a="1"/>
  <c r="W262" i="41" s="1"/>
  <c r="V262" i="41" a="1"/>
  <c r="V262" i="41" s="1"/>
  <c r="AC262" i="176" s="1"/>
  <c r="U262" i="41" a="1"/>
  <c r="U262" i="41" s="1"/>
  <c r="S262" i="41" a="1"/>
  <c r="S262" i="41" s="1"/>
  <c r="R262" i="41" a="1"/>
  <c r="R262" i="41" s="1"/>
  <c r="Q262" i="41" a="1"/>
  <c r="Q262" i="41" s="1"/>
  <c r="V262" i="176" s="1"/>
  <c r="P262" i="41" a="1"/>
  <c r="P262" i="41" s="1"/>
  <c r="N262" i="41" a="1"/>
  <c r="N262" i="41" s="1"/>
  <c r="J262" i="41" a="1"/>
  <c r="J262" i="41" s="1"/>
  <c r="I262" i="41" a="1"/>
  <c r="I262" i="41" s="1"/>
  <c r="L262" i="176" s="1"/>
  <c r="G262" i="41" a="1"/>
  <c r="G262" i="41" s="1"/>
  <c r="F262" i="41" a="1"/>
  <c r="F262" i="41" s="1"/>
  <c r="W261" i="41" a="1"/>
  <c r="W261" i="41" s="1"/>
  <c r="V261" i="41" a="1"/>
  <c r="V261" i="41" s="1"/>
  <c r="AC261" i="176" s="1"/>
  <c r="U261" i="41" a="1"/>
  <c r="U261" i="41" s="1"/>
  <c r="S261" i="41" a="1"/>
  <c r="S261" i="41" s="1"/>
  <c r="R261" i="41" a="1"/>
  <c r="R261" i="41" s="1"/>
  <c r="Q261" i="41" a="1"/>
  <c r="Q261" i="41" s="1"/>
  <c r="V261" i="176" s="1"/>
  <c r="P261" i="41" a="1"/>
  <c r="P261" i="41" s="1"/>
  <c r="N261" i="41" a="1"/>
  <c r="N261" i="41" s="1"/>
  <c r="J261" i="41" a="1"/>
  <c r="J261" i="41" s="1"/>
  <c r="I261" i="41" a="1"/>
  <c r="I261" i="41" s="1"/>
  <c r="L261" i="176" s="1"/>
  <c r="G261" i="41" a="1"/>
  <c r="G261" i="41" s="1"/>
  <c r="F261" i="41" a="1"/>
  <c r="F261" i="41" s="1"/>
  <c r="W260" i="41" a="1"/>
  <c r="W260" i="41" s="1"/>
  <c r="V260" i="41" a="1"/>
  <c r="V260" i="41" s="1"/>
  <c r="U260" i="41" a="1"/>
  <c r="U260" i="41" s="1"/>
  <c r="S260" i="41" a="1"/>
  <c r="S260" i="41" s="1"/>
  <c r="R260" i="41" a="1"/>
  <c r="R260" i="41" s="1"/>
  <c r="Q260" i="41" a="1"/>
  <c r="Q260" i="41" s="1"/>
  <c r="V260" i="176" s="1"/>
  <c r="P260" i="41" a="1"/>
  <c r="P260" i="41" s="1"/>
  <c r="N260" i="41" a="1"/>
  <c r="N260" i="41" s="1"/>
  <c r="J260" i="41" a="1"/>
  <c r="J260" i="41" s="1"/>
  <c r="I260" i="41" a="1"/>
  <c r="I260" i="41" s="1"/>
  <c r="L260" i="176" s="1"/>
  <c r="G260" i="41" a="1"/>
  <c r="G260" i="41" s="1"/>
  <c r="F260" i="41" a="1"/>
  <c r="F260" i="41" s="1"/>
  <c r="W259" i="41" a="1"/>
  <c r="W259" i="41" s="1"/>
  <c r="V259" i="41" a="1"/>
  <c r="V259" i="41" s="1"/>
  <c r="AC259" i="176" s="1"/>
  <c r="U259" i="41" a="1"/>
  <c r="U259" i="41" s="1"/>
  <c r="S259" i="41" a="1"/>
  <c r="S259" i="41" s="1"/>
  <c r="R259" i="41" a="1"/>
  <c r="R259" i="41" s="1"/>
  <c r="Q259" i="41" a="1"/>
  <c r="Q259" i="41" s="1"/>
  <c r="V259" i="176" s="1"/>
  <c r="P259" i="41" a="1"/>
  <c r="P259" i="41" s="1"/>
  <c r="N259" i="41" a="1"/>
  <c r="N259" i="41" s="1"/>
  <c r="J259" i="41" a="1"/>
  <c r="J259" i="41" s="1"/>
  <c r="I259" i="41" a="1"/>
  <c r="I259" i="41" s="1"/>
  <c r="L259" i="176" s="1"/>
  <c r="G259" i="41" a="1"/>
  <c r="G259" i="41" s="1"/>
  <c r="F259" i="41" a="1"/>
  <c r="F259" i="41" s="1"/>
  <c r="W258" i="41" a="1"/>
  <c r="W258" i="41" s="1"/>
  <c r="V258" i="41" a="1"/>
  <c r="V258" i="41" s="1"/>
  <c r="AC258" i="176" s="1"/>
  <c r="U258" i="41" a="1"/>
  <c r="U258" i="41" s="1"/>
  <c r="S258" i="41" a="1"/>
  <c r="S258" i="41" s="1"/>
  <c r="R258" i="41" a="1"/>
  <c r="R258" i="41" s="1"/>
  <c r="Q258" i="41" a="1"/>
  <c r="Q258" i="41" s="1"/>
  <c r="V258" i="176" s="1"/>
  <c r="P258" i="41" a="1"/>
  <c r="P258" i="41" s="1"/>
  <c r="N258" i="41" a="1"/>
  <c r="N258" i="41" s="1"/>
  <c r="J258" i="41" a="1"/>
  <c r="J258" i="41" s="1"/>
  <c r="I258" i="41" a="1"/>
  <c r="I258" i="41" s="1"/>
  <c r="G258" i="41" a="1"/>
  <c r="G258" i="41" s="1"/>
  <c r="F258" i="41" a="1"/>
  <c r="F258" i="41" s="1"/>
  <c r="W257" i="41" a="1"/>
  <c r="W257" i="41" s="1"/>
  <c r="V257" i="41" a="1"/>
  <c r="V257" i="41" s="1"/>
  <c r="AC257" i="176" s="1"/>
  <c r="U257" i="41" a="1"/>
  <c r="U257" i="41" s="1"/>
  <c r="S257" i="41" a="1"/>
  <c r="S257" i="41" s="1"/>
  <c r="R257" i="41" a="1"/>
  <c r="R257" i="41" s="1"/>
  <c r="Q257" i="41" a="1"/>
  <c r="Q257" i="41" s="1"/>
  <c r="P257" i="41" a="1"/>
  <c r="P257" i="41" s="1"/>
  <c r="N257" i="41" a="1"/>
  <c r="N257" i="41" s="1"/>
  <c r="J257" i="41" a="1"/>
  <c r="J257" i="41" s="1"/>
  <c r="I257" i="41" a="1"/>
  <c r="I257" i="41" s="1"/>
  <c r="L257" i="176" s="1"/>
  <c r="G257" i="41" a="1"/>
  <c r="G257" i="41" s="1"/>
  <c r="F257" i="41" a="1"/>
  <c r="F257" i="41" s="1"/>
  <c r="W256" i="41" a="1"/>
  <c r="W256" i="41" s="1"/>
  <c r="V256" i="41" a="1"/>
  <c r="V256" i="41" s="1"/>
  <c r="AC256" i="176" s="1"/>
  <c r="U256" i="41" a="1"/>
  <c r="U256" i="41" s="1"/>
  <c r="S256" i="41" a="1"/>
  <c r="S256" i="41" s="1"/>
  <c r="R256" i="41" a="1"/>
  <c r="R256" i="41" s="1"/>
  <c r="Q256" i="41" a="1"/>
  <c r="Q256" i="41" s="1"/>
  <c r="V256" i="176" s="1"/>
  <c r="P256" i="41" a="1"/>
  <c r="P256" i="41" s="1"/>
  <c r="N256" i="41" a="1"/>
  <c r="N256" i="41" s="1"/>
  <c r="J256" i="41" a="1"/>
  <c r="J256" i="41" s="1"/>
  <c r="I256" i="41" a="1"/>
  <c r="I256" i="41" s="1"/>
  <c r="L256" i="176" s="1"/>
  <c r="G256" i="41" a="1"/>
  <c r="G256" i="41" s="1"/>
  <c r="F256" i="41" a="1"/>
  <c r="F256" i="41" s="1"/>
  <c r="W255" i="41" a="1"/>
  <c r="W255" i="41" s="1"/>
  <c r="V255" i="41" a="1"/>
  <c r="V255" i="41" s="1"/>
  <c r="AC255" i="176" s="1"/>
  <c r="U255" i="41" a="1"/>
  <c r="U255" i="41" s="1"/>
  <c r="S255" i="41" a="1"/>
  <c r="S255" i="41" s="1"/>
  <c r="R255" i="41" a="1"/>
  <c r="R255" i="41" s="1"/>
  <c r="Q255" i="41" a="1"/>
  <c r="Q255" i="41" s="1"/>
  <c r="V255" i="176" s="1"/>
  <c r="P255" i="41" a="1"/>
  <c r="P255" i="41" s="1"/>
  <c r="N255" i="41" a="1"/>
  <c r="N255" i="41" s="1"/>
  <c r="J255" i="41" a="1"/>
  <c r="J255" i="41" s="1"/>
  <c r="I255" i="41" a="1"/>
  <c r="I255" i="41" s="1"/>
  <c r="L255" i="176" s="1"/>
  <c r="G255" i="41" a="1"/>
  <c r="G255" i="41" s="1"/>
  <c r="F255" i="41" a="1"/>
  <c r="F255" i="41" s="1"/>
  <c r="W254" i="41" a="1"/>
  <c r="W254" i="41" s="1"/>
  <c r="V254" i="41" a="1"/>
  <c r="V254" i="41" s="1"/>
  <c r="AC254" i="176" s="1"/>
  <c r="E92" i="177" s="1"/>
  <c r="U254" i="41" a="1"/>
  <c r="U254" i="41" s="1"/>
  <c r="S254" i="41" a="1"/>
  <c r="S254" i="41" s="1"/>
  <c r="R254" i="41" a="1"/>
  <c r="R254" i="41" s="1"/>
  <c r="Q254" i="41" a="1"/>
  <c r="Q254" i="41" s="1"/>
  <c r="P254" i="41" a="1"/>
  <c r="P254" i="41" s="1"/>
  <c r="N254" i="41" a="1"/>
  <c r="N254" i="41" s="1"/>
  <c r="W253" i="41" a="1"/>
  <c r="W253" i="41" s="1"/>
  <c r="V253" i="41" a="1"/>
  <c r="V253" i="41" s="1"/>
  <c r="AC253" i="176" s="1"/>
  <c r="U253" i="41" a="1"/>
  <c r="U253" i="41" s="1"/>
  <c r="S253" i="41" a="1"/>
  <c r="S253" i="41" s="1"/>
  <c r="R253" i="41" a="1"/>
  <c r="R253" i="41" s="1"/>
  <c r="Q253" i="41" a="1"/>
  <c r="Q253" i="41" s="1"/>
  <c r="V253" i="176" s="1"/>
  <c r="P253" i="41" a="1"/>
  <c r="P253" i="41" s="1"/>
  <c r="N253" i="41" a="1"/>
  <c r="N253" i="41" s="1"/>
  <c r="W252" i="41" a="1"/>
  <c r="W252" i="41" s="1"/>
  <c r="V252" i="41" a="1"/>
  <c r="V252" i="41" s="1"/>
  <c r="AC252" i="176" s="1"/>
  <c r="U252" i="41" a="1"/>
  <c r="U252" i="41" s="1"/>
  <c r="S252" i="41" a="1"/>
  <c r="S252" i="41" s="1"/>
  <c r="R252" i="41" a="1"/>
  <c r="R252" i="41" s="1"/>
  <c r="Q252" i="41" a="1"/>
  <c r="Q252" i="41" s="1"/>
  <c r="V252" i="176" s="1"/>
  <c r="P252" i="41" a="1"/>
  <c r="P252" i="41" s="1"/>
  <c r="N252" i="41" a="1"/>
  <c r="N252" i="41" s="1"/>
  <c r="W251" i="41" a="1"/>
  <c r="W251" i="41" s="1"/>
  <c r="V251" i="41" a="1"/>
  <c r="V251" i="41" s="1"/>
  <c r="U251" i="41" a="1"/>
  <c r="U251" i="41" s="1"/>
  <c r="S251" i="41" a="1"/>
  <c r="S251" i="41" s="1"/>
  <c r="R251" i="41" a="1"/>
  <c r="R251" i="41" s="1"/>
  <c r="Q251" i="41" a="1"/>
  <c r="Q251" i="41" s="1"/>
  <c r="V251" i="176" s="1"/>
  <c r="P251" i="41" a="1"/>
  <c r="P251" i="41" s="1"/>
  <c r="N251" i="41" a="1"/>
  <c r="N251" i="41" s="1"/>
  <c r="W250" i="41" a="1"/>
  <c r="W250" i="41" s="1"/>
  <c r="V250" i="41" a="1"/>
  <c r="V250" i="41" s="1"/>
  <c r="AC250" i="176" s="1"/>
  <c r="U250" i="41" a="1"/>
  <c r="U250" i="41" s="1"/>
  <c r="S250" i="41" a="1"/>
  <c r="S250" i="41" s="1"/>
  <c r="R250" i="41" a="1"/>
  <c r="R250" i="41" s="1"/>
  <c r="Q250" i="41" a="1"/>
  <c r="Q250" i="41" s="1"/>
  <c r="V250" i="176" s="1"/>
  <c r="P250" i="41" a="1"/>
  <c r="P250" i="41" s="1"/>
  <c r="N250" i="41" a="1"/>
  <c r="N250" i="41" s="1"/>
  <c r="W249" i="41" a="1"/>
  <c r="W249" i="41" s="1"/>
  <c r="V249" i="41" a="1"/>
  <c r="V249" i="41" s="1"/>
  <c r="AC249" i="176" s="1"/>
  <c r="U249" i="41" a="1"/>
  <c r="U249" i="41" s="1"/>
  <c r="S249" i="41" a="1"/>
  <c r="S249" i="41" s="1"/>
  <c r="R249" i="41" a="1"/>
  <c r="R249" i="41" s="1"/>
  <c r="Q249" i="41" a="1"/>
  <c r="Q249" i="41" s="1"/>
  <c r="V249" i="176" s="1"/>
  <c r="P249" i="41" a="1"/>
  <c r="P249" i="41" s="1"/>
  <c r="N249" i="41" a="1"/>
  <c r="N249" i="41" s="1"/>
  <c r="J249" i="41" a="1"/>
  <c r="J249" i="41" s="1"/>
  <c r="I249" i="41" a="1"/>
  <c r="I249" i="41" s="1"/>
  <c r="G249" i="41" a="1"/>
  <c r="G249" i="41" s="1"/>
  <c r="F249" i="41" a="1"/>
  <c r="F249" i="41" s="1"/>
  <c r="W248" i="41" a="1"/>
  <c r="W248" i="41" s="1"/>
  <c r="V248" i="41" a="1"/>
  <c r="V248" i="41" s="1"/>
  <c r="AC248" i="176" s="1"/>
  <c r="U248" i="41" a="1"/>
  <c r="U248" i="41" s="1"/>
  <c r="S248" i="41" a="1"/>
  <c r="S248" i="41" s="1"/>
  <c r="R248" i="41" a="1"/>
  <c r="R248" i="41" s="1"/>
  <c r="Q248" i="41" a="1"/>
  <c r="Q248" i="41" s="1"/>
  <c r="P248" i="41" a="1"/>
  <c r="P248" i="41" s="1"/>
  <c r="N248" i="41" a="1"/>
  <c r="N248" i="41" s="1"/>
  <c r="J248" i="41" a="1"/>
  <c r="J248" i="41" s="1"/>
  <c r="I248" i="41" a="1"/>
  <c r="I248" i="41" s="1"/>
  <c r="L248" i="176" s="1"/>
  <c r="G248" i="41" a="1"/>
  <c r="G248" i="41" s="1"/>
  <c r="F248" i="41" a="1"/>
  <c r="F248" i="41" s="1"/>
  <c r="W247" i="41" a="1"/>
  <c r="W247" i="41" s="1"/>
  <c r="V247" i="41" a="1"/>
  <c r="V247" i="41" s="1"/>
  <c r="AC247" i="176" s="1"/>
  <c r="U247" i="41" a="1"/>
  <c r="U247" i="41" s="1"/>
  <c r="S247" i="41" a="1"/>
  <c r="S247" i="41" s="1"/>
  <c r="R247" i="41" a="1"/>
  <c r="R247" i="41" s="1"/>
  <c r="Q247" i="41" a="1"/>
  <c r="Q247" i="41" s="1"/>
  <c r="V247" i="176" s="1"/>
  <c r="P247" i="41" a="1"/>
  <c r="P247" i="41" s="1"/>
  <c r="N247" i="41" a="1"/>
  <c r="N247" i="41" s="1"/>
  <c r="J247" i="41" a="1"/>
  <c r="J247" i="41" s="1"/>
  <c r="I247" i="41" a="1"/>
  <c r="I247" i="41" s="1"/>
  <c r="L247" i="176" s="1"/>
  <c r="G247" i="41" a="1"/>
  <c r="G247" i="41" s="1"/>
  <c r="F247" i="41" a="1"/>
  <c r="F247" i="41" s="1"/>
  <c r="W246" i="41" a="1"/>
  <c r="W246" i="41" s="1"/>
  <c r="V246" i="41" a="1"/>
  <c r="V246" i="41" s="1"/>
  <c r="AC246" i="176" s="1"/>
  <c r="U246" i="41" a="1"/>
  <c r="U246" i="41" s="1"/>
  <c r="S246" i="41" a="1"/>
  <c r="S246" i="41" s="1"/>
  <c r="R246" i="41" a="1"/>
  <c r="R246" i="41" s="1"/>
  <c r="Q246" i="41" a="1"/>
  <c r="Q246" i="41" s="1"/>
  <c r="V246" i="176" s="1"/>
  <c r="P246" i="41" a="1"/>
  <c r="P246" i="41" s="1"/>
  <c r="N246" i="41" a="1"/>
  <c r="N246" i="41" s="1"/>
  <c r="J246" i="41" a="1"/>
  <c r="J246" i="41" s="1"/>
  <c r="I246" i="41" a="1"/>
  <c r="I246" i="41" s="1"/>
  <c r="L246" i="176" s="1"/>
  <c r="G246" i="41" a="1"/>
  <c r="G246" i="41" s="1"/>
  <c r="F246" i="41" a="1"/>
  <c r="F246" i="41" s="1"/>
  <c r="W245" i="41" a="1"/>
  <c r="W245" i="41" s="1"/>
  <c r="V245" i="41" a="1"/>
  <c r="V245" i="41" s="1"/>
  <c r="AC245" i="176" s="1"/>
  <c r="U245" i="41" a="1"/>
  <c r="U245" i="41" s="1"/>
  <c r="S245" i="41" a="1"/>
  <c r="S245" i="41" s="1"/>
  <c r="R245" i="41" a="1"/>
  <c r="R245" i="41" s="1"/>
  <c r="Q245" i="41" a="1"/>
  <c r="Q245" i="41" s="1"/>
  <c r="V245" i="176" s="1"/>
  <c r="P245" i="41" a="1"/>
  <c r="P245" i="41" s="1"/>
  <c r="N245" i="41" a="1"/>
  <c r="N245" i="41" s="1"/>
  <c r="J245" i="41" a="1"/>
  <c r="J245" i="41" s="1"/>
  <c r="I245" i="41" a="1"/>
  <c r="I245" i="41" s="1"/>
  <c r="L245" i="176" s="1"/>
  <c r="G245" i="41" a="1"/>
  <c r="G245" i="41" s="1"/>
  <c r="F245" i="41" a="1"/>
  <c r="F245" i="41" s="1"/>
  <c r="W244" i="41" a="1"/>
  <c r="W244" i="41" s="1"/>
  <c r="V244" i="41" a="1"/>
  <c r="V244" i="41" s="1"/>
  <c r="AC244" i="176" s="1"/>
  <c r="U244" i="41" a="1"/>
  <c r="U244" i="41" s="1"/>
  <c r="S244" i="41" a="1"/>
  <c r="S244" i="41" s="1"/>
  <c r="R244" i="41" a="1"/>
  <c r="R244" i="41" s="1"/>
  <c r="Q244" i="41" a="1"/>
  <c r="Q244" i="41" s="1"/>
  <c r="V244" i="176" s="1"/>
  <c r="P244" i="41" a="1"/>
  <c r="P244" i="41" s="1"/>
  <c r="N244" i="41" a="1"/>
  <c r="N244" i="41" s="1"/>
  <c r="J244" i="41" a="1"/>
  <c r="J244" i="41" s="1"/>
  <c r="I244" i="41" a="1"/>
  <c r="I244" i="41" s="1"/>
  <c r="L244" i="176" s="1"/>
  <c r="G244" i="41" a="1"/>
  <c r="G244" i="41" s="1"/>
  <c r="F244" i="41" a="1"/>
  <c r="F244" i="41" s="1"/>
  <c r="W243" i="41" a="1"/>
  <c r="W243" i="41" s="1"/>
  <c r="V243" i="41" a="1"/>
  <c r="V243" i="41" s="1"/>
  <c r="AC243" i="176" s="1"/>
  <c r="U243" i="41" a="1"/>
  <c r="U243" i="41" s="1"/>
  <c r="S243" i="41" a="1"/>
  <c r="S243" i="41" s="1"/>
  <c r="R243" i="41" a="1"/>
  <c r="R243" i="41" s="1"/>
  <c r="Q243" i="41" a="1"/>
  <c r="Q243" i="41" s="1"/>
  <c r="V243" i="176" s="1"/>
  <c r="P243" i="41" a="1"/>
  <c r="P243" i="41" s="1"/>
  <c r="N243" i="41" a="1"/>
  <c r="N243" i="41" s="1"/>
  <c r="J243" i="41" a="1"/>
  <c r="J243" i="41" s="1"/>
  <c r="I243" i="41" a="1"/>
  <c r="I243" i="41" s="1"/>
  <c r="L243" i="176" s="1"/>
  <c r="G243" i="41" a="1"/>
  <c r="G243" i="41" s="1"/>
  <c r="F243" i="41" a="1"/>
  <c r="F243" i="41" s="1"/>
  <c r="W242" i="41" a="1"/>
  <c r="W242" i="41" s="1"/>
  <c r="V242" i="41" a="1"/>
  <c r="V242" i="41" s="1"/>
  <c r="AC242" i="176" s="1"/>
  <c r="U242" i="41" a="1"/>
  <c r="U242" i="41" s="1"/>
  <c r="S242" i="41" a="1"/>
  <c r="S242" i="41" s="1"/>
  <c r="R242" i="41" a="1"/>
  <c r="R242" i="41" s="1"/>
  <c r="Q242" i="41" a="1"/>
  <c r="Q242" i="41" s="1"/>
  <c r="V242" i="176" s="1"/>
  <c r="P242" i="41" a="1"/>
  <c r="P242" i="41" s="1"/>
  <c r="N242" i="41" a="1"/>
  <c r="N242" i="41" s="1"/>
  <c r="J242" i="41" a="1"/>
  <c r="J242" i="41" s="1"/>
  <c r="I242" i="41" a="1"/>
  <c r="I242" i="41" s="1"/>
  <c r="L242" i="176" s="1"/>
  <c r="G242" i="41" a="1"/>
  <c r="G242" i="41" s="1"/>
  <c r="F242" i="41" a="1"/>
  <c r="F242" i="41" s="1"/>
  <c r="W241" i="41" a="1"/>
  <c r="W241" i="41" s="1"/>
  <c r="V241" i="41" a="1"/>
  <c r="V241" i="41" s="1"/>
  <c r="AC241" i="176" s="1"/>
  <c r="U241" i="41" a="1"/>
  <c r="U241" i="41" s="1"/>
  <c r="S241" i="41" a="1"/>
  <c r="S241" i="41" s="1"/>
  <c r="R241" i="41" a="1"/>
  <c r="R241" i="41" s="1"/>
  <c r="Q241" i="41" a="1"/>
  <c r="Q241" i="41" s="1"/>
  <c r="V241" i="176" s="1"/>
  <c r="P241" i="41" a="1"/>
  <c r="P241" i="41" s="1"/>
  <c r="N241" i="41" a="1"/>
  <c r="N241" i="41" s="1"/>
  <c r="J241" i="41" a="1"/>
  <c r="J241" i="41" s="1"/>
  <c r="I241" i="41" a="1"/>
  <c r="I241" i="41" s="1"/>
  <c r="L241" i="176" s="1"/>
  <c r="G241" i="41" a="1"/>
  <c r="G241" i="41" s="1"/>
  <c r="F241" i="41" a="1"/>
  <c r="F241" i="41" s="1"/>
  <c r="W240" i="41" a="1"/>
  <c r="W240" i="41" s="1"/>
  <c r="V240" i="41" a="1"/>
  <c r="V240" i="41" s="1"/>
  <c r="AC240" i="176" s="1"/>
  <c r="E91" i="177" s="1"/>
  <c r="U240" i="41" a="1"/>
  <c r="U240" i="41" s="1"/>
  <c r="S240" i="41" a="1"/>
  <c r="S240" i="41" s="1"/>
  <c r="R240" i="41" a="1"/>
  <c r="R240" i="41" s="1"/>
  <c r="Q240" i="41" a="1"/>
  <c r="Q240" i="41" s="1"/>
  <c r="V240" i="176" s="1"/>
  <c r="P240" i="41" a="1"/>
  <c r="P240" i="41" s="1"/>
  <c r="N240" i="41" a="1"/>
  <c r="N240" i="41" s="1"/>
  <c r="W239" i="41" a="1"/>
  <c r="W239" i="41" s="1"/>
  <c r="V239" i="41" a="1"/>
  <c r="V239" i="41" s="1"/>
  <c r="AC239" i="176" s="1"/>
  <c r="U239" i="41" a="1"/>
  <c r="U239" i="41" s="1"/>
  <c r="S239" i="41" a="1"/>
  <c r="S239" i="41" s="1"/>
  <c r="R239" i="41" a="1"/>
  <c r="R239" i="41" s="1"/>
  <c r="Q239" i="41" a="1"/>
  <c r="Q239" i="41" s="1"/>
  <c r="V239" i="176" s="1"/>
  <c r="P239" i="41" a="1"/>
  <c r="P239" i="41" s="1"/>
  <c r="N239" i="41" a="1"/>
  <c r="N239" i="41" s="1"/>
  <c r="W238" i="41" a="1"/>
  <c r="W238" i="41" s="1"/>
  <c r="V238" i="41" a="1"/>
  <c r="V238" i="41" s="1"/>
  <c r="AC238" i="176" s="1"/>
  <c r="U238" i="41" a="1"/>
  <c r="U238" i="41" s="1"/>
  <c r="S238" i="41" a="1"/>
  <c r="S238" i="41" s="1"/>
  <c r="R238" i="41" a="1"/>
  <c r="R238" i="41" s="1"/>
  <c r="Q238" i="41" a="1"/>
  <c r="Q238" i="41" s="1"/>
  <c r="P238" i="41" a="1"/>
  <c r="P238" i="41" s="1"/>
  <c r="N238" i="41" a="1"/>
  <c r="N238" i="41" s="1"/>
  <c r="W237" i="41" a="1"/>
  <c r="W237" i="41" s="1"/>
  <c r="V237" i="41" a="1"/>
  <c r="V237" i="41" s="1"/>
  <c r="AC237" i="176" s="1"/>
  <c r="U237" i="41" a="1"/>
  <c r="U237" i="41" s="1"/>
  <c r="S237" i="41" a="1"/>
  <c r="S237" i="41" s="1"/>
  <c r="R237" i="41" a="1"/>
  <c r="R237" i="41" s="1"/>
  <c r="Q237" i="41" a="1"/>
  <c r="Q237" i="41" s="1"/>
  <c r="V237" i="176" s="1"/>
  <c r="P237" i="41" a="1"/>
  <c r="P237" i="41" s="1"/>
  <c r="N237" i="41" a="1"/>
  <c r="N237" i="41" s="1"/>
  <c r="W236" i="41" a="1"/>
  <c r="W236" i="41" s="1"/>
  <c r="V236" i="41" a="1"/>
  <c r="V236" i="41" s="1"/>
  <c r="AC236" i="176" s="1"/>
  <c r="U236" i="41" a="1"/>
  <c r="U236" i="41" s="1"/>
  <c r="S236" i="41" a="1"/>
  <c r="S236" i="41" s="1"/>
  <c r="R236" i="41" a="1"/>
  <c r="R236" i="41" s="1"/>
  <c r="Q236" i="41" a="1"/>
  <c r="Q236" i="41" s="1"/>
  <c r="V236" i="176" s="1"/>
  <c r="P236" i="41" a="1"/>
  <c r="P236" i="41" s="1"/>
  <c r="N236" i="41" a="1"/>
  <c r="N236" i="41" s="1"/>
  <c r="W235" i="41" a="1"/>
  <c r="W235" i="41" s="1"/>
  <c r="V235" i="41" a="1"/>
  <c r="V235" i="41" s="1"/>
  <c r="AC235" i="176" s="1"/>
  <c r="U235" i="41" a="1"/>
  <c r="U235" i="41" s="1"/>
  <c r="S235" i="41" a="1"/>
  <c r="S235" i="41" s="1"/>
  <c r="R235" i="41" a="1"/>
  <c r="R235" i="41" s="1"/>
  <c r="Q235" i="41" a="1"/>
  <c r="Q235" i="41" s="1"/>
  <c r="P235" i="41" a="1"/>
  <c r="P235" i="41" s="1"/>
  <c r="N235" i="41" a="1"/>
  <c r="N235" i="41" s="1"/>
  <c r="J235" i="41" a="1"/>
  <c r="J235" i="41" s="1"/>
  <c r="I235" i="41" a="1"/>
  <c r="I235" i="41" s="1"/>
  <c r="L235" i="176" s="1"/>
  <c r="G235" i="41" a="1"/>
  <c r="G235" i="41" s="1"/>
  <c r="F235" i="41" a="1"/>
  <c r="F235" i="41" s="1"/>
  <c r="W234" i="41" a="1"/>
  <c r="W234" i="41" s="1"/>
  <c r="V234" i="41" a="1"/>
  <c r="V234" i="41" s="1"/>
  <c r="AC234" i="176" s="1"/>
  <c r="U234" i="41" a="1"/>
  <c r="U234" i="41" s="1"/>
  <c r="S234" i="41" a="1"/>
  <c r="S234" i="41" s="1"/>
  <c r="R234" i="41" a="1"/>
  <c r="R234" i="41" s="1"/>
  <c r="Q234" i="41" a="1"/>
  <c r="Q234" i="41" s="1"/>
  <c r="V234" i="176" s="1"/>
  <c r="P234" i="41" a="1"/>
  <c r="P234" i="41" s="1"/>
  <c r="N234" i="41" a="1"/>
  <c r="N234" i="41" s="1"/>
  <c r="J234" i="41" a="1"/>
  <c r="J234" i="41" s="1"/>
  <c r="I234" i="41" a="1"/>
  <c r="I234" i="41" s="1"/>
  <c r="G234" i="41" a="1"/>
  <c r="G234" i="41" s="1"/>
  <c r="F234" i="41" a="1"/>
  <c r="F234" i="41" s="1"/>
  <c r="W233" i="41" a="1"/>
  <c r="W233" i="41" s="1"/>
  <c r="V233" i="41" a="1"/>
  <c r="V233" i="41" s="1"/>
  <c r="AC233" i="176" s="1"/>
  <c r="U233" i="41" a="1"/>
  <c r="U233" i="41" s="1"/>
  <c r="S233" i="41" a="1"/>
  <c r="S233" i="41" s="1"/>
  <c r="R233" i="41" a="1"/>
  <c r="R233" i="41" s="1"/>
  <c r="Q233" i="41" a="1"/>
  <c r="Q233" i="41" s="1"/>
  <c r="V233" i="176" s="1"/>
  <c r="P233" i="41" a="1"/>
  <c r="P233" i="41" s="1"/>
  <c r="N233" i="41" a="1"/>
  <c r="N233" i="41" s="1"/>
  <c r="J233" i="41" a="1"/>
  <c r="J233" i="41" s="1"/>
  <c r="I233" i="41" a="1"/>
  <c r="I233" i="41" s="1"/>
  <c r="L233" i="176" s="1"/>
  <c r="G233" i="41" a="1"/>
  <c r="G233" i="41" s="1"/>
  <c r="F233" i="41" a="1"/>
  <c r="F233" i="41" s="1"/>
  <c r="W232" i="41" a="1"/>
  <c r="W232" i="41" s="1"/>
  <c r="V232" i="41" a="1"/>
  <c r="V232" i="41" s="1"/>
  <c r="AC232" i="176" s="1"/>
  <c r="U232" i="41" a="1"/>
  <c r="U232" i="41" s="1"/>
  <c r="S232" i="41" a="1"/>
  <c r="S232" i="41" s="1"/>
  <c r="R232" i="41" a="1"/>
  <c r="R232" i="41" s="1"/>
  <c r="Q232" i="41" a="1"/>
  <c r="Q232" i="41" s="1"/>
  <c r="V232" i="176" s="1"/>
  <c r="P232" i="41" a="1"/>
  <c r="P232" i="41" s="1"/>
  <c r="N232" i="41" a="1"/>
  <c r="N232" i="41" s="1"/>
  <c r="J232" i="41" a="1"/>
  <c r="J232" i="41" s="1"/>
  <c r="I232" i="41" a="1"/>
  <c r="I232" i="41" s="1"/>
  <c r="L232" i="176" s="1"/>
  <c r="G232" i="41" a="1"/>
  <c r="G232" i="41" s="1"/>
  <c r="F232" i="41" a="1"/>
  <c r="F232" i="41" s="1"/>
  <c r="W231" i="41" a="1"/>
  <c r="W231" i="41" s="1"/>
  <c r="V231" i="41" a="1"/>
  <c r="V231" i="41" s="1"/>
  <c r="AC231" i="176" s="1"/>
  <c r="U231" i="41" a="1"/>
  <c r="U231" i="41" s="1"/>
  <c r="S231" i="41" a="1"/>
  <c r="S231" i="41" s="1"/>
  <c r="R231" i="41" a="1"/>
  <c r="R231" i="41" s="1"/>
  <c r="Q231" i="41" a="1"/>
  <c r="Q231" i="41" s="1"/>
  <c r="V231" i="176" s="1"/>
  <c r="P231" i="41" a="1"/>
  <c r="P231" i="41" s="1"/>
  <c r="N231" i="41" a="1"/>
  <c r="N231" i="41" s="1"/>
  <c r="J231" i="41" a="1"/>
  <c r="J231" i="41" s="1"/>
  <c r="I231" i="41" a="1"/>
  <c r="I231" i="41" s="1"/>
  <c r="L231" i="176" s="1"/>
  <c r="G231" i="41" a="1"/>
  <c r="G231" i="41" s="1"/>
  <c r="F231" i="41" a="1"/>
  <c r="F231" i="41" s="1"/>
  <c r="W230" i="41" a="1"/>
  <c r="W230" i="41" s="1"/>
  <c r="V230" i="41" a="1"/>
  <c r="V230" i="41" s="1"/>
  <c r="AC230" i="176" s="1"/>
  <c r="U230" i="41" a="1"/>
  <c r="U230" i="41" s="1"/>
  <c r="S230" i="41" a="1"/>
  <c r="S230" i="41" s="1"/>
  <c r="X230" i="176" s="1"/>
  <c r="R230" i="41" a="1"/>
  <c r="R230" i="41" s="1"/>
  <c r="Q230" i="41" a="1"/>
  <c r="Q230" i="41" s="1"/>
  <c r="V230" i="176" s="1"/>
  <c r="P230" i="41" a="1"/>
  <c r="P230" i="41" s="1"/>
  <c r="N230" i="41" a="1"/>
  <c r="N230" i="41" s="1"/>
  <c r="J230" i="41" a="1"/>
  <c r="J230" i="41" s="1"/>
  <c r="I230" i="41" a="1"/>
  <c r="I230" i="41" s="1"/>
  <c r="L230" i="176" s="1"/>
  <c r="G230" i="41" a="1"/>
  <c r="G230" i="41" s="1"/>
  <c r="F230" i="41" a="1"/>
  <c r="F230" i="41" s="1"/>
  <c r="W229" i="41" a="1"/>
  <c r="W229" i="41" s="1"/>
  <c r="V229" i="41" a="1"/>
  <c r="V229" i="41" s="1"/>
  <c r="AC229" i="176" s="1"/>
  <c r="U229" i="41" a="1"/>
  <c r="U229" i="41" s="1"/>
  <c r="S229" i="41" a="1"/>
  <c r="S229" i="41" s="1"/>
  <c r="R229" i="41" a="1"/>
  <c r="R229" i="41" s="1"/>
  <c r="Q229" i="41" a="1"/>
  <c r="Q229" i="41" s="1"/>
  <c r="V229" i="176" s="1"/>
  <c r="P229" i="41" a="1"/>
  <c r="P229" i="41" s="1"/>
  <c r="N229" i="41" a="1"/>
  <c r="N229" i="41" s="1"/>
  <c r="J229" i="41" a="1"/>
  <c r="J229" i="41" s="1"/>
  <c r="I229" i="41" a="1"/>
  <c r="I229" i="41" s="1"/>
  <c r="L229" i="176" s="1"/>
  <c r="G229" i="41" a="1"/>
  <c r="G229" i="41" s="1"/>
  <c r="F229" i="41" a="1"/>
  <c r="F229" i="41" s="1"/>
  <c r="W228" i="41" a="1"/>
  <c r="W228" i="41" s="1"/>
  <c r="V228" i="41" a="1"/>
  <c r="V228" i="41" s="1"/>
  <c r="AC228" i="176" s="1"/>
  <c r="U228" i="41" a="1"/>
  <c r="U228" i="41" s="1"/>
  <c r="S228" i="41" a="1"/>
  <c r="S228" i="41" s="1"/>
  <c r="R228" i="41" a="1"/>
  <c r="R228" i="41" s="1"/>
  <c r="Q228" i="41" a="1"/>
  <c r="Q228" i="41" s="1"/>
  <c r="V228" i="176" s="1"/>
  <c r="P228" i="41" a="1"/>
  <c r="P228" i="41" s="1"/>
  <c r="N228" i="41" a="1"/>
  <c r="N228" i="41" s="1"/>
  <c r="J228" i="41" a="1"/>
  <c r="J228" i="41" s="1"/>
  <c r="M228" i="176" s="1"/>
  <c r="I228" i="41" a="1"/>
  <c r="I228" i="41" s="1"/>
  <c r="L228" i="176" s="1"/>
  <c r="G228" i="41" a="1"/>
  <c r="G228" i="41" s="1"/>
  <c r="F228" i="41" a="1"/>
  <c r="F228" i="41" s="1"/>
  <c r="W227" i="41" a="1"/>
  <c r="W227" i="41" s="1"/>
  <c r="V227" i="41" a="1"/>
  <c r="V227" i="41" s="1"/>
  <c r="AC227" i="176" s="1"/>
  <c r="U227" i="41" a="1"/>
  <c r="U227" i="41" s="1"/>
  <c r="S227" i="41" a="1"/>
  <c r="S227" i="41" s="1"/>
  <c r="R227" i="41" a="1"/>
  <c r="R227" i="41" s="1"/>
  <c r="Q227" i="41" a="1"/>
  <c r="Q227" i="41" s="1"/>
  <c r="V227" i="176" s="1"/>
  <c r="P227" i="41" a="1"/>
  <c r="P227" i="41" s="1"/>
  <c r="N227" i="41" a="1"/>
  <c r="N227" i="41" s="1"/>
  <c r="J227" i="41" a="1"/>
  <c r="J227" i="41" s="1"/>
  <c r="I227" i="41" a="1"/>
  <c r="I227" i="41" s="1"/>
  <c r="L227" i="176" s="1"/>
  <c r="G227" i="41" a="1"/>
  <c r="G227" i="41" s="1"/>
  <c r="F227" i="41" a="1"/>
  <c r="F227" i="41" s="1"/>
  <c r="W226" i="41" a="1"/>
  <c r="W226" i="41" s="1"/>
  <c r="V226" i="41" a="1"/>
  <c r="V226" i="41" s="1"/>
  <c r="AC226" i="176" s="1"/>
  <c r="E90" i="177" s="1"/>
  <c r="U226" i="41" a="1"/>
  <c r="U226" i="41" s="1"/>
  <c r="S226" i="41" a="1"/>
  <c r="S226" i="41" s="1"/>
  <c r="R226" i="41" a="1"/>
  <c r="R226" i="41" s="1"/>
  <c r="Q226" i="41" a="1"/>
  <c r="Q226" i="41" s="1"/>
  <c r="V226" i="176" s="1"/>
  <c r="P226" i="41" a="1"/>
  <c r="P226" i="41" s="1"/>
  <c r="N226" i="41" a="1"/>
  <c r="N226" i="41" s="1"/>
  <c r="W225" i="41" a="1"/>
  <c r="W225" i="41" s="1"/>
  <c r="V225" i="41" a="1"/>
  <c r="V225" i="41" s="1"/>
  <c r="AC225" i="176" s="1"/>
  <c r="U225" i="41" a="1"/>
  <c r="U225" i="41" s="1"/>
  <c r="S225" i="41" a="1"/>
  <c r="S225" i="41" s="1"/>
  <c r="R225" i="41" a="1"/>
  <c r="R225" i="41" s="1"/>
  <c r="Q225" i="41" a="1"/>
  <c r="Q225" i="41" s="1"/>
  <c r="V225" i="176" s="1"/>
  <c r="P225" i="41" a="1"/>
  <c r="P225" i="41" s="1"/>
  <c r="N225" i="41" a="1"/>
  <c r="N225" i="41" s="1"/>
  <c r="W224" i="41" a="1"/>
  <c r="W224" i="41" s="1"/>
  <c r="V224" i="41" a="1"/>
  <c r="V224" i="41" s="1"/>
  <c r="U224" i="41" a="1"/>
  <c r="U224" i="41" s="1"/>
  <c r="S224" i="41" a="1"/>
  <c r="S224" i="41" s="1"/>
  <c r="R224" i="41" a="1"/>
  <c r="R224" i="41" s="1"/>
  <c r="Q224" i="41" a="1"/>
  <c r="Q224" i="41" s="1"/>
  <c r="V224" i="176" s="1"/>
  <c r="P224" i="41" a="1"/>
  <c r="P224" i="41" s="1"/>
  <c r="N224" i="41" a="1"/>
  <c r="N224" i="41" s="1"/>
  <c r="S224" i="176" s="1"/>
  <c r="W223" i="41" a="1"/>
  <c r="W223" i="41" s="1"/>
  <c r="V223" i="41" a="1"/>
  <c r="V223" i="41" s="1"/>
  <c r="AC223" i="176" s="1"/>
  <c r="U223" i="41" a="1"/>
  <c r="U223" i="41" s="1"/>
  <c r="S223" i="41" a="1"/>
  <c r="S223" i="41" s="1"/>
  <c r="R223" i="41" a="1"/>
  <c r="R223" i="41" s="1"/>
  <c r="Q223" i="41" a="1"/>
  <c r="Q223" i="41" s="1"/>
  <c r="V223" i="176" s="1"/>
  <c r="P223" i="41" a="1"/>
  <c r="P223" i="41" s="1"/>
  <c r="N223" i="41" a="1"/>
  <c r="N223" i="41" s="1"/>
  <c r="W222" i="41" a="1"/>
  <c r="W222" i="41" s="1"/>
  <c r="V222" i="41" a="1"/>
  <c r="V222" i="41" s="1"/>
  <c r="AC222" i="176" s="1"/>
  <c r="U222" i="41" a="1"/>
  <c r="U222" i="41" s="1"/>
  <c r="S222" i="41" a="1"/>
  <c r="S222" i="41" s="1"/>
  <c r="R222" i="41" a="1"/>
  <c r="R222" i="41" s="1"/>
  <c r="Q222" i="41" a="1"/>
  <c r="Q222" i="41" s="1"/>
  <c r="V222" i="176" s="1"/>
  <c r="P222" i="41" a="1"/>
  <c r="P222" i="41" s="1"/>
  <c r="N222" i="41" a="1"/>
  <c r="N222" i="41" s="1"/>
  <c r="W221" i="41" a="1"/>
  <c r="W221" i="41" s="1"/>
  <c r="V221" i="41" a="1"/>
  <c r="V221" i="41" s="1"/>
  <c r="AC221" i="176" s="1"/>
  <c r="U221" i="41" a="1"/>
  <c r="U221" i="41" s="1"/>
  <c r="S221" i="41" a="1"/>
  <c r="S221" i="41" s="1"/>
  <c r="R221" i="41" a="1"/>
  <c r="R221" i="41" s="1"/>
  <c r="Q221" i="41" a="1"/>
  <c r="Q221" i="41" s="1"/>
  <c r="V221" i="176" s="1"/>
  <c r="P221" i="41" a="1"/>
  <c r="P221" i="41" s="1"/>
  <c r="N221" i="41" a="1"/>
  <c r="N221" i="41" s="1"/>
  <c r="J221" i="41" a="1"/>
  <c r="J221" i="41" s="1"/>
  <c r="I221" i="41" a="1"/>
  <c r="I221" i="41" s="1"/>
  <c r="L221" i="176" s="1"/>
  <c r="G221" i="41" a="1"/>
  <c r="G221" i="41" s="1"/>
  <c r="F221" i="41" a="1"/>
  <c r="F221" i="41" s="1"/>
  <c r="W220" i="41" a="1"/>
  <c r="W220" i="41" s="1"/>
  <c r="V220" i="41" a="1"/>
  <c r="V220" i="41" s="1"/>
  <c r="AC220" i="176" s="1"/>
  <c r="U220" i="41" a="1"/>
  <c r="U220" i="41" s="1"/>
  <c r="S220" i="41" a="1"/>
  <c r="S220" i="41" s="1"/>
  <c r="R220" i="41" a="1"/>
  <c r="R220" i="41" s="1"/>
  <c r="Q220" i="41" a="1"/>
  <c r="Q220" i="41" s="1"/>
  <c r="V220" i="176" s="1"/>
  <c r="P220" i="41" a="1"/>
  <c r="P220" i="41" s="1"/>
  <c r="N220" i="41" a="1"/>
  <c r="N220" i="41" s="1"/>
  <c r="J220" i="41" a="1"/>
  <c r="J220" i="41" s="1"/>
  <c r="I220" i="41" a="1"/>
  <c r="I220" i="41" s="1"/>
  <c r="L220" i="176" s="1"/>
  <c r="G220" i="41" a="1"/>
  <c r="G220" i="41" s="1"/>
  <c r="F220" i="41" a="1"/>
  <c r="F220" i="41" s="1"/>
  <c r="W219" i="41" a="1"/>
  <c r="W219" i="41" s="1"/>
  <c r="V219" i="41" a="1"/>
  <c r="V219" i="41" s="1"/>
  <c r="AC219" i="176" s="1"/>
  <c r="U219" i="41" a="1"/>
  <c r="U219" i="41" s="1"/>
  <c r="S219" i="41" a="1"/>
  <c r="S219" i="41" s="1"/>
  <c r="R219" i="41" a="1"/>
  <c r="R219" i="41" s="1"/>
  <c r="Q219" i="41" a="1"/>
  <c r="Q219" i="41" s="1"/>
  <c r="V219" i="176" s="1"/>
  <c r="P219" i="41" a="1"/>
  <c r="P219" i="41" s="1"/>
  <c r="N219" i="41" a="1"/>
  <c r="N219" i="41" s="1"/>
  <c r="J219" i="41" a="1"/>
  <c r="J219" i="41" s="1"/>
  <c r="I219" i="41" a="1"/>
  <c r="I219" i="41" s="1"/>
  <c r="L219" i="176" s="1"/>
  <c r="G219" i="41" a="1"/>
  <c r="G219" i="41" s="1"/>
  <c r="F219" i="41" a="1"/>
  <c r="F219" i="41" s="1"/>
  <c r="W218" i="41" a="1"/>
  <c r="W218" i="41" s="1"/>
  <c r="V218" i="41" a="1"/>
  <c r="V218" i="41" s="1"/>
  <c r="AC218" i="176" s="1"/>
  <c r="U218" i="41" a="1"/>
  <c r="U218" i="41" s="1"/>
  <c r="S218" i="41" a="1"/>
  <c r="S218" i="41" s="1"/>
  <c r="R218" i="41" a="1"/>
  <c r="R218" i="41" s="1"/>
  <c r="Q218" i="41" a="1"/>
  <c r="Q218" i="41" s="1"/>
  <c r="V218" i="176" s="1"/>
  <c r="P218" i="41" a="1"/>
  <c r="P218" i="41" s="1"/>
  <c r="N218" i="41" a="1"/>
  <c r="N218" i="41" s="1"/>
  <c r="J218" i="41" a="1"/>
  <c r="J218" i="41" s="1"/>
  <c r="I218" i="41" a="1"/>
  <c r="I218" i="41" s="1"/>
  <c r="L218" i="176" s="1"/>
  <c r="G218" i="41" a="1"/>
  <c r="G218" i="41" s="1"/>
  <c r="F218" i="41" a="1"/>
  <c r="F218" i="41" s="1"/>
  <c r="W217" i="41" a="1"/>
  <c r="W217" i="41" s="1"/>
  <c r="V217" i="41" a="1"/>
  <c r="V217" i="41" s="1"/>
  <c r="U217" i="41" a="1"/>
  <c r="U217" i="41" s="1"/>
  <c r="S217" i="41" a="1"/>
  <c r="S217" i="41" s="1"/>
  <c r="R217" i="41" a="1"/>
  <c r="R217" i="41" s="1"/>
  <c r="Q217" i="41" a="1"/>
  <c r="Q217" i="41" s="1"/>
  <c r="V217" i="176" s="1"/>
  <c r="P217" i="41" a="1"/>
  <c r="P217" i="41" s="1"/>
  <c r="N217" i="41" a="1"/>
  <c r="N217" i="41" s="1"/>
  <c r="J217" i="41" a="1"/>
  <c r="J217" i="41" s="1"/>
  <c r="I217" i="41" a="1"/>
  <c r="I217" i="41" s="1"/>
  <c r="G217" i="41" a="1"/>
  <c r="G217" i="41" s="1"/>
  <c r="F217" i="41" a="1"/>
  <c r="F217" i="41" s="1"/>
  <c r="W216" i="41" a="1"/>
  <c r="W216" i="41" s="1"/>
  <c r="V216" i="41" a="1"/>
  <c r="V216" i="41" s="1"/>
  <c r="AC216" i="176" s="1"/>
  <c r="U216" i="41" a="1"/>
  <c r="U216" i="41" s="1"/>
  <c r="S216" i="41" a="1"/>
  <c r="S216" i="41" s="1"/>
  <c r="R216" i="41" a="1"/>
  <c r="R216" i="41" s="1"/>
  <c r="Q216" i="41" a="1"/>
  <c r="Q216" i="41" s="1"/>
  <c r="V216" i="176" s="1"/>
  <c r="P216" i="41" a="1"/>
  <c r="P216" i="41" s="1"/>
  <c r="N216" i="41" a="1"/>
  <c r="N216" i="41" s="1"/>
  <c r="J216" i="41" a="1"/>
  <c r="J216" i="41" s="1"/>
  <c r="I216" i="41" a="1"/>
  <c r="I216" i="41" s="1"/>
  <c r="L216" i="176" s="1"/>
  <c r="G216" i="41" a="1"/>
  <c r="G216" i="41" s="1"/>
  <c r="F216" i="41" a="1"/>
  <c r="F216" i="41" s="1"/>
  <c r="W215" i="41" a="1"/>
  <c r="W215" i="41" s="1"/>
  <c r="V215" i="41" a="1"/>
  <c r="V215" i="41" s="1"/>
  <c r="AC215" i="176" s="1"/>
  <c r="U215" i="41" a="1"/>
  <c r="U215" i="41" s="1"/>
  <c r="S215" i="41" a="1"/>
  <c r="S215" i="41" s="1"/>
  <c r="R215" i="41" a="1"/>
  <c r="R215" i="41" s="1"/>
  <c r="Q215" i="41" a="1"/>
  <c r="Q215" i="41" s="1"/>
  <c r="V215" i="176" s="1"/>
  <c r="P215" i="41" a="1"/>
  <c r="P215" i="41" s="1"/>
  <c r="N215" i="41" a="1"/>
  <c r="N215" i="41" s="1"/>
  <c r="J215" i="41" a="1"/>
  <c r="J215" i="41" s="1"/>
  <c r="I215" i="41" a="1"/>
  <c r="I215" i="41" s="1"/>
  <c r="L215" i="176" s="1"/>
  <c r="G215" i="41" a="1"/>
  <c r="G215" i="41" s="1"/>
  <c r="F215" i="41" a="1"/>
  <c r="F215" i="41" s="1"/>
  <c r="W214" i="41" a="1"/>
  <c r="W214" i="41" s="1"/>
  <c r="V214" i="41" a="1"/>
  <c r="V214" i="41" s="1"/>
  <c r="AC214" i="176" s="1"/>
  <c r="U214" i="41" a="1"/>
  <c r="U214" i="41" s="1"/>
  <c r="S214" i="41" a="1"/>
  <c r="S214" i="41" s="1"/>
  <c r="R214" i="41" a="1"/>
  <c r="R214" i="41" s="1"/>
  <c r="Q214" i="41" a="1"/>
  <c r="Q214" i="41" s="1"/>
  <c r="V214" i="176" s="1"/>
  <c r="P214" i="41" a="1"/>
  <c r="P214" i="41" s="1"/>
  <c r="N214" i="41" a="1"/>
  <c r="N214" i="41" s="1"/>
  <c r="J214" i="41" a="1"/>
  <c r="J214" i="41" s="1"/>
  <c r="I214" i="41" a="1"/>
  <c r="I214" i="41" s="1"/>
  <c r="L214" i="176" s="1"/>
  <c r="G214" i="41" a="1"/>
  <c r="G214" i="41" s="1"/>
  <c r="F214" i="41" a="1"/>
  <c r="F214" i="41" s="1"/>
  <c r="W213" i="41" a="1"/>
  <c r="W213" i="41" s="1"/>
  <c r="V213" i="41" a="1"/>
  <c r="V213" i="41" s="1"/>
  <c r="AC213" i="176" s="1"/>
  <c r="U213" i="41" a="1"/>
  <c r="U213" i="41" s="1"/>
  <c r="S213" i="41" a="1"/>
  <c r="S213" i="41" s="1"/>
  <c r="R213" i="41" a="1"/>
  <c r="R213" i="41" s="1"/>
  <c r="Q213" i="41" a="1"/>
  <c r="Q213" i="41" s="1"/>
  <c r="V213" i="176" s="1"/>
  <c r="P213" i="41" a="1"/>
  <c r="P213" i="41" s="1"/>
  <c r="N213" i="41" a="1"/>
  <c r="N213" i="41" s="1"/>
  <c r="J213" i="41" a="1"/>
  <c r="J213" i="41" s="1"/>
  <c r="I213" i="41" a="1"/>
  <c r="I213" i="41" s="1"/>
  <c r="L213" i="176" s="1"/>
  <c r="G213" i="41" a="1"/>
  <c r="G213" i="41" s="1"/>
  <c r="F213" i="41" a="1"/>
  <c r="F213" i="41" s="1"/>
  <c r="W212" i="41" a="1"/>
  <c r="W212" i="41" s="1"/>
  <c r="V212" i="41" a="1"/>
  <c r="V212" i="41" s="1"/>
  <c r="AC212" i="176" s="1"/>
  <c r="E97" i="177" s="1"/>
  <c r="U212" i="41" a="1"/>
  <c r="U212" i="41" s="1"/>
  <c r="S212" i="41" a="1"/>
  <c r="S212" i="41" s="1"/>
  <c r="R212" i="41" a="1"/>
  <c r="R212" i="41" s="1"/>
  <c r="Q212" i="41" a="1"/>
  <c r="Q212" i="41" s="1"/>
  <c r="V212" i="176" s="1"/>
  <c r="P212" i="41" a="1"/>
  <c r="P212" i="41" s="1"/>
  <c r="N212" i="41" a="1"/>
  <c r="N212" i="41" s="1"/>
  <c r="J212" i="41" a="1"/>
  <c r="J212" i="41" s="1"/>
  <c r="I212" i="41" a="1"/>
  <c r="I212" i="41" s="1"/>
  <c r="L212" i="176" s="1"/>
  <c r="G212" i="41" a="1"/>
  <c r="G212" i="41" s="1"/>
  <c r="F212" i="41" a="1"/>
  <c r="F212" i="41" s="1"/>
  <c r="W211" i="41" a="1"/>
  <c r="W211" i="41" s="1"/>
  <c r="V211" i="41" a="1"/>
  <c r="V211" i="41" s="1"/>
  <c r="AC211" i="176" s="1"/>
  <c r="U211" i="41" a="1"/>
  <c r="U211" i="41" s="1"/>
  <c r="S211" i="41" a="1"/>
  <c r="S211" i="41" s="1"/>
  <c r="R211" i="41" a="1"/>
  <c r="R211" i="41" s="1"/>
  <c r="Q211" i="41" a="1"/>
  <c r="Q211" i="41" s="1"/>
  <c r="V211" i="176" s="1"/>
  <c r="P211" i="41" a="1"/>
  <c r="P211" i="41" s="1"/>
  <c r="N211" i="41" a="1"/>
  <c r="N211" i="41" s="1"/>
  <c r="J211" i="41" a="1"/>
  <c r="J211" i="41" s="1"/>
  <c r="I211" i="41" a="1"/>
  <c r="I211" i="41" s="1"/>
  <c r="L211" i="176" s="1"/>
  <c r="G211" i="41" a="1"/>
  <c r="G211" i="41" s="1"/>
  <c r="F211" i="41" a="1"/>
  <c r="F211" i="41" s="1"/>
  <c r="W210" i="41" a="1"/>
  <c r="W210" i="41" s="1"/>
  <c r="V210" i="41" a="1"/>
  <c r="V210" i="41" s="1"/>
  <c r="AC210" i="176" s="1"/>
  <c r="U210" i="41" a="1"/>
  <c r="U210" i="41" s="1"/>
  <c r="S210" i="41" a="1"/>
  <c r="S210" i="41" s="1"/>
  <c r="R210" i="41" a="1"/>
  <c r="R210" i="41" s="1"/>
  <c r="Q210" i="41" a="1"/>
  <c r="Q210" i="41" s="1"/>
  <c r="V210" i="176" s="1"/>
  <c r="P210" i="41" a="1"/>
  <c r="P210" i="41" s="1"/>
  <c r="N210" i="41" a="1"/>
  <c r="N210" i="41" s="1"/>
  <c r="J210" i="41" a="1"/>
  <c r="J210" i="41" s="1"/>
  <c r="I210" i="41" a="1"/>
  <c r="I210" i="41" s="1"/>
  <c r="L210" i="176" s="1"/>
  <c r="G210" i="41" a="1"/>
  <c r="G210" i="41" s="1"/>
  <c r="F210" i="41" a="1"/>
  <c r="F210" i="41" s="1"/>
  <c r="W209" i="41" a="1"/>
  <c r="W209" i="41" s="1"/>
  <c r="V209" i="41" a="1"/>
  <c r="V209" i="41" s="1"/>
  <c r="AC209" i="176" s="1"/>
  <c r="U209" i="41" a="1"/>
  <c r="U209" i="41" s="1"/>
  <c r="S209" i="41" a="1"/>
  <c r="S209" i="41" s="1"/>
  <c r="R209" i="41" a="1"/>
  <c r="R209" i="41" s="1"/>
  <c r="Q209" i="41" a="1"/>
  <c r="Q209" i="41" s="1"/>
  <c r="V209" i="176" s="1"/>
  <c r="P209" i="41" a="1"/>
  <c r="P209" i="41" s="1"/>
  <c r="N209" i="41" a="1"/>
  <c r="N209" i="41" s="1"/>
  <c r="J209" i="41" a="1"/>
  <c r="J209" i="41" s="1"/>
  <c r="I209" i="41" a="1"/>
  <c r="I209" i="41" s="1"/>
  <c r="L209" i="176" s="1"/>
  <c r="G209" i="41" a="1"/>
  <c r="G209" i="41" s="1"/>
  <c r="F209" i="41" a="1"/>
  <c r="F209" i="41" s="1"/>
  <c r="W208" i="41" a="1"/>
  <c r="W208" i="41" s="1"/>
  <c r="V208" i="41" a="1"/>
  <c r="V208" i="41" s="1"/>
  <c r="AC208" i="176" s="1"/>
  <c r="U208" i="41" a="1"/>
  <c r="U208" i="41" s="1"/>
  <c r="S208" i="41" a="1"/>
  <c r="S208" i="41" s="1"/>
  <c r="R208" i="41" a="1"/>
  <c r="R208" i="41" s="1"/>
  <c r="Q208" i="41" a="1"/>
  <c r="Q208" i="41" s="1"/>
  <c r="P208" i="41" a="1"/>
  <c r="P208" i="41" s="1"/>
  <c r="N208" i="41" a="1"/>
  <c r="N208" i="41" s="1"/>
  <c r="J208" i="41" a="1"/>
  <c r="J208" i="41" s="1"/>
  <c r="I208" i="41" a="1"/>
  <c r="I208" i="41" s="1"/>
  <c r="L208" i="176" s="1"/>
  <c r="G208" i="41" a="1"/>
  <c r="G208" i="41" s="1"/>
  <c r="F208" i="41" a="1"/>
  <c r="F208" i="41" s="1"/>
  <c r="W207" i="41" a="1"/>
  <c r="W207" i="41" s="1"/>
  <c r="V207" i="41" a="1"/>
  <c r="V207" i="41" s="1"/>
  <c r="AC207" i="176" s="1"/>
  <c r="U207" i="41" a="1"/>
  <c r="U207" i="41" s="1"/>
  <c r="S207" i="41" a="1"/>
  <c r="S207" i="41" s="1"/>
  <c r="R207" i="41" a="1"/>
  <c r="R207" i="41" s="1"/>
  <c r="Q207" i="41" a="1"/>
  <c r="Q207" i="41" s="1"/>
  <c r="V207" i="176" s="1"/>
  <c r="P207" i="41" a="1"/>
  <c r="P207" i="41" s="1"/>
  <c r="N207" i="41" a="1"/>
  <c r="N207" i="41" s="1"/>
  <c r="J207" i="41" a="1"/>
  <c r="J207" i="41" s="1"/>
  <c r="I207" i="41" a="1"/>
  <c r="I207" i="41" s="1"/>
  <c r="L207" i="176" s="1"/>
  <c r="G207" i="41" a="1"/>
  <c r="G207" i="41" s="1"/>
  <c r="F207" i="41" a="1"/>
  <c r="F207" i="41" s="1"/>
  <c r="W206" i="41" a="1"/>
  <c r="W206" i="41" s="1"/>
  <c r="V206" i="41" a="1"/>
  <c r="V206" i="41" s="1"/>
  <c r="AC206" i="176" s="1"/>
  <c r="U206" i="41" a="1"/>
  <c r="U206" i="41" s="1"/>
  <c r="S206" i="41" a="1"/>
  <c r="S206" i="41" s="1"/>
  <c r="R206" i="41" a="1"/>
  <c r="R206" i="41" s="1"/>
  <c r="Q206" i="41" a="1"/>
  <c r="Q206" i="41" s="1"/>
  <c r="V206" i="176" s="1"/>
  <c r="P206" i="41" a="1"/>
  <c r="P206" i="41" s="1"/>
  <c r="N206" i="41" a="1"/>
  <c r="N206" i="41" s="1"/>
  <c r="J206" i="41" a="1"/>
  <c r="J206" i="41" s="1"/>
  <c r="I206" i="41" a="1"/>
  <c r="I206" i="41" s="1"/>
  <c r="L206" i="176" s="1"/>
  <c r="G206" i="41" a="1"/>
  <c r="G206" i="41" s="1"/>
  <c r="F206" i="41" a="1"/>
  <c r="F206" i="41" s="1"/>
  <c r="W205" i="41" a="1"/>
  <c r="W205" i="41" s="1"/>
  <c r="V205" i="41" a="1"/>
  <c r="V205" i="41" s="1"/>
  <c r="AC205" i="176" s="1"/>
  <c r="U205" i="41" a="1"/>
  <c r="U205" i="41" s="1"/>
  <c r="S205" i="41" a="1"/>
  <c r="S205" i="41" s="1"/>
  <c r="R205" i="41" a="1"/>
  <c r="R205" i="41" s="1"/>
  <c r="Q205" i="41" a="1"/>
  <c r="Q205" i="41" s="1"/>
  <c r="V205" i="176" s="1"/>
  <c r="P205" i="41" a="1"/>
  <c r="P205" i="41" s="1"/>
  <c r="N205" i="41" a="1"/>
  <c r="N205" i="41" s="1"/>
  <c r="J205" i="41" a="1"/>
  <c r="J205" i="41" s="1"/>
  <c r="I205" i="41" a="1"/>
  <c r="I205" i="41" s="1"/>
  <c r="L205" i="176" s="1"/>
  <c r="G205" i="41" a="1"/>
  <c r="G205" i="41" s="1"/>
  <c r="F205" i="41" a="1"/>
  <c r="F205" i="41" s="1"/>
  <c r="W204" i="41" a="1"/>
  <c r="W204" i="41" s="1"/>
  <c r="V204" i="41" a="1"/>
  <c r="V204" i="41" s="1"/>
  <c r="AC204" i="176" s="1"/>
  <c r="U204" i="41" a="1"/>
  <c r="U204" i="41" s="1"/>
  <c r="S204" i="41" a="1"/>
  <c r="S204" i="41" s="1"/>
  <c r="R204" i="41" a="1"/>
  <c r="R204" i="41" s="1"/>
  <c r="Q204" i="41" a="1"/>
  <c r="Q204" i="41" s="1"/>
  <c r="V204" i="176" s="1"/>
  <c r="P204" i="41" a="1"/>
  <c r="P204" i="41" s="1"/>
  <c r="N204" i="41" a="1"/>
  <c r="N204" i="41" s="1"/>
  <c r="J204" i="41" a="1"/>
  <c r="J204" i="41" s="1"/>
  <c r="I204" i="41" a="1"/>
  <c r="I204" i="41" s="1"/>
  <c r="L204" i="176" s="1"/>
  <c r="G204" i="41" a="1"/>
  <c r="G204" i="41" s="1"/>
  <c r="F204" i="41" a="1"/>
  <c r="F204" i="41" s="1"/>
  <c r="W203" i="41" a="1"/>
  <c r="W203" i="41" s="1"/>
  <c r="V203" i="41" a="1"/>
  <c r="V203" i="41" s="1"/>
  <c r="AC203" i="176" s="1"/>
  <c r="U203" i="41" a="1"/>
  <c r="U203" i="41" s="1"/>
  <c r="S203" i="41" a="1"/>
  <c r="S203" i="41" s="1"/>
  <c r="R203" i="41" a="1"/>
  <c r="R203" i="41" s="1"/>
  <c r="Q203" i="41" a="1"/>
  <c r="Q203" i="41" s="1"/>
  <c r="V203" i="176" s="1"/>
  <c r="P203" i="41" a="1"/>
  <c r="P203" i="41" s="1"/>
  <c r="N203" i="41" a="1"/>
  <c r="N203" i="41" s="1"/>
  <c r="J203" i="41" a="1"/>
  <c r="J203" i="41" s="1"/>
  <c r="I203" i="41" a="1"/>
  <c r="I203" i="41" s="1"/>
  <c r="L203" i="176" s="1"/>
  <c r="G203" i="41" a="1"/>
  <c r="G203" i="41" s="1"/>
  <c r="F203" i="41" a="1"/>
  <c r="F203" i="41" s="1"/>
  <c r="W202" i="41" a="1"/>
  <c r="W202" i="41" s="1"/>
  <c r="V202" i="41" a="1"/>
  <c r="V202" i="41" s="1"/>
  <c r="AC202" i="176" s="1"/>
  <c r="U202" i="41" a="1"/>
  <c r="U202" i="41" s="1"/>
  <c r="S202" i="41" a="1"/>
  <c r="S202" i="41" s="1"/>
  <c r="R202" i="41" a="1"/>
  <c r="R202" i="41" s="1"/>
  <c r="Q202" i="41" a="1"/>
  <c r="Q202" i="41" s="1"/>
  <c r="V202" i="176" s="1"/>
  <c r="P202" i="41" a="1"/>
  <c r="P202" i="41" s="1"/>
  <c r="N202" i="41" a="1"/>
  <c r="N202" i="41" s="1"/>
  <c r="J202" i="41" a="1"/>
  <c r="J202" i="41" s="1"/>
  <c r="I202" i="41" a="1"/>
  <c r="I202" i="41" s="1"/>
  <c r="L202" i="176" s="1"/>
  <c r="G202" i="41" a="1"/>
  <c r="G202" i="41" s="1"/>
  <c r="F202" i="41" a="1"/>
  <c r="F202" i="41" s="1"/>
  <c r="W201" i="41" a="1"/>
  <c r="W201" i="41" s="1"/>
  <c r="V201" i="41" a="1"/>
  <c r="V201" i="41" s="1"/>
  <c r="U201" i="41" a="1"/>
  <c r="U201" i="41" s="1"/>
  <c r="S201" i="41" a="1"/>
  <c r="S201" i="41" s="1"/>
  <c r="R201" i="41" a="1"/>
  <c r="R201" i="41" s="1"/>
  <c r="Q201" i="41" a="1"/>
  <c r="Q201" i="41" s="1"/>
  <c r="V201" i="176" s="1"/>
  <c r="P201" i="41" a="1"/>
  <c r="P201" i="41" s="1"/>
  <c r="N201" i="41" a="1"/>
  <c r="N201" i="41" s="1"/>
  <c r="J201" i="41" a="1"/>
  <c r="J201" i="41" s="1"/>
  <c r="I201" i="41" a="1"/>
  <c r="I201" i="41" s="1"/>
  <c r="G201" i="41" a="1"/>
  <c r="G201" i="41" s="1"/>
  <c r="F201" i="41" a="1"/>
  <c r="F201" i="41" s="1"/>
  <c r="W200" i="41" a="1"/>
  <c r="W200" i="41" s="1"/>
  <c r="V200" i="41" a="1"/>
  <c r="V200" i="41" s="1"/>
  <c r="AC200" i="176" s="1"/>
  <c r="U200" i="41" a="1"/>
  <c r="U200" i="41" s="1"/>
  <c r="S200" i="41" a="1"/>
  <c r="S200" i="41" s="1"/>
  <c r="R200" i="41" a="1"/>
  <c r="R200" i="41" s="1"/>
  <c r="Q200" i="41" a="1"/>
  <c r="Q200" i="41" s="1"/>
  <c r="V200" i="176" s="1"/>
  <c r="P200" i="41" a="1"/>
  <c r="P200" i="41" s="1"/>
  <c r="N200" i="41" a="1"/>
  <c r="N200" i="41" s="1"/>
  <c r="J200" i="41" a="1"/>
  <c r="J200" i="41" s="1"/>
  <c r="I200" i="41" a="1"/>
  <c r="I200" i="41" s="1"/>
  <c r="L200" i="176" s="1"/>
  <c r="G200" i="41" a="1"/>
  <c r="G200" i="41" s="1"/>
  <c r="F200" i="41" a="1"/>
  <c r="F200" i="41" s="1"/>
  <c r="W199" i="41" a="1"/>
  <c r="W199" i="41" s="1"/>
  <c r="V199" i="41" a="1"/>
  <c r="V199" i="41" s="1"/>
  <c r="AC199" i="176" s="1"/>
  <c r="U199" i="41" a="1"/>
  <c r="U199" i="41" s="1"/>
  <c r="S199" i="41" a="1"/>
  <c r="S199" i="41" s="1"/>
  <c r="R199" i="41" a="1"/>
  <c r="R199" i="41" s="1"/>
  <c r="Q199" i="41" a="1"/>
  <c r="Q199" i="41" s="1"/>
  <c r="V199" i="176" s="1"/>
  <c r="P199" i="41" a="1"/>
  <c r="P199" i="41" s="1"/>
  <c r="N199" i="41" a="1"/>
  <c r="N199" i="41" s="1"/>
  <c r="J199" i="41" a="1"/>
  <c r="J199" i="41" s="1"/>
  <c r="I199" i="41" a="1"/>
  <c r="I199" i="41" s="1"/>
  <c r="L199" i="176" s="1"/>
  <c r="G199" i="41" a="1"/>
  <c r="G199" i="41" s="1"/>
  <c r="F199" i="41" a="1"/>
  <c r="F199" i="41" s="1"/>
  <c r="W198" i="41" a="1"/>
  <c r="W198" i="41" s="1"/>
  <c r="V198" i="41" a="1"/>
  <c r="V198" i="41" s="1"/>
  <c r="U198" i="41" a="1"/>
  <c r="U198" i="41" s="1"/>
  <c r="S198" i="41" a="1"/>
  <c r="S198" i="41" s="1"/>
  <c r="R198" i="41" a="1"/>
  <c r="R198" i="41" s="1"/>
  <c r="Q198" i="41" a="1"/>
  <c r="Q198" i="41" s="1"/>
  <c r="P198" i="41" a="1"/>
  <c r="P198" i="41" s="1"/>
  <c r="N198" i="41" a="1"/>
  <c r="N198" i="41" s="1"/>
  <c r="J198" i="41" a="1"/>
  <c r="J198" i="41" s="1"/>
  <c r="I198" i="41" a="1"/>
  <c r="I198" i="41" s="1"/>
  <c r="L198" i="176" s="1"/>
  <c r="G198" i="41" a="1"/>
  <c r="G198" i="41" s="1"/>
  <c r="F198" i="41" a="1"/>
  <c r="F198" i="41" s="1"/>
  <c r="W197" i="41" a="1"/>
  <c r="W197" i="41" s="1"/>
  <c r="V197" i="41" a="1"/>
  <c r="V197" i="41" s="1"/>
  <c r="AC197" i="176" s="1"/>
  <c r="U197" i="41" a="1"/>
  <c r="U197" i="41" s="1"/>
  <c r="S197" i="41" a="1"/>
  <c r="S197" i="41" s="1"/>
  <c r="R197" i="41" a="1"/>
  <c r="R197" i="41" s="1"/>
  <c r="Q197" i="41" a="1"/>
  <c r="Q197" i="41" s="1"/>
  <c r="V197" i="176" s="1"/>
  <c r="P197" i="41" a="1"/>
  <c r="P197" i="41" s="1"/>
  <c r="N197" i="41" a="1"/>
  <c r="N197" i="41" s="1"/>
  <c r="J197" i="41" a="1"/>
  <c r="J197" i="41" s="1"/>
  <c r="M197" i="176" s="1"/>
  <c r="I197" i="41" a="1"/>
  <c r="I197" i="41" s="1"/>
  <c r="G197" i="41" a="1"/>
  <c r="G197" i="41" s="1"/>
  <c r="F197" i="41" a="1"/>
  <c r="F197" i="41" s="1"/>
  <c r="W196" i="41" a="1"/>
  <c r="W196" i="41" s="1"/>
  <c r="V196" i="41" a="1"/>
  <c r="V196" i="41" s="1"/>
  <c r="AC196" i="176" s="1"/>
  <c r="U196" i="41" a="1"/>
  <c r="U196" i="41" s="1"/>
  <c r="S196" i="41" a="1"/>
  <c r="S196" i="41" s="1"/>
  <c r="R196" i="41" a="1"/>
  <c r="R196" i="41" s="1"/>
  <c r="Q196" i="41" a="1"/>
  <c r="Q196" i="41" s="1"/>
  <c r="V196" i="176" s="1"/>
  <c r="P196" i="41" a="1"/>
  <c r="P196" i="41" s="1"/>
  <c r="U196" i="176" s="1"/>
  <c r="N196" i="41" a="1"/>
  <c r="N196" i="41" s="1"/>
  <c r="J196" i="41" a="1"/>
  <c r="J196" i="41" s="1"/>
  <c r="I196" i="41" a="1"/>
  <c r="I196" i="41" s="1"/>
  <c r="L196" i="176" s="1"/>
  <c r="G196" i="41" a="1"/>
  <c r="G196" i="41" s="1"/>
  <c r="F196" i="41" a="1"/>
  <c r="F196" i="41" s="1"/>
  <c r="W195" i="41" a="1"/>
  <c r="W195" i="41" s="1"/>
  <c r="V195" i="41" a="1"/>
  <c r="V195" i="41" s="1"/>
  <c r="AC195" i="176" s="1"/>
  <c r="U195" i="41" a="1"/>
  <c r="U195" i="41" s="1"/>
  <c r="S195" i="41" a="1"/>
  <c r="S195" i="41" s="1"/>
  <c r="R195" i="41" a="1"/>
  <c r="R195" i="41" s="1"/>
  <c r="Q195" i="41" a="1"/>
  <c r="Q195" i="41" s="1"/>
  <c r="V195" i="176" s="1"/>
  <c r="P195" i="41" a="1"/>
  <c r="P195" i="41" s="1"/>
  <c r="N195" i="41" a="1"/>
  <c r="N195" i="41" s="1"/>
  <c r="J195" i="41" a="1"/>
  <c r="J195" i="41" s="1"/>
  <c r="I195" i="41" a="1"/>
  <c r="I195" i="41" s="1"/>
  <c r="L195" i="176" s="1"/>
  <c r="G195" i="41" a="1"/>
  <c r="G195" i="41" s="1"/>
  <c r="F195" i="41" a="1"/>
  <c r="F195" i="41" s="1"/>
  <c r="W194" i="41" a="1"/>
  <c r="W194" i="41" s="1"/>
  <c r="V194" i="41" a="1"/>
  <c r="V194" i="41" s="1"/>
  <c r="AC194" i="176" s="1"/>
  <c r="U194" i="41" a="1"/>
  <c r="U194" i="41" s="1"/>
  <c r="S194" i="41" a="1"/>
  <c r="S194" i="41" s="1"/>
  <c r="R194" i="41" a="1"/>
  <c r="R194" i="41" s="1"/>
  <c r="Q194" i="41" a="1"/>
  <c r="Q194" i="41" s="1"/>
  <c r="V194" i="176" s="1"/>
  <c r="P194" i="41" a="1"/>
  <c r="P194" i="41" s="1"/>
  <c r="N194" i="41" a="1"/>
  <c r="N194" i="41" s="1"/>
  <c r="J194" i="41" a="1"/>
  <c r="J194" i="41" s="1"/>
  <c r="I194" i="41" a="1"/>
  <c r="I194" i="41" s="1"/>
  <c r="L194" i="176" s="1"/>
  <c r="G194" i="41" a="1"/>
  <c r="G194" i="41" s="1"/>
  <c r="F194" i="41" a="1"/>
  <c r="F194" i="41" s="1"/>
  <c r="W193" i="41" a="1"/>
  <c r="W193" i="41" s="1"/>
  <c r="V193" i="41" a="1"/>
  <c r="V193" i="41" s="1"/>
  <c r="U193" i="41" a="1"/>
  <c r="U193" i="41" s="1"/>
  <c r="S193" i="41" a="1"/>
  <c r="S193" i="41" s="1"/>
  <c r="R193" i="41" a="1"/>
  <c r="R193" i="41" s="1"/>
  <c r="Q193" i="41" a="1"/>
  <c r="Q193" i="41" s="1"/>
  <c r="V193" i="176" s="1"/>
  <c r="P193" i="41" a="1"/>
  <c r="P193" i="41" s="1"/>
  <c r="N193" i="41" a="1"/>
  <c r="N193" i="41" s="1"/>
  <c r="J193" i="41" a="1"/>
  <c r="J193" i="41" s="1"/>
  <c r="I193" i="41" a="1"/>
  <c r="I193" i="41" s="1"/>
  <c r="L193" i="176" s="1"/>
  <c r="G193" i="41" a="1"/>
  <c r="G193" i="41" s="1"/>
  <c r="H193" i="176" s="1"/>
  <c r="F193" i="41" a="1"/>
  <c r="F193" i="41" s="1"/>
  <c r="W192" i="41" a="1"/>
  <c r="W192" i="41" s="1"/>
  <c r="V192" i="41" a="1"/>
  <c r="V192" i="41" s="1"/>
  <c r="AC192" i="176" s="1"/>
  <c r="U192" i="41" a="1"/>
  <c r="U192" i="41" s="1"/>
  <c r="S192" i="41" a="1"/>
  <c r="S192" i="41" s="1"/>
  <c r="R192" i="41" a="1"/>
  <c r="R192" i="41" s="1"/>
  <c r="Q192" i="41" a="1"/>
  <c r="Q192" i="41" s="1"/>
  <c r="V192" i="176" s="1"/>
  <c r="P192" i="41" a="1"/>
  <c r="P192" i="41" s="1"/>
  <c r="N192" i="41" a="1"/>
  <c r="N192" i="41" s="1"/>
  <c r="J192" i="41" a="1"/>
  <c r="J192" i="41" s="1"/>
  <c r="I192" i="41" a="1"/>
  <c r="I192" i="41" s="1"/>
  <c r="L192" i="176" s="1"/>
  <c r="G192" i="41" a="1"/>
  <c r="G192" i="41" s="1"/>
  <c r="F192" i="41" a="1"/>
  <c r="F192" i="41" s="1"/>
  <c r="W191" i="41" a="1"/>
  <c r="W191" i="41" s="1"/>
  <c r="V191" i="41" a="1"/>
  <c r="V191" i="41" s="1"/>
  <c r="AC191" i="176" s="1"/>
  <c r="U191" i="41" a="1"/>
  <c r="U191" i="41" s="1"/>
  <c r="S191" i="41" a="1"/>
  <c r="S191" i="41" s="1"/>
  <c r="R191" i="41" a="1"/>
  <c r="R191" i="41" s="1"/>
  <c r="Q191" i="41" a="1"/>
  <c r="Q191" i="41" s="1"/>
  <c r="V191" i="176" s="1"/>
  <c r="P191" i="41" a="1"/>
  <c r="P191" i="41" s="1"/>
  <c r="N191" i="41" a="1"/>
  <c r="N191" i="41" s="1"/>
  <c r="J191" i="41" a="1"/>
  <c r="J191" i="41" s="1"/>
  <c r="M191" i="176" s="1"/>
  <c r="I191" i="41" a="1"/>
  <c r="I191" i="41" s="1"/>
  <c r="L191" i="176" s="1"/>
  <c r="G191" i="41" a="1"/>
  <c r="G191" i="41" s="1"/>
  <c r="F191" i="41" a="1"/>
  <c r="F191" i="41" s="1"/>
  <c r="W190" i="41" a="1"/>
  <c r="W190" i="41" s="1"/>
  <c r="V190" i="41" a="1"/>
  <c r="V190" i="41" s="1"/>
  <c r="AC190" i="176" s="1"/>
  <c r="U190" i="41" a="1"/>
  <c r="U190" i="41" s="1"/>
  <c r="S190" i="41" a="1"/>
  <c r="S190" i="41" s="1"/>
  <c r="R190" i="41" a="1"/>
  <c r="R190" i="41" s="1"/>
  <c r="Q190" i="41" a="1"/>
  <c r="Q190" i="41" s="1"/>
  <c r="V190" i="176" s="1"/>
  <c r="P190" i="41" a="1"/>
  <c r="P190" i="41" s="1"/>
  <c r="N190" i="41" a="1"/>
  <c r="N190" i="41" s="1"/>
  <c r="J190" i="41" a="1"/>
  <c r="J190" i="41" s="1"/>
  <c r="I190" i="41" a="1"/>
  <c r="I190" i="41" s="1"/>
  <c r="L190" i="176" s="1"/>
  <c r="G190" i="41" a="1"/>
  <c r="G190" i="41" s="1"/>
  <c r="F190" i="41" a="1"/>
  <c r="F190" i="41" s="1"/>
  <c r="W189" i="41" a="1"/>
  <c r="W189" i="41" s="1"/>
  <c r="AD189" i="176" s="1"/>
  <c r="V189" i="41" a="1"/>
  <c r="V189" i="41" s="1"/>
  <c r="AC189" i="176" s="1"/>
  <c r="U189" i="41" a="1"/>
  <c r="U189" i="41" s="1"/>
  <c r="S189" i="41" a="1"/>
  <c r="S189" i="41" s="1"/>
  <c r="R189" i="41" a="1"/>
  <c r="R189" i="41" s="1"/>
  <c r="Q189" i="41" a="1"/>
  <c r="Q189" i="41" s="1"/>
  <c r="V189" i="176" s="1"/>
  <c r="P189" i="41" a="1"/>
  <c r="P189" i="41" s="1"/>
  <c r="N189" i="41" a="1"/>
  <c r="N189" i="41" s="1"/>
  <c r="J189" i="41" a="1"/>
  <c r="J189" i="41" s="1"/>
  <c r="I189" i="41" a="1"/>
  <c r="I189" i="41" s="1"/>
  <c r="L189" i="176" s="1"/>
  <c r="G189" i="41" a="1"/>
  <c r="G189" i="41" s="1"/>
  <c r="F189" i="41" a="1"/>
  <c r="F189" i="41" s="1"/>
  <c r="W188" i="41" a="1"/>
  <c r="W188" i="41" s="1"/>
  <c r="V188" i="41" a="1"/>
  <c r="V188" i="41" s="1"/>
  <c r="AC188" i="176" s="1"/>
  <c r="U188" i="41" a="1"/>
  <c r="U188" i="41" s="1"/>
  <c r="S188" i="41" a="1"/>
  <c r="S188" i="41" s="1"/>
  <c r="R188" i="41" a="1"/>
  <c r="R188" i="41" s="1"/>
  <c r="W188" i="176" s="1"/>
  <c r="Q188" i="41" a="1"/>
  <c r="Q188" i="41" s="1"/>
  <c r="P188" i="41" a="1"/>
  <c r="P188" i="41" s="1"/>
  <c r="U188" i="176" s="1"/>
  <c r="N188" i="41" a="1"/>
  <c r="N188" i="41" s="1"/>
  <c r="J188" i="41" a="1"/>
  <c r="J188" i="41" s="1"/>
  <c r="I188" i="41" a="1"/>
  <c r="I188" i="41" s="1"/>
  <c r="L188" i="176" s="1"/>
  <c r="G188" i="41" a="1"/>
  <c r="G188" i="41" s="1"/>
  <c r="F188" i="41" a="1"/>
  <c r="F188" i="41" s="1"/>
  <c r="W187" i="41" a="1"/>
  <c r="W187" i="41" s="1"/>
  <c r="AD187" i="176" s="1"/>
  <c r="V187" i="41" a="1"/>
  <c r="V187" i="41" s="1"/>
  <c r="AC187" i="176" s="1"/>
  <c r="U187" i="41" a="1"/>
  <c r="U187" i="41" s="1"/>
  <c r="S187" i="41" a="1"/>
  <c r="S187" i="41" s="1"/>
  <c r="R187" i="41" a="1"/>
  <c r="R187" i="41" s="1"/>
  <c r="Q187" i="41" a="1"/>
  <c r="Q187" i="41" s="1"/>
  <c r="V187" i="176" s="1"/>
  <c r="P187" i="41" a="1"/>
  <c r="P187" i="41" s="1"/>
  <c r="N187" i="41" a="1"/>
  <c r="N187" i="41" s="1"/>
  <c r="J187" i="41" a="1"/>
  <c r="J187" i="41" s="1"/>
  <c r="I187" i="41" a="1"/>
  <c r="I187" i="41" s="1"/>
  <c r="L187" i="176" s="1"/>
  <c r="G187" i="41" a="1"/>
  <c r="G187" i="41" s="1"/>
  <c r="F187" i="41" a="1"/>
  <c r="F187" i="41" s="1"/>
  <c r="W186" i="41" a="1"/>
  <c r="W186" i="41" s="1"/>
  <c r="V186" i="41" a="1"/>
  <c r="V186" i="41" s="1"/>
  <c r="AC186" i="176" s="1"/>
  <c r="U186" i="41" a="1"/>
  <c r="U186" i="41" s="1"/>
  <c r="S186" i="41" a="1"/>
  <c r="S186" i="41" s="1"/>
  <c r="R186" i="41" a="1"/>
  <c r="R186" i="41" s="1"/>
  <c r="W186" i="176" s="1"/>
  <c r="Q186" i="41" a="1"/>
  <c r="Q186" i="41" s="1"/>
  <c r="V186" i="176" s="1"/>
  <c r="P186" i="41" a="1"/>
  <c r="P186" i="41" s="1"/>
  <c r="N186" i="41" a="1"/>
  <c r="N186" i="41" s="1"/>
  <c r="J186" i="41" a="1"/>
  <c r="J186" i="41" s="1"/>
  <c r="I186" i="41" a="1"/>
  <c r="I186" i="41" s="1"/>
  <c r="L186" i="176" s="1"/>
  <c r="G186" i="41" a="1"/>
  <c r="G186" i="41" s="1"/>
  <c r="F186" i="41" a="1"/>
  <c r="F186" i="41" s="1"/>
  <c r="W185" i="41" a="1"/>
  <c r="W185" i="41" s="1"/>
  <c r="AD185" i="176" s="1"/>
  <c r="V185" i="41" a="1"/>
  <c r="V185" i="41" s="1"/>
  <c r="AC185" i="176" s="1"/>
  <c r="U185" i="41" a="1"/>
  <c r="U185" i="41" s="1"/>
  <c r="AB185" i="176" s="1"/>
  <c r="S185" i="41" a="1"/>
  <c r="S185" i="41" s="1"/>
  <c r="R185" i="41" a="1"/>
  <c r="R185" i="41" s="1"/>
  <c r="Q185" i="41" a="1"/>
  <c r="Q185" i="41" s="1"/>
  <c r="V185" i="176" s="1"/>
  <c r="P185" i="41" a="1"/>
  <c r="P185" i="41" s="1"/>
  <c r="N185" i="41" a="1"/>
  <c r="N185" i="41" s="1"/>
  <c r="J185" i="41" a="1"/>
  <c r="J185" i="41" s="1"/>
  <c r="M185" i="176" s="1"/>
  <c r="I185" i="41" a="1"/>
  <c r="I185" i="41" s="1"/>
  <c r="L185" i="176" s="1"/>
  <c r="G185" i="41" a="1"/>
  <c r="G185" i="41" s="1"/>
  <c r="F185" i="41" a="1"/>
  <c r="F185" i="41" s="1"/>
  <c r="U184" i="41" a="1"/>
  <c r="U184" i="41" s="1"/>
  <c r="S184" i="41" a="1"/>
  <c r="S184" i="41" s="1"/>
  <c r="X184" i="176" s="1"/>
  <c r="R184" i="41" a="1"/>
  <c r="R184" i="41" s="1"/>
  <c r="Q184" i="41" a="1"/>
  <c r="Q184" i="41" s="1"/>
  <c r="P184" i="41" a="1"/>
  <c r="P184" i="41" s="1"/>
  <c r="N184" i="41" a="1"/>
  <c r="N184" i="41" s="1"/>
  <c r="S184" i="176" s="1"/>
  <c r="W183" i="41" a="1"/>
  <c r="W183" i="41" s="1"/>
  <c r="V183" i="41" a="1"/>
  <c r="V183" i="41" s="1"/>
  <c r="U183" i="41" a="1"/>
  <c r="U183" i="41" s="1"/>
  <c r="S183" i="41" a="1"/>
  <c r="S183" i="41" s="1"/>
  <c r="X183" i="176" s="1"/>
  <c r="R183" i="41" a="1"/>
  <c r="R183" i="41" s="1"/>
  <c r="Q183" i="41" a="1"/>
  <c r="Q183" i="41" s="1"/>
  <c r="P183" i="41" a="1"/>
  <c r="P183" i="41" s="1"/>
  <c r="U183" i="176" s="1"/>
  <c r="N183" i="41" a="1"/>
  <c r="N183" i="41" s="1"/>
  <c r="W182" i="41" a="1"/>
  <c r="W182" i="41" s="1"/>
  <c r="V182" i="41" a="1"/>
  <c r="V182" i="41" s="1"/>
  <c r="U182" i="41" a="1"/>
  <c r="U182" i="41" s="1"/>
  <c r="S182" i="41" a="1"/>
  <c r="S182" i="41" s="1"/>
  <c r="X182" i="176" s="1"/>
  <c r="R182" i="41" a="1"/>
  <c r="R182" i="41" s="1"/>
  <c r="Q182" i="41" a="1"/>
  <c r="Q182" i="41" s="1"/>
  <c r="P182" i="41" a="1"/>
  <c r="P182" i="41" s="1"/>
  <c r="N182" i="41" a="1"/>
  <c r="N182" i="41" s="1"/>
  <c r="S182" i="176" s="1"/>
  <c r="W181" i="41" a="1"/>
  <c r="W181" i="41" s="1"/>
  <c r="AD181" i="176" s="1"/>
  <c r="V181" i="41" a="1"/>
  <c r="V181" i="41" s="1"/>
  <c r="U181" i="41" a="1"/>
  <c r="U181" i="41" s="1"/>
  <c r="S181" i="41" a="1"/>
  <c r="S181" i="41" s="1"/>
  <c r="X181" i="176" s="1"/>
  <c r="R181" i="41" a="1"/>
  <c r="R181" i="41" s="1"/>
  <c r="Q181" i="41" a="1"/>
  <c r="Q181" i="41" s="1"/>
  <c r="P181" i="41" a="1"/>
  <c r="P181" i="41" s="1"/>
  <c r="N181" i="41" a="1"/>
  <c r="N181" i="41" s="1"/>
  <c r="S181" i="176" s="1"/>
  <c r="W180" i="41" a="1"/>
  <c r="W180" i="41" s="1"/>
  <c r="V180" i="41" a="1"/>
  <c r="V180" i="41" s="1"/>
  <c r="U180" i="41" a="1"/>
  <c r="U180" i="41" s="1"/>
  <c r="S180" i="41" a="1"/>
  <c r="S180" i="41" s="1"/>
  <c r="X180" i="176" s="1"/>
  <c r="R180" i="41" a="1"/>
  <c r="R180" i="41" s="1"/>
  <c r="Q180" i="41" a="1"/>
  <c r="Q180" i="41" s="1"/>
  <c r="P180" i="41" a="1"/>
  <c r="P180" i="41" s="1"/>
  <c r="N180" i="41" a="1"/>
  <c r="N180" i="41" s="1"/>
  <c r="S180" i="176" s="1"/>
  <c r="W179" i="41" a="1"/>
  <c r="W179" i="41" s="1"/>
  <c r="V179" i="41" a="1"/>
  <c r="V179" i="41" s="1"/>
  <c r="U179" i="41" a="1"/>
  <c r="U179" i="41" s="1"/>
  <c r="S179" i="41" a="1"/>
  <c r="S179" i="41" s="1"/>
  <c r="X179" i="176" s="1"/>
  <c r="R179" i="41" a="1"/>
  <c r="R179" i="41" s="1"/>
  <c r="Q179" i="41" a="1"/>
  <c r="Q179" i="41" s="1"/>
  <c r="P179" i="41" a="1"/>
  <c r="P179" i="41" s="1"/>
  <c r="N179" i="41" a="1"/>
  <c r="N179" i="41" s="1"/>
  <c r="S179" i="176" s="1"/>
  <c r="J179" i="41" a="1"/>
  <c r="J179" i="41" s="1"/>
  <c r="I179" i="41" a="1"/>
  <c r="I179" i="41" s="1"/>
  <c r="G179" i="41" a="1"/>
  <c r="G179" i="41" s="1"/>
  <c r="F179" i="41" a="1"/>
  <c r="F179" i="41" s="1"/>
  <c r="G179" i="176" s="1"/>
  <c r="W178" i="41" a="1"/>
  <c r="W178" i="41" s="1"/>
  <c r="V178" i="41" a="1"/>
  <c r="V178" i="41" s="1"/>
  <c r="U178" i="41" a="1"/>
  <c r="U178" i="41" s="1"/>
  <c r="AB178" i="176" s="1"/>
  <c r="S178" i="41" a="1"/>
  <c r="S178" i="41" s="1"/>
  <c r="X178" i="176" s="1"/>
  <c r="R178" i="41" a="1"/>
  <c r="R178" i="41" s="1"/>
  <c r="W178" i="176" s="1"/>
  <c r="Q178" i="41" a="1"/>
  <c r="Q178" i="41" s="1"/>
  <c r="P178" i="41" a="1"/>
  <c r="P178" i="41" s="1"/>
  <c r="N178" i="41" a="1"/>
  <c r="N178" i="41" s="1"/>
  <c r="S178" i="176" s="1"/>
  <c r="J178" i="41" a="1"/>
  <c r="J178" i="41" s="1"/>
  <c r="I178" i="41" a="1"/>
  <c r="I178" i="41" s="1"/>
  <c r="G178" i="41" a="1"/>
  <c r="G178" i="41" s="1"/>
  <c r="H178" i="176" s="1"/>
  <c r="F178" i="41" a="1"/>
  <c r="F178" i="41" s="1"/>
  <c r="G178" i="176" s="1"/>
  <c r="W177" i="41" a="1"/>
  <c r="W177" i="41" s="1"/>
  <c r="V177" i="41" a="1"/>
  <c r="V177" i="41" s="1"/>
  <c r="U177" i="41" a="1"/>
  <c r="U177" i="41" s="1"/>
  <c r="S177" i="41" a="1"/>
  <c r="S177" i="41" s="1"/>
  <c r="X177" i="176" s="1"/>
  <c r="R177" i="41" a="1"/>
  <c r="R177" i="41" s="1"/>
  <c r="Q177" i="41" a="1"/>
  <c r="Q177" i="41" s="1"/>
  <c r="P177" i="41" a="1"/>
  <c r="P177" i="41" s="1"/>
  <c r="U177" i="176" s="1"/>
  <c r="N177" i="41" a="1"/>
  <c r="N177" i="41" s="1"/>
  <c r="J177" i="41" a="1"/>
  <c r="J177" i="41" s="1"/>
  <c r="M177" i="176" s="1"/>
  <c r="I177" i="41" a="1"/>
  <c r="I177" i="41" s="1"/>
  <c r="G177" i="41" a="1"/>
  <c r="G177" i="41" s="1"/>
  <c r="F177" i="41" a="1"/>
  <c r="F177" i="41" s="1"/>
  <c r="G177" i="176" s="1"/>
  <c r="W176" i="41" a="1"/>
  <c r="W176" i="41" s="1"/>
  <c r="V176" i="41" a="1"/>
  <c r="V176" i="41" s="1"/>
  <c r="U176" i="41" a="1"/>
  <c r="U176" i="41" s="1"/>
  <c r="S176" i="41" a="1"/>
  <c r="S176" i="41" s="1"/>
  <c r="X176" i="176" s="1"/>
  <c r="R176" i="41" a="1"/>
  <c r="R176" i="41" s="1"/>
  <c r="Q176" i="41" a="1"/>
  <c r="Q176" i="41" s="1"/>
  <c r="P176" i="41" a="1"/>
  <c r="P176" i="41" s="1"/>
  <c r="N176" i="41" a="1"/>
  <c r="N176" i="41" s="1"/>
  <c r="S176" i="176" s="1"/>
  <c r="J176" i="41" a="1"/>
  <c r="J176" i="41" s="1"/>
  <c r="I176" i="41" a="1"/>
  <c r="I176" i="41" s="1"/>
  <c r="G176" i="41" a="1"/>
  <c r="G176" i="41" s="1"/>
  <c r="F176" i="41" a="1"/>
  <c r="F176" i="41" s="1"/>
  <c r="G176" i="176" s="1"/>
  <c r="W175" i="41" a="1"/>
  <c r="W175" i="41" s="1"/>
  <c r="V175" i="41" a="1"/>
  <c r="V175" i="41" s="1"/>
  <c r="U175" i="41" a="1"/>
  <c r="U175" i="41" s="1"/>
  <c r="S175" i="41" a="1"/>
  <c r="S175" i="41" s="1"/>
  <c r="X175" i="176" s="1"/>
  <c r="R175" i="41" a="1"/>
  <c r="R175" i="41" s="1"/>
  <c r="Q175" i="41" a="1"/>
  <c r="Q175" i="41" s="1"/>
  <c r="P175" i="41" a="1"/>
  <c r="P175" i="41" s="1"/>
  <c r="N175" i="41" a="1"/>
  <c r="N175" i="41" s="1"/>
  <c r="S175" i="176" s="1"/>
  <c r="J175" i="41" a="1"/>
  <c r="J175" i="41" s="1"/>
  <c r="I175" i="41" a="1"/>
  <c r="I175" i="41" s="1"/>
  <c r="G175" i="41" a="1"/>
  <c r="G175" i="41" s="1"/>
  <c r="F175" i="41" a="1"/>
  <c r="F175" i="41" s="1"/>
  <c r="G175" i="176" s="1"/>
  <c r="W174" i="41" a="1"/>
  <c r="W174" i="41" s="1"/>
  <c r="V174" i="41" a="1"/>
  <c r="V174" i="41" s="1"/>
  <c r="U174" i="41" a="1"/>
  <c r="U174" i="41" s="1"/>
  <c r="AB174" i="176" s="1"/>
  <c r="S174" i="41" a="1"/>
  <c r="S174" i="41" s="1"/>
  <c r="R174" i="41" a="1"/>
  <c r="R174" i="41" s="1"/>
  <c r="Q174" i="41" a="1"/>
  <c r="Q174" i="41" s="1"/>
  <c r="V174" i="176" s="1"/>
  <c r="P174" i="41" a="1"/>
  <c r="P174" i="41" s="1"/>
  <c r="U174" i="176" s="1"/>
  <c r="N174" i="41" a="1"/>
  <c r="N174" i="41" s="1"/>
  <c r="S174" i="176" s="1"/>
  <c r="J174" i="41" a="1"/>
  <c r="J174" i="41" s="1"/>
  <c r="M174" i="176" s="1"/>
  <c r="I174" i="41" a="1"/>
  <c r="I174" i="41" s="1"/>
  <c r="G174" i="41" a="1"/>
  <c r="G174" i="41" s="1"/>
  <c r="F174" i="41" a="1"/>
  <c r="F174" i="41" s="1"/>
  <c r="G174" i="176" s="1"/>
  <c r="W173" i="41" a="1"/>
  <c r="W173" i="41" s="1"/>
  <c r="AD173" i="176" s="1"/>
  <c r="V173" i="41" a="1"/>
  <c r="V173" i="41" s="1"/>
  <c r="U173" i="41" a="1"/>
  <c r="U173" i="41" s="1"/>
  <c r="S173" i="41" a="1"/>
  <c r="S173" i="41" s="1"/>
  <c r="X173" i="176" s="1"/>
  <c r="R173" i="41" a="1"/>
  <c r="R173" i="41" s="1"/>
  <c r="Q173" i="41" a="1"/>
  <c r="Q173" i="41" s="1"/>
  <c r="P173" i="41" a="1"/>
  <c r="P173" i="41" s="1"/>
  <c r="N173" i="41" a="1"/>
  <c r="N173" i="41" s="1"/>
  <c r="S173" i="176" s="1"/>
  <c r="J173" i="41" a="1"/>
  <c r="J173" i="41" s="1"/>
  <c r="I173" i="41" a="1"/>
  <c r="I173" i="41" s="1"/>
  <c r="G173" i="41" a="1"/>
  <c r="G173" i="41" s="1"/>
  <c r="F173" i="41" a="1"/>
  <c r="F173" i="41" s="1"/>
  <c r="G173" i="176" s="1"/>
  <c r="W172" i="41" a="1"/>
  <c r="W172" i="41" s="1"/>
  <c r="V172" i="41" a="1"/>
  <c r="V172" i="41" s="1"/>
  <c r="U172" i="41" a="1"/>
  <c r="U172" i="41" s="1"/>
  <c r="S172" i="41" a="1"/>
  <c r="S172" i="41" s="1"/>
  <c r="X172" i="176" s="1"/>
  <c r="R172" i="41" a="1"/>
  <c r="R172" i="41" s="1"/>
  <c r="W172" i="176" s="1"/>
  <c r="Q172" i="41" a="1"/>
  <c r="Q172" i="41" s="1"/>
  <c r="P172" i="41" a="1"/>
  <c r="P172" i="41" s="1"/>
  <c r="N172" i="41" a="1"/>
  <c r="N172" i="41" s="1"/>
  <c r="S172" i="176" s="1"/>
  <c r="J172" i="41" a="1"/>
  <c r="J172" i="41" s="1"/>
  <c r="I172" i="41" a="1"/>
  <c r="I172" i="41" s="1"/>
  <c r="G172" i="41" a="1"/>
  <c r="G172" i="41" s="1"/>
  <c r="H172" i="176" s="1"/>
  <c r="F172" i="41" a="1"/>
  <c r="F172" i="41" s="1"/>
  <c r="W171" i="41" a="1"/>
  <c r="W171" i="41" s="1"/>
  <c r="V171" i="41" a="1"/>
  <c r="V171" i="41" s="1"/>
  <c r="U171" i="41" a="1"/>
  <c r="U171" i="41" s="1"/>
  <c r="S171" i="41" a="1"/>
  <c r="S171" i="41" s="1"/>
  <c r="X171" i="176" s="1"/>
  <c r="R171" i="41" a="1"/>
  <c r="R171" i="41" s="1"/>
  <c r="Q171" i="41" a="1"/>
  <c r="Q171" i="41" s="1"/>
  <c r="P171" i="41" a="1"/>
  <c r="P171" i="41" s="1"/>
  <c r="N171" i="41" a="1"/>
  <c r="N171" i="41" s="1"/>
  <c r="S171" i="176" s="1"/>
  <c r="J171" i="41" a="1"/>
  <c r="J171" i="41" s="1"/>
  <c r="M171" i="176" s="1"/>
  <c r="I171" i="41" a="1"/>
  <c r="I171" i="41" s="1"/>
  <c r="G171" i="41" a="1"/>
  <c r="G171" i="41" s="1"/>
  <c r="F171" i="41" a="1"/>
  <c r="F171" i="41" s="1"/>
  <c r="G171" i="176" s="1"/>
  <c r="W170" i="41" a="1"/>
  <c r="W170" i="41" s="1"/>
  <c r="V170" i="41" a="1"/>
  <c r="V170" i="41" s="1"/>
  <c r="U170" i="41" a="1"/>
  <c r="U170" i="41" s="1"/>
  <c r="S170" i="41" a="1"/>
  <c r="S170" i="41" s="1"/>
  <c r="X170" i="176" s="1"/>
  <c r="R170" i="41" a="1"/>
  <c r="R170" i="41" s="1"/>
  <c r="Q170" i="41" a="1"/>
  <c r="Q170" i="41" s="1"/>
  <c r="P170" i="41" a="1"/>
  <c r="P170" i="41" s="1"/>
  <c r="N170" i="41" a="1"/>
  <c r="N170" i="41" s="1"/>
  <c r="S170" i="176" s="1"/>
  <c r="W169" i="41" a="1"/>
  <c r="W169" i="41" s="1"/>
  <c r="V169" i="41" a="1"/>
  <c r="V169" i="41" s="1"/>
  <c r="U169" i="41" a="1"/>
  <c r="U169" i="41" s="1"/>
  <c r="S169" i="41" a="1"/>
  <c r="S169" i="41" s="1"/>
  <c r="X169" i="176" s="1"/>
  <c r="R169" i="41" a="1"/>
  <c r="R169" i="41" s="1"/>
  <c r="Q169" i="41" a="1"/>
  <c r="Q169" i="41" s="1"/>
  <c r="P169" i="41" a="1"/>
  <c r="P169" i="41" s="1"/>
  <c r="N169" i="41" a="1"/>
  <c r="N169" i="41" s="1"/>
  <c r="S169" i="176" s="1"/>
  <c r="W168" i="41" a="1"/>
  <c r="W168" i="41" s="1"/>
  <c r="V168" i="41" a="1"/>
  <c r="V168" i="41" s="1"/>
  <c r="U168" i="41" a="1"/>
  <c r="U168" i="41" s="1"/>
  <c r="S168" i="41" a="1"/>
  <c r="S168" i="41" s="1"/>
  <c r="X168" i="176" s="1"/>
  <c r="R168" i="41" a="1"/>
  <c r="R168" i="41" s="1"/>
  <c r="Q168" i="41" a="1"/>
  <c r="Q168" i="41" s="1"/>
  <c r="P168" i="41" a="1"/>
  <c r="P168" i="41" s="1"/>
  <c r="N168" i="41" a="1"/>
  <c r="N168" i="41" s="1"/>
  <c r="S168" i="176" s="1"/>
  <c r="W167" i="41" a="1"/>
  <c r="W167" i="41" s="1"/>
  <c r="V167" i="41" a="1"/>
  <c r="V167" i="41" s="1"/>
  <c r="U167" i="41" a="1"/>
  <c r="U167" i="41" s="1"/>
  <c r="S167" i="41" a="1"/>
  <c r="S167" i="41" s="1"/>
  <c r="R167" i="41" a="1"/>
  <c r="R167" i="41" s="1"/>
  <c r="W167" i="176" s="1"/>
  <c r="Q167" i="41" a="1"/>
  <c r="Q167" i="41" s="1"/>
  <c r="P167" i="41" a="1"/>
  <c r="P167" i="41" s="1"/>
  <c r="N167" i="41" a="1"/>
  <c r="N167" i="41" s="1"/>
  <c r="S167" i="176" s="1"/>
  <c r="W166" i="41" a="1"/>
  <c r="W166" i="41" s="1"/>
  <c r="V166" i="41" a="1"/>
  <c r="V166" i="41" s="1"/>
  <c r="U166" i="41" a="1"/>
  <c r="U166" i="41" s="1"/>
  <c r="S166" i="41" a="1"/>
  <c r="S166" i="41" s="1"/>
  <c r="X166" i="176" s="1"/>
  <c r="R166" i="41" a="1"/>
  <c r="R166" i="41" s="1"/>
  <c r="Q166" i="41" a="1"/>
  <c r="Q166" i="41" s="1"/>
  <c r="P166" i="41" a="1"/>
  <c r="P166" i="41" s="1"/>
  <c r="N166" i="41" a="1"/>
  <c r="N166" i="41" s="1"/>
  <c r="S166" i="176" s="1"/>
  <c r="W165" i="41" a="1"/>
  <c r="W165" i="41" s="1"/>
  <c r="V165" i="41" a="1"/>
  <c r="V165" i="41" s="1"/>
  <c r="U165" i="41" a="1"/>
  <c r="U165" i="41" s="1"/>
  <c r="S165" i="41" a="1"/>
  <c r="S165" i="41" s="1"/>
  <c r="X165" i="176" s="1"/>
  <c r="R165" i="41" a="1"/>
  <c r="R165" i="41" s="1"/>
  <c r="Q165" i="41" a="1"/>
  <c r="Q165" i="41" s="1"/>
  <c r="P165" i="41" a="1"/>
  <c r="P165" i="41" s="1"/>
  <c r="N165" i="41" a="1"/>
  <c r="N165" i="41" s="1"/>
  <c r="S165" i="176" s="1"/>
  <c r="J165" i="41" a="1"/>
  <c r="J165" i="41" s="1"/>
  <c r="I165" i="41" a="1"/>
  <c r="I165" i="41" s="1"/>
  <c r="G165" i="41" a="1"/>
  <c r="G165" i="41" s="1"/>
  <c r="H165" i="176" s="1"/>
  <c r="F165" i="41" a="1"/>
  <c r="F165" i="41" s="1"/>
  <c r="G165" i="176" s="1"/>
  <c r="W164" i="41" a="1"/>
  <c r="W164" i="41" s="1"/>
  <c r="V164" i="41" a="1"/>
  <c r="V164" i="41" s="1"/>
  <c r="U164" i="41" a="1"/>
  <c r="U164" i="41" s="1"/>
  <c r="S164" i="41" a="1"/>
  <c r="S164" i="41" s="1"/>
  <c r="X164" i="176" s="1"/>
  <c r="R164" i="41" a="1"/>
  <c r="R164" i="41" s="1"/>
  <c r="Q164" i="41" a="1"/>
  <c r="Q164" i="41" s="1"/>
  <c r="P164" i="41" a="1"/>
  <c r="P164" i="41" s="1"/>
  <c r="N164" i="41" a="1"/>
  <c r="N164" i="41" s="1"/>
  <c r="S164" i="176" s="1"/>
  <c r="J164" i="41" a="1"/>
  <c r="J164" i="41" s="1"/>
  <c r="M164" i="176" s="1"/>
  <c r="I164" i="41" a="1"/>
  <c r="I164" i="41" s="1"/>
  <c r="G164" i="41" a="1"/>
  <c r="G164" i="41" s="1"/>
  <c r="F164" i="41" a="1"/>
  <c r="F164" i="41" s="1"/>
  <c r="G164" i="176" s="1"/>
  <c r="W163" i="41" a="1"/>
  <c r="W163" i="41" s="1"/>
  <c r="V163" i="41" a="1"/>
  <c r="V163" i="41" s="1"/>
  <c r="AC163" i="176" s="1"/>
  <c r="U163" i="41" a="1"/>
  <c r="U163" i="41" s="1"/>
  <c r="AB163" i="176" s="1"/>
  <c r="S163" i="41" a="1"/>
  <c r="S163" i="41" s="1"/>
  <c r="X163" i="176" s="1"/>
  <c r="R163" i="41" a="1"/>
  <c r="R163" i="41" s="1"/>
  <c r="Q163" i="41" a="1"/>
  <c r="Q163" i="41" s="1"/>
  <c r="P163" i="41" a="1"/>
  <c r="P163" i="41" s="1"/>
  <c r="N163" i="41" a="1"/>
  <c r="N163" i="41" s="1"/>
  <c r="S163" i="176" s="1"/>
  <c r="J163" i="41" a="1"/>
  <c r="J163" i="41" s="1"/>
  <c r="I163" i="41" a="1"/>
  <c r="I163" i="41" s="1"/>
  <c r="G163" i="41" a="1"/>
  <c r="G163" i="41" s="1"/>
  <c r="F163" i="41" a="1"/>
  <c r="F163" i="41" s="1"/>
  <c r="G163" i="176" s="1"/>
  <c r="W162" i="41" a="1"/>
  <c r="W162" i="41" s="1"/>
  <c r="V162" i="41" a="1"/>
  <c r="V162" i="41" s="1"/>
  <c r="U162" i="41" a="1"/>
  <c r="U162" i="41" s="1"/>
  <c r="S162" i="41" a="1"/>
  <c r="S162" i="41" s="1"/>
  <c r="X162" i="176" s="1"/>
  <c r="R162" i="41" a="1"/>
  <c r="R162" i="41" s="1"/>
  <c r="Q162" i="41" a="1"/>
  <c r="Q162" i="41" s="1"/>
  <c r="V162" i="176" s="1"/>
  <c r="P162" i="41" a="1"/>
  <c r="P162" i="41" s="1"/>
  <c r="N162" i="41" a="1"/>
  <c r="N162" i="41" s="1"/>
  <c r="J162" i="41" a="1"/>
  <c r="J162" i="41" s="1"/>
  <c r="I162" i="41" a="1"/>
  <c r="I162" i="41" s="1"/>
  <c r="G162" i="41" a="1"/>
  <c r="G162" i="41" s="1"/>
  <c r="H162" i="176" s="1"/>
  <c r="F162" i="41" a="1"/>
  <c r="F162" i="41" s="1"/>
  <c r="G162" i="176" s="1"/>
  <c r="W161" i="41" a="1"/>
  <c r="W161" i="41" s="1"/>
  <c r="V161" i="41" a="1"/>
  <c r="V161" i="41" s="1"/>
  <c r="U161" i="41" a="1"/>
  <c r="U161" i="41" s="1"/>
  <c r="S161" i="41" a="1"/>
  <c r="S161" i="41" s="1"/>
  <c r="X161" i="176" s="1"/>
  <c r="R161" i="41" a="1"/>
  <c r="R161" i="41" s="1"/>
  <c r="Q161" i="41" a="1"/>
  <c r="Q161" i="41" s="1"/>
  <c r="P161" i="41" a="1"/>
  <c r="P161" i="41" s="1"/>
  <c r="N161" i="41" a="1"/>
  <c r="N161" i="41" s="1"/>
  <c r="S161" i="176" s="1"/>
  <c r="J161" i="41" a="1"/>
  <c r="J161" i="41" s="1"/>
  <c r="I161" i="41" a="1"/>
  <c r="I161" i="41" s="1"/>
  <c r="G161" i="41" a="1"/>
  <c r="G161" i="41" s="1"/>
  <c r="H161" i="176" s="1"/>
  <c r="F161" i="41" a="1"/>
  <c r="F161" i="41" s="1"/>
  <c r="G161" i="176" s="1"/>
  <c r="W160" i="41" a="1"/>
  <c r="W160" i="41" s="1"/>
  <c r="V160" i="41" a="1"/>
  <c r="V160" i="41" s="1"/>
  <c r="U160" i="41" a="1"/>
  <c r="U160" i="41" s="1"/>
  <c r="S160" i="41" a="1"/>
  <c r="S160" i="41" s="1"/>
  <c r="X160" i="176" s="1"/>
  <c r="R160" i="41" a="1"/>
  <c r="R160" i="41" s="1"/>
  <c r="Q160" i="41" a="1"/>
  <c r="Q160" i="41" s="1"/>
  <c r="P160" i="41" a="1"/>
  <c r="P160" i="41" s="1"/>
  <c r="N160" i="41" a="1"/>
  <c r="N160" i="41" s="1"/>
  <c r="S160" i="176" s="1"/>
  <c r="J160" i="41" a="1"/>
  <c r="J160" i="41" s="1"/>
  <c r="I160" i="41" a="1"/>
  <c r="I160" i="41" s="1"/>
  <c r="G160" i="41" a="1"/>
  <c r="G160" i="41" s="1"/>
  <c r="F160" i="41" a="1"/>
  <c r="F160" i="41" s="1"/>
  <c r="G160" i="176" s="1"/>
  <c r="W159" i="41" a="1"/>
  <c r="W159" i="41" s="1"/>
  <c r="V159" i="41" a="1"/>
  <c r="V159" i="41" s="1"/>
  <c r="U159" i="41" a="1"/>
  <c r="U159" i="41" s="1"/>
  <c r="AB159" i="176" s="1"/>
  <c r="S159" i="41" a="1"/>
  <c r="S159" i="41" s="1"/>
  <c r="X159" i="176" s="1"/>
  <c r="R159" i="41" a="1"/>
  <c r="R159" i="41" s="1"/>
  <c r="Q159" i="41" a="1"/>
  <c r="Q159" i="41" s="1"/>
  <c r="P159" i="41" a="1"/>
  <c r="P159" i="41" s="1"/>
  <c r="N159" i="41" a="1"/>
  <c r="N159" i="41" s="1"/>
  <c r="S159" i="176" s="1"/>
  <c r="J159" i="41" a="1"/>
  <c r="J159" i="41" s="1"/>
  <c r="M159" i="176" s="1"/>
  <c r="I159" i="41" a="1"/>
  <c r="I159" i="41" s="1"/>
  <c r="L159" i="176" s="1"/>
  <c r="G159" i="41" a="1"/>
  <c r="G159" i="41" s="1"/>
  <c r="H159" i="176" s="1"/>
  <c r="F159" i="41" a="1"/>
  <c r="F159" i="41" s="1"/>
  <c r="W158" i="41" a="1"/>
  <c r="W158" i="41" s="1"/>
  <c r="AD158" i="176" s="1"/>
  <c r="V158" i="41" a="1"/>
  <c r="V158" i="41" s="1"/>
  <c r="U158" i="41" a="1"/>
  <c r="U158" i="41" s="1"/>
  <c r="S158" i="41" a="1"/>
  <c r="S158" i="41" s="1"/>
  <c r="X158" i="176" s="1"/>
  <c r="R158" i="41" a="1"/>
  <c r="R158" i="41" s="1"/>
  <c r="Q158" i="41" a="1"/>
  <c r="Q158" i="41" s="1"/>
  <c r="P158" i="41" a="1"/>
  <c r="P158" i="41" s="1"/>
  <c r="U158" i="176" s="1"/>
  <c r="N158" i="41" a="1"/>
  <c r="N158" i="41" s="1"/>
  <c r="S158" i="176" s="1"/>
  <c r="J158" i="41" a="1"/>
  <c r="J158" i="41" s="1"/>
  <c r="I158" i="41" a="1"/>
  <c r="I158" i="41" s="1"/>
  <c r="G158" i="41" a="1"/>
  <c r="G158" i="41" s="1"/>
  <c r="F158" i="41" a="1"/>
  <c r="F158" i="41" s="1"/>
  <c r="G158" i="176" s="1"/>
  <c r="W157" i="41" a="1"/>
  <c r="W157" i="41" s="1"/>
  <c r="V157" i="41" a="1"/>
  <c r="V157" i="41" s="1"/>
  <c r="U157" i="41" a="1"/>
  <c r="U157" i="41" s="1"/>
  <c r="AB157" i="176" s="1"/>
  <c r="S157" i="41" a="1"/>
  <c r="S157" i="41" s="1"/>
  <c r="R157" i="41" a="1"/>
  <c r="R157" i="41" s="1"/>
  <c r="Q157" i="41" a="1"/>
  <c r="Q157" i="41" s="1"/>
  <c r="P157" i="41" a="1"/>
  <c r="P157" i="41" s="1"/>
  <c r="N157" i="41" a="1"/>
  <c r="N157" i="41" s="1"/>
  <c r="S157" i="176" s="1"/>
  <c r="J157" i="41" a="1"/>
  <c r="J157" i="41" s="1"/>
  <c r="I157" i="41" a="1"/>
  <c r="I157" i="41" s="1"/>
  <c r="G157" i="41" a="1"/>
  <c r="G157" i="41" s="1"/>
  <c r="H157" i="176" s="1"/>
  <c r="F157" i="41" a="1"/>
  <c r="F157" i="41" s="1"/>
  <c r="G157" i="176" s="1"/>
  <c r="W156" i="41" a="1"/>
  <c r="W156" i="41" s="1"/>
  <c r="V156" i="41" a="1"/>
  <c r="V156" i="41" s="1"/>
  <c r="U156" i="41" a="1"/>
  <c r="U156" i="41" s="1"/>
  <c r="S156" i="41" a="1"/>
  <c r="S156" i="41" s="1"/>
  <c r="X156" i="176" s="1"/>
  <c r="R156" i="41" a="1"/>
  <c r="R156" i="41" s="1"/>
  <c r="Q156" i="41" a="1"/>
  <c r="Q156" i="41" s="1"/>
  <c r="P156" i="41" a="1"/>
  <c r="P156" i="41" s="1"/>
  <c r="U156" i="176" s="1"/>
  <c r="N156" i="41" a="1"/>
  <c r="N156" i="41" s="1"/>
  <c r="S156" i="176" s="1"/>
  <c r="W155" i="41" a="1"/>
  <c r="W155" i="41" s="1"/>
  <c r="AD155" i="176" s="1"/>
  <c r="V155" i="41" a="1"/>
  <c r="V155" i="41" s="1"/>
  <c r="U155" i="41" a="1"/>
  <c r="U155" i="41" s="1"/>
  <c r="AB155" i="176" s="1"/>
  <c r="S155" i="41" a="1"/>
  <c r="S155" i="41" s="1"/>
  <c r="X155" i="176" s="1"/>
  <c r="R155" i="41" a="1"/>
  <c r="R155" i="41" s="1"/>
  <c r="Q155" i="41" a="1"/>
  <c r="Q155" i="41" s="1"/>
  <c r="P155" i="41" a="1"/>
  <c r="P155" i="41" s="1"/>
  <c r="U155" i="176" s="1"/>
  <c r="N155" i="41" a="1"/>
  <c r="N155" i="41" s="1"/>
  <c r="S155" i="176" s="1"/>
  <c r="W154" i="41" a="1"/>
  <c r="W154" i="41" s="1"/>
  <c r="V154" i="41" a="1"/>
  <c r="V154" i="41" s="1"/>
  <c r="U154" i="41" a="1"/>
  <c r="U154" i="41" s="1"/>
  <c r="S154" i="41" a="1"/>
  <c r="S154" i="41" s="1"/>
  <c r="X154" i="176" s="1"/>
  <c r="R154" i="41" a="1"/>
  <c r="R154" i="41" s="1"/>
  <c r="Q154" i="41" a="1"/>
  <c r="Q154" i="41" s="1"/>
  <c r="V154" i="176" s="1"/>
  <c r="P154" i="41" a="1"/>
  <c r="P154" i="41" s="1"/>
  <c r="N154" i="41" a="1"/>
  <c r="N154" i="41" s="1"/>
  <c r="W153" i="41" a="1"/>
  <c r="W153" i="41" s="1"/>
  <c r="V153" i="41" a="1"/>
  <c r="V153" i="41" s="1"/>
  <c r="U153" i="41" a="1"/>
  <c r="U153" i="41" s="1"/>
  <c r="AB153" i="176" s="1"/>
  <c r="S153" i="41" a="1"/>
  <c r="S153" i="41" s="1"/>
  <c r="X153" i="176" s="1"/>
  <c r="R153" i="41" a="1"/>
  <c r="R153" i="41" s="1"/>
  <c r="Q153" i="41" a="1"/>
  <c r="Q153" i="41" s="1"/>
  <c r="V153" i="176" s="1"/>
  <c r="P153" i="41" a="1"/>
  <c r="P153" i="41" s="1"/>
  <c r="U153" i="176" s="1"/>
  <c r="N153" i="41" a="1"/>
  <c r="N153" i="41" s="1"/>
  <c r="S153" i="176" s="1"/>
  <c r="W152" i="41" a="1"/>
  <c r="W152" i="41" s="1"/>
  <c r="AD152" i="176" s="1"/>
  <c r="V152" i="41" a="1"/>
  <c r="V152" i="41" s="1"/>
  <c r="U152" i="41" a="1"/>
  <c r="U152" i="41" s="1"/>
  <c r="S152" i="41" a="1"/>
  <c r="S152" i="41" s="1"/>
  <c r="X152" i="176" s="1"/>
  <c r="R152" i="41" a="1"/>
  <c r="R152" i="41" s="1"/>
  <c r="Q152" i="41" a="1"/>
  <c r="Q152" i="41" s="1"/>
  <c r="P152" i="41" a="1"/>
  <c r="P152" i="41" s="1"/>
  <c r="U152" i="176" s="1"/>
  <c r="N152" i="41" a="1"/>
  <c r="N152" i="41" s="1"/>
  <c r="S152" i="176" s="1"/>
  <c r="W151" i="41" a="1"/>
  <c r="W151" i="41" s="1"/>
  <c r="V151" i="41" a="1"/>
  <c r="V151" i="41" s="1"/>
  <c r="U151" i="41" a="1"/>
  <c r="U151" i="41" s="1"/>
  <c r="S151" i="41" a="1"/>
  <c r="S151" i="41" s="1"/>
  <c r="X151" i="176" s="1"/>
  <c r="R151" i="41" a="1"/>
  <c r="R151" i="41" s="1"/>
  <c r="Q151" i="41" a="1"/>
  <c r="Q151" i="41" s="1"/>
  <c r="P151" i="41" a="1"/>
  <c r="P151" i="41" s="1"/>
  <c r="U151" i="176" s="1"/>
  <c r="N151" i="41" a="1"/>
  <c r="N151" i="41" s="1"/>
  <c r="S151" i="176" s="1"/>
  <c r="J151" i="41" a="1"/>
  <c r="J151" i="41" s="1"/>
  <c r="I151" i="41" a="1"/>
  <c r="I151" i="41" s="1"/>
  <c r="G151" i="41" a="1"/>
  <c r="G151" i="41" s="1"/>
  <c r="H151" i="176" s="1"/>
  <c r="F151" i="41" a="1"/>
  <c r="F151" i="41" s="1"/>
  <c r="G151" i="176" s="1"/>
  <c r="W150" i="41" a="1"/>
  <c r="W150" i="41" s="1"/>
  <c r="V150" i="41" a="1"/>
  <c r="V150" i="41" s="1"/>
  <c r="AC150" i="176" s="1"/>
  <c r="U150" i="41" a="1"/>
  <c r="U150" i="41" s="1"/>
  <c r="S150" i="41" a="1"/>
  <c r="S150" i="41" s="1"/>
  <c r="X150" i="176" s="1"/>
  <c r="R150" i="41" a="1"/>
  <c r="R150" i="41" s="1"/>
  <c r="Q150" i="41" a="1"/>
  <c r="Q150" i="41" s="1"/>
  <c r="P150" i="41" a="1"/>
  <c r="P150" i="41" s="1"/>
  <c r="N150" i="41" a="1"/>
  <c r="N150" i="41" s="1"/>
  <c r="S150" i="176" s="1"/>
  <c r="J150" i="41" a="1"/>
  <c r="J150" i="41" s="1"/>
  <c r="M150" i="176" s="1"/>
  <c r="I150" i="41" a="1"/>
  <c r="I150" i="41" s="1"/>
  <c r="G150" i="41" a="1"/>
  <c r="G150" i="41" s="1"/>
  <c r="H150" i="176" s="1"/>
  <c r="F150" i="41" a="1"/>
  <c r="F150" i="41" s="1"/>
  <c r="G150" i="176" s="1"/>
  <c r="W149" i="41" a="1"/>
  <c r="W149" i="41" s="1"/>
  <c r="AD149" i="176" s="1"/>
  <c r="V149" i="41" a="1"/>
  <c r="V149" i="41" s="1"/>
  <c r="U149" i="41" a="1"/>
  <c r="U149" i="41" s="1"/>
  <c r="AB149" i="176" s="1"/>
  <c r="S149" i="41" a="1"/>
  <c r="S149" i="41" s="1"/>
  <c r="X149" i="176" s="1"/>
  <c r="R149" i="41" a="1"/>
  <c r="R149" i="41" s="1"/>
  <c r="Q149" i="41" a="1"/>
  <c r="Q149" i="41" s="1"/>
  <c r="P149" i="41" a="1"/>
  <c r="P149" i="41" s="1"/>
  <c r="N149" i="41" a="1"/>
  <c r="N149" i="41" s="1"/>
  <c r="S149" i="176" s="1"/>
  <c r="J149" i="41" a="1"/>
  <c r="J149" i="41" s="1"/>
  <c r="M149" i="176" s="1"/>
  <c r="I149" i="41" a="1"/>
  <c r="I149" i="41" s="1"/>
  <c r="G149" i="41" a="1"/>
  <c r="G149" i="41" s="1"/>
  <c r="F149" i="41" a="1"/>
  <c r="F149" i="41" s="1"/>
  <c r="G149" i="176" s="1"/>
  <c r="W148" i="41" a="1"/>
  <c r="W148" i="41" s="1"/>
  <c r="V148" i="41" a="1"/>
  <c r="V148" i="41" s="1"/>
  <c r="U148" i="41" a="1"/>
  <c r="U148" i="41" s="1"/>
  <c r="S148" i="41" a="1"/>
  <c r="S148" i="41" s="1"/>
  <c r="X148" i="176" s="1"/>
  <c r="R148" i="41" a="1"/>
  <c r="R148" i="41" s="1"/>
  <c r="W148" i="176" s="1"/>
  <c r="Q148" i="41" a="1"/>
  <c r="Q148" i="41" s="1"/>
  <c r="P148" i="41" a="1"/>
  <c r="P148" i="41" s="1"/>
  <c r="N148" i="41" a="1"/>
  <c r="N148" i="41" s="1"/>
  <c r="S148" i="176" s="1"/>
  <c r="J148" i="41" a="1"/>
  <c r="J148" i="41" s="1"/>
  <c r="I148" i="41" a="1"/>
  <c r="I148" i="41" s="1"/>
  <c r="G148" i="41" a="1"/>
  <c r="G148" i="41" s="1"/>
  <c r="F148" i="41" a="1"/>
  <c r="F148" i="41" s="1"/>
  <c r="G148" i="176" s="1"/>
  <c r="W147" i="41" a="1"/>
  <c r="W147" i="41" s="1"/>
  <c r="V147" i="41" a="1"/>
  <c r="V147" i="41" s="1"/>
  <c r="U147" i="41" a="1"/>
  <c r="U147" i="41" s="1"/>
  <c r="AB147" i="176" s="1"/>
  <c r="S147" i="41" a="1"/>
  <c r="S147" i="41" s="1"/>
  <c r="X147" i="176" s="1"/>
  <c r="R147" i="41" a="1"/>
  <c r="R147" i="41" s="1"/>
  <c r="Q147" i="41" a="1"/>
  <c r="Q147" i="41" s="1"/>
  <c r="V147" i="176" s="1"/>
  <c r="P147" i="41" a="1"/>
  <c r="P147" i="41" s="1"/>
  <c r="N147" i="41" a="1"/>
  <c r="N147" i="41" s="1"/>
  <c r="J147" i="41" a="1"/>
  <c r="J147" i="41" s="1"/>
  <c r="I147" i="41" a="1"/>
  <c r="I147" i="41" s="1"/>
  <c r="G147" i="41" a="1"/>
  <c r="G147" i="41" s="1"/>
  <c r="H147" i="176" s="1"/>
  <c r="F147" i="41" a="1"/>
  <c r="F147" i="41" s="1"/>
  <c r="G147" i="176" s="1"/>
  <c r="W146" i="41" a="1"/>
  <c r="W146" i="41" s="1"/>
  <c r="V146" i="41" a="1"/>
  <c r="V146" i="41" s="1"/>
  <c r="U146" i="41" a="1"/>
  <c r="U146" i="41" s="1"/>
  <c r="AB146" i="176" s="1"/>
  <c r="S146" i="41" a="1"/>
  <c r="S146" i="41" s="1"/>
  <c r="X146" i="176" s="1"/>
  <c r="R146" i="41" a="1"/>
  <c r="R146" i="41" s="1"/>
  <c r="Q146" i="41" a="1"/>
  <c r="Q146" i="41" s="1"/>
  <c r="P146" i="41" a="1"/>
  <c r="P146" i="41" s="1"/>
  <c r="N146" i="41" a="1"/>
  <c r="N146" i="41" s="1"/>
  <c r="S146" i="176" s="1"/>
  <c r="J146" i="41" a="1"/>
  <c r="J146" i="41" s="1"/>
  <c r="I146" i="41" a="1"/>
  <c r="I146" i="41" s="1"/>
  <c r="G146" i="41" a="1"/>
  <c r="G146" i="41" s="1"/>
  <c r="H146" i="176" s="1"/>
  <c r="F146" i="41" a="1"/>
  <c r="F146" i="41" s="1"/>
  <c r="G146" i="176" s="1"/>
  <c r="W145" i="41" a="1"/>
  <c r="W145" i="41" s="1"/>
  <c r="AD145" i="176" s="1"/>
  <c r="V145" i="41" a="1"/>
  <c r="V145" i="41" s="1"/>
  <c r="U145" i="41" a="1"/>
  <c r="U145" i="41" s="1"/>
  <c r="S145" i="41" a="1"/>
  <c r="S145" i="41" s="1"/>
  <c r="X145" i="176" s="1"/>
  <c r="R145" i="41" a="1"/>
  <c r="R145" i="41" s="1"/>
  <c r="Q145" i="41" a="1"/>
  <c r="Q145" i="41" s="1"/>
  <c r="P145" i="41" a="1"/>
  <c r="P145" i="41" s="1"/>
  <c r="U145" i="176" s="1"/>
  <c r="N145" i="41" a="1"/>
  <c r="N145" i="41" s="1"/>
  <c r="S145" i="176" s="1"/>
  <c r="J145" i="41" a="1"/>
  <c r="J145" i="41" s="1"/>
  <c r="I145" i="41" a="1"/>
  <c r="I145" i="41" s="1"/>
  <c r="G145" i="41" a="1"/>
  <c r="G145" i="41" s="1"/>
  <c r="F145" i="41" a="1"/>
  <c r="F145" i="41" s="1"/>
  <c r="G145" i="176" s="1"/>
  <c r="W144" i="41" a="1"/>
  <c r="W144" i="41" s="1"/>
  <c r="V144" i="41" a="1"/>
  <c r="V144" i="41" s="1"/>
  <c r="U144" i="41" a="1"/>
  <c r="U144" i="41" s="1"/>
  <c r="AB144" i="176" s="1"/>
  <c r="S144" i="41" a="1"/>
  <c r="S144" i="41" s="1"/>
  <c r="X144" i="176" s="1"/>
  <c r="R144" i="41" a="1"/>
  <c r="R144" i="41" s="1"/>
  <c r="Q144" i="41" a="1"/>
  <c r="Q144" i="41" s="1"/>
  <c r="P144" i="41" a="1"/>
  <c r="P144" i="41" s="1"/>
  <c r="U144" i="176" s="1"/>
  <c r="N144" i="41" a="1"/>
  <c r="N144" i="41" s="1"/>
  <c r="S144" i="176" s="1"/>
  <c r="J144" i="41" a="1"/>
  <c r="J144" i="41" s="1"/>
  <c r="M144" i="176" s="1"/>
  <c r="I144" i="41" a="1"/>
  <c r="I144" i="41" s="1"/>
  <c r="L144" i="176" s="1"/>
  <c r="G144" i="41" a="1"/>
  <c r="G144" i="41" s="1"/>
  <c r="H144" i="176" s="1"/>
  <c r="F144" i="41" a="1"/>
  <c r="F144" i="41" s="1"/>
  <c r="G144" i="176" s="1"/>
  <c r="W143" i="41" a="1"/>
  <c r="W143" i="41" s="1"/>
  <c r="AD143" i="176" s="1"/>
  <c r="V143" i="41" a="1"/>
  <c r="V143" i="41" s="1"/>
  <c r="U143" i="41" a="1"/>
  <c r="U143" i="41" s="1"/>
  <c r="S143" i="41" a="1"/>
  <c r="S143" i="41" s="1"/>
  <c r="X143" i="176" s="1"/>
  <c r="R143" i="41" a="1"/>
  <c r="R143" i="41" s="1"/>
  <c r="Q143" i="41" a="1"/>
  <c r="Q143" i="41" s="1"/>
  <c r="V143" i="176" s="1"/>
  <c r="P143" i="41" a="1"/>
  <c r="P143" i="41" s="1"/>
  <c r="U143" i="176" s="1"/>
  <c r="N143" i="41" a="1"/>
  <c r="N143" i="41" s="1"/>
  <c r="S143" i="176" s="1"/>
  <c r="J143" i="41" a="1"/>
  <c r="J143" i="41" s="1"/>
  <c r="M143" i="176" s="1"/>
  <c r="I143" i="41" a="1"/>
  <c r="I143" i="41" s="1"/>
  <c r="G143" i="41" a="1"/>
  <c r="G143" i="41" s="1"/>
  <c r="H143" i="176" s="1"/>
  <c r="F143" i="41" a="1"/>
  <c r="F143" i="41" s="1"/>
  <c r="G143" i="176" s="1"/>
  <c r="W142" i="41" a="1"/>
  <c r="W142" i="41" s="1"/>
  <c r="V142" i="41" a="1"/>
  <c r="V142" i="41" s="1"/>
  <c r="U142" i="41" a="1"/>
  <c r="U142" i="41" s="1"/>
  <c r="S142" i="41" a="1"/>
  <c r="S142" i="41" s="1"/>
  <c r="X142" i="176" s="1"/>
  <c r="R142" i="41" a="1"/>
  <c r="R142" i="41" s="1"/>
  <c r="Q142" i="41" a="1"/>
  <c r="Q142" i="41" s="1"/>
  <c r="P142" i="41" a="1"/>
  <c r="P142" i="41" s="1"/>
  <c r="N142" i="41" a="1"/>
  <c r="N142" i="41" s="1"/>
  <c r="S142" i="176" s="1"/>
  <c r="W141" i="41" a="1"/>
  <c r="W141" i="41" s="1"/>
  <c r="V141" i="41" a="1"/>
  <c r="V141" i="41" s="1"/>
  <c r="U141" i="41" a="1"/>
  <c r="U141" i="41" s="1"/>
  <c r="AB141" i="176" s="1"/>
  <c r="S141" i="41" a="1"/>
  <c r="S141" i="41" s="1"/>
  <c r="R141" i="41" a="1"/>
  <c r="R141" i="41" s="1"/>
  <c r="W141" i="176" s="1"/>
  <c r="Q141" i="41" a="1"/>
  <c r="Q141" i="41" s="1"/>
  <c r="P141" i="41" a="1"/>
  <c r="P141" i="41" s="1"/>
  <c r="N141" i="41" a="1"/>
  <c r="N141" i="41" s="1"/>
  <c r="S141" i="176" s="1"/>
  <c r="W140" i="41" a="1"/>
  <c r="W140" i="41" s="1"/>
  <c r="V140" i="41" a="1"/>
  <c r="V140" i="41" s="1"/>
  <c r="U140" i="41" a="1"/>
  <c r="U140" i="41" s="1"/>
  <c r="AB140" i="176" s="1"/>
  <c r="S140" i="41" a="1"/>
  <c r="S140" i="41" s="1"/>
  <c r="X140" i="176" s="1"/>
  <c r="R140" i="41" a="1"/>
  <c r="R140" i="41" s="1"/>
  <c r="W140" i="176" s="1"/>
  <c r="Q140" i="41" a="1"/>
  <c r="Q140" i="41" s="1"/>
  <c r="P140" i="41" a="1"/>
  <c r="P140" i="41" s="1"/>
  <c r="N140" i="41" a="1"/>
  <c r="N140" i="41" s="1"/>
  <c r="S140" i="176" s="1"/>
  <c r="W139" i="41" a="1"/>
  <c r="W139" i="41" s="1"/>
  <c r="V139" i="41" a="1"/>
  <c r="V139" i="41" s="1"/>
  <c r="U139" i="41" a="1"/>
  <c r="U139" i="41" s="1"/>
  <c r="AB139" i="176" s="1"/>
  <c r="S139" i="41" a="1"/>
  <c r="S139" i="41" s="1"/>
  <c r="X139" i="176" s="1"/>
  <c r="R139" i="41" a="1"/>
  <c r="R139" i="41" s="1"/>
  <c r="Q139" i="41" a="1"/>
  <c r="Q139" i="41" s="1"/>
  <c r="P139" i="41" a="1"/>
  <c r="P139" i="41" s="1"/>
  <c r="N139" i="41" a="1"/>
  <c r="N139" i="41" s="1"/>
  <c r="S139" i="176" s="1"/>
  <c r="W138" i="41" a="1"/>
  <c r="W138" i="41" s="1"/>
  <c r="V138" i="41" a="1"/>
  <c r="V138" i="41" s="1"/>
  <c r="AC138" i="176" s="1"/>
  <c r="U138" i="41" a="1"/>
  <c r="U138" i="41" s="1"/>
  <c r="S138" i="41" a="1"/>
  <c r="S138" i="41" s="1"/>
  <c r="X138" i="176" s="1"/>
  <c r="R138" i="41" a="1"/>
  <c r="R138" i="41" s="1"/>
  <c r="W138" i="176" s="1"/>
  <c r="Q138" i="41" a="1"/>
  <c r="Q138" i="41" s="1"/>
  <c r="P138" i="41" a="1"/>
  <c r="P138" i="41" s="1"/>
  <c r="N138" i="41" a="1"/>
  <c r="N138" i="41" s="1"/>
  <c r="S138" i="176" s="1"/>
  <c r="W137" i="41" a="1"/>
  <c r="W137" i="41" s="1"/>
  <c r="V137" i="41" a="1"/>
  <c r="V137" i="41" s="1"/>
  <c r="AC137" i="176" s="1"/>
  <c r="U137" i="41" a="1"/>
  <c r="U137" i="41" s="1"/>
  <c r="AB137" i="176" s="1"/>
  <c r="C86" i="177" s="1"/>
  <c r="S137" i="41" a="1"/>
  <c r="S137" i="41" s="1"/>
  <c r="X137" i="176" s="1"/>
  <c r="R137" i="41" a="1"/>
  <c r="R137" i="41" s="1"/>
  <c r="Q137" i="41" a="1"/>
  <c r="Q137" i="41" s="1"/>
  <c r="P137" i="41" a="1"/>
  <c r="P137" i="41" s="1"/>
  <c r="U137" i="176" s="1"/>
  <c r="N137" i="41" a="1"/>
  <c r="N137" i="41" s="1"/>
  <c r="S137" i="176" s="1"/>
  <c r="J137" i="41" a="1"/>
  <c r="J137" i="41" s="1"/>
  <c r="I137" i="41" a="1"/>
  <c r="I137" i="41" s="1"/>
  <c r="L137" i="176" s="1"/>
  <c r="G137" i="41" a="1"/>
  <c r="G137" i="41" s="1"/>
  <c r="H137" i="176" s="1"/>
  <c r="F137" i="41" a="1"/>
  <c r="F137" i="41" s="1"/>
  <c r="G137" i="176" s="1"/>
  <c r="W136" i="41" a="1"/>
  <c r="W136" i="41" s="1"/>
  <c r="V136" i="41" a="1"/>
  <c r="V136" i="41" s="1"/>
  <c r="U136" i="41" a="1"/>
  <c r="U136" i="41" s="1"/>
  <c r="AB136" i="176" s="1"/>
  <c r="S136" i="41" a="1"/>
  <c r="S136" i="41" s="1"/>
  <c r="X136" i="176" s="1"/>
  <c r="R136" i="41" a="1"/>
  <c r="R136" i="41" s="1"/>
  <c r="Q136" i="41" a="1"/>
  <c r="Q136" i="41" s="1"/>
  <c r="V136" i="176" s="1"/>
  <c r="P136" i="41" a="1"/>
  <c r="P136" i="41" s="1"/>
  <c r="U136" i="176" s="1"/>
  <c r="N136" i="41" a="1"/>
  <c r="N136" i="41" s="1"/>
  <c r="S136" i="176" s="1"/>
  <c r="J136" i="41" a="1"/>
  <c r="J136" i="41" s="1"/>
  <c r="M136" i="176" s="1"/>
  <c r="I136" i="41" a="1"/>
  <c r="I136" i="41" s="1"/>
  <c r="G136" i="41" a="1"/>
  <c r="G136" i="41" s="1"/>
  <c r="H136" i="176" s="1"/>
  <c r="F136" i="41" a="1"/>
  <c r="F136" i="41" s="1"/>
  <c r="G136" i="176" s="1"/>
  <c r="W135" i="41" a="1"/>
  <c r="W135" i="41" s="1"/>
  <c r="V135" i="41" a="1"/>
  <c r="V135" i="41" s="1"/>
  <c r="AC135" i="176" s="1"/>
  <c r="U135" i="41" a="1"/>
  <c r="U135" i="41" s="1"/>
  <c r="S135" i="41" a="1"/>
  <c r="S135" i="41" s="1"/>
  <c r="X135" i="176" s="1"/>
  <c r="R135" i="41" a="1"/>
  <c r="R135" i="41" s="1"/>
  <c r="W135" i="176" s="1"/>
  <c r="Q135" i="41" a="1"/>
  <c r="Q135" i="41" s="1"/>
  <c r="P135" i="41" a="1"/>
  <c r="P135" i="41" s="1"/>
  <c r="N135" i="41" a="1"/>
  <c r="N135" i="41" s="1"/>
  <c r="S135" i="176" s="1"/>
  <c r="J135" i="41" a="1"/>
  <c r="J135" i="41" s="1"/>
  <c r="I135" i="41" a="1"/>
  <c r="I135" i="41" s="1"/>
  <c r="L135" i="176" s="1"/>
  <c r="G135" i="41" a="1"/>
  <c r="G135" i="41" s="1"/>
  <c r="F135" i="41" a="1"/>
  <c r="F135" i="41" s="1"/>
  <c r="G135" i="176" s="1"/>
  <c r="W134" i="41" a="1"/>
  <c r="W134" i="41" s="1"/>
  <c r="V134" i="41" a="1"/>
  <c r="V134" i="41" s="1"/>
  <c r="AC134" i="176" s="1"/>
  <c r="U134" i="41" a="1"/>
  <c r="U134" i="41" s="1"/>
  <c r="AB134" i="176" s="1"/>
  <c r="S134" i="41" a="1"/>
  <c r="S134" i="41" s="1"/>
  <c r="X134" i="176" s="1"/>
  <c r="R134" i="41" a="1"/>
  <c r="R134" i="41" s="1"/>
  <c r="Q134" i="41" a="1"/>
  <c r="Q134" i="41" s="1"/>
  <c r="P134" i="41" a="1"/>
  <c r="P134" i="41" s="1"/>
  <c r="N134" i="41" a="1"/>
  <c r="N134" i="41" s="1"/>
  <c r="S134" i="176" s="1"/>
  <c r="J134" i="41" a="1"/>
  <c r="J134" i="41" s="1"/>
  <c r="M134" i="176" s="1"/>
  <c r="I134" i="41" a="1"/>
  <c r="I134" i="41" s="1"/>
  <c r="G134" i="41" a="1"/>
  <c r="G134" i="41" s="1"/>
  <c r="F134" i="41" a="1"/>
  <c r="F134" i="41" s="1"/>
  <c r="G134" i="176" s="1"/>
  <c r="W133" i="41" a="1"/>
  <c r="W133" i="41" s="1"/>
  <c r="V133" i="41" a="1"/>
  <c r="V133" i="41" s="1"/>
  <c r="U133" i="41" a="1"/>
  <c r="U133" i="41" s="1"/>
  <c r="AB133" i="176" s="1"/>
  <c r="S133" i="41" a="1"/>
  <c r="S133" i="41" s="1"/>
  <c r="X133" i="176" s="1"/>
  <c r="R133" i="41" a="1"/>
  <c r="R133" i="41" s="1"/>
  <c r="W133" i="176" s="1"/>
  <c r="Q133" i="41" a="1"/>
  <c r="Q133" i="41" s="1"/>
  <c r="P133" i="41" a="1"/>
  <c r="P133" i="41" s="1"/>
  <c r="U133" i="176" s="1"/>
  <c r="N133" i="41" a="1"/>
  <c r="N133" i="41" s="1"/>
  <c r="S133" i="176" s="1"/>
  <c r="J133" i="41" a="1"/>
  <c r="J133" i="41" s="1"/>
  <c r="I133" i="41" a="1"/>
  <c r="I133" i="41" s="1"/>
  <c r="G133" i="41" a="1"/>
  <c r="G133" i="41" s="1"/>
  <c r="H133" i="176" s="1"/>
  <c r="F133" i="41" a="1"/>
  <c r="F133" i="41" s="1"/>
  <c r="G133" i="176" s="1"/>
  <c r="W132" i="41" a="1"/>
  <c r="W132" i="41" s="1"/>
  <c r="AD132" i="176" s="1"/>
  <c r="V132" i="41" a="1"/>
  <c r="V132" i="41" s="1"/>
  <c r="U132" i="41" a="1"/>
  <c r="U132" i="41" s="1"/>
  <c r="AB132" i="176" s="1"/>
  <c r="S132" i="41" a="1"/>
  <c r="S132" i="41" s="1"/>
  <c r="X132" i="176" s="1"/>
  <c r="R132" i="41" a="1"/>
  <c r="R132" i="41" s="1"/>
  <c r="Q132" i="41" a="1"/>
  <c r="Q132" i="41" s="1"/>
  <c r="V132" i="176" s="1"/>
  <c r="P132" i="41" a="1"/>
  <c r="P132" i="41" s="1"/>
  <c r="U132" i="176" s="1"/>
  <c r="N132" i="41" a="1"/>
  <c r="N132" i="41" s="1"/>
  <c r="S132" i="176" s="1"/>
  <c r="J132" i="41" a="1"/>
  <c r="J132" i="41" s="1"/>
  <c r="I132" i="41" a="1"/>
  <c r="I132" i="41" s="1"/>
  <c r="G132" i="41" a="1"/>
  <c r="G132" i="41" s="1"/>
  <c r="H132" i="176" s="1"/>
  <c r="F132" i="41" a="1"/>
  <c r="F132" i="41" s="1"/>
  <c r="G132" i="176" s="1"/>
  <c r="W131" i="41" a="1"/>
  <c r="W131" i="41" s="1"/>
  <c r="V131" i="41" a="1"/>
  <c r="V131" i="41" s="1"/>
  <c r="U131" i="41" a="1"/>
  <c r="U131" i="41" s="1"/>
  <c r="AB131" i="176" s="1"/>
  <c r="S131" i="41" a="1"/>
  <c r="S131" i="41" s="1"/>
  <c r="X131" i="176" s="1"/>
  <c r="R131" i="41" a="1"/>
  <c r="R131" i="41" s="1"/>
  <c r="Q131" i="41" a="1"/>
  <c r="Q131" i="41" s="1"/>
  <c r="P131" i="41" a="1"/>
  <c r="P131" i="41" s="1"/>
  <c r="N131" i="41" a="1"/>
  <c r="N131" i="41" s="1"/>
  <c r="S131" i="176" s="1"/>
  <c r="J131" i="41" a="1"/>
  <c r="J131" i="41" s="1"/>
  <c r="I131" i="41" a="1"/>
  <c r="I131" i="41" s="1"/>
  <c r="G131" i="41" a="1"/>
  <c r="G131" i="41" s="1"/>
  <c r="H131" i="176" s="1"/>
  <c r="F131" i="41" a="1"/>
  <c r="F131" i="41" s="1"/>
  <c r="G131" i="176" s="1"/>
  <c r="W130" i="41" a="1"/>
  <c r="W130" i="41" s="1"/>
  <c r="V130" i="41" a="1"/>
  <c r="V130" i="41" s="1"/>
  <c r="U130" i="41" a="1"/>
  <c r="U130" i="41" s="1"/>
  <c r="AB130" i="176" s="1"/>
  <c r="S130" i="41" a="1"/>
  <c r="S130" i="41" s="1"/>
  <c r="X130" i="176" s="1"/>
  <c r="R130" i="41" a="1"/>
  <c r="R130" i="41" s="1"/>
  <c r="Q130" i="41" a="1"/>
  <c r="Q130" i="41" s="1"/>
  <c r="P130" i="41" a="1"/>
  <c r="P130" i="41" s="1"/>
  <c r="N130" i="41" a="1"/>
  <c r="N130" i="41" s="1"/>
  <c r="S130" i="176" s="1"/>
  <c r="J130" i="41" a="1"/>
  <c r="J130" i="41" s="1"/>
  <c r="I130" i="41" a="1"/>
  <c r="I130" i="41" s="1"/>
  <c r="L130" i="176" s="1"/>
  <c r="G130" i="41" a="1"/>
  <c r="G130" i="41" s="1"/>
  <c r="F130" i="41" a="1"/>
  <c r="F130" i="41" s="1"/>
  <c r="G130" i="176" s="1"/>
  <c r="W129" i="41" a="1"/>
  <c r="W129" i="41" s="1"/>
  <c r="V129" i="41" a="1"/>
  <c r="V129" i="41" s="1"/>
  <c r="AC129" i="176" s="1"/>
  <c r="U129" i="41" a="1"/>
  <c r="U129" i="41" s="1"/>
  <c r="S129" i="41" a="1"/>
  <c r="S129" i="41" s="1"/>
  <c r="X129" i="176" s="1"/>
  <c r="R129" i="41" a="1"/>
  <c r="R129" i="41" s="1"/>
  <c r="Q129" i="41" a="1"/>
  <c r="Q129" i="41" s="1"/>
  <c r="P129" i="41" a="1"/>
  <c r="P129" i="41" s="1"/>
  <c r="N129" i="41" a="1"/>
  <c r="N129" i="41" s="1"/>
  <c r="S129" i="176" s="1"/>
  <c r="J129" i="41" a="1"/>
  <c r="J129" i="41" s="1"/>
  <c r="I129" i="41" a="1"/>
  <c r="I129" i="41" s="1"/>
  <c r="L129" i="176" s="1"/>
  <c r="G129" i="41" a="1"/>
  <c r="G129" i="41" s="1"/>
  <c r="H129" i="176" s="1"/>
  <c r="F129" i="41" a="1"/>
  <c r="F129" i="41" s="1"/>
  <c r="G129" i="176" s="1"/>
  <c r="W128" i="41" a="1"/>
  <c r="W128" i="41" s="1"/>
  <c r="V128" i="41" a="1"/>
  <c r="V128" i="41" s="1"/>
  <c r="U128" i="41" a="1"/>
  <c r="U128" i="41" s="1"/>
  <c r="AB128" i="176" s="1"/>
  <c r="D85" i="177" s="1"/>
  <c r="S128" i="41" a="1"/>
  <c r="S128" i="41" s="1"/>
  <c r="X128" i="176" s="1"/>
  <c r="R128" i="41" a="1"/>
  <c r="R128" i="41" s="1"/>
  <c r="Q128" i="41" a="1"/>
  <c r="Q128" i="41" s="1"/>
  <c r="V128" i="176" s="1"/>
  <c r="P128" i="41" a="1"/>
  <c r="P128" i="41" s="1"/>
  <c r="U128" i="176" s="1"/>
  <c r="N128" i="41" a="1"/>
  <c r="N128" i="41" s="1"/>
  <c r="S128" i="176" s="1"/>
  <c r="W127" i="41" a="1"/>
  <c r="W127" i="41" s="1"/>
  <c r="V127" i="41" a="1"/>
  <c r="V127" i="41" s="1"/>
  <c r="U127" i="41" a="1"/>
  <c r="U127" i="41" s="1"/>
  <c r="AB127" i="176" s="1"/>
  <c r="S127" i="41" a="1"/>
  <c r="S127" i="41" s="1"/>
  <c r="X127" i="176" s="1"/>
  <c r="R127" i="41" a="1"/>
  <c r="R127" i="41" s="1"/>
  <c r="Q127" i="41" a="1"/>
  <c r="Q127" i="41" s="1"/>
  <c r="P127" i="41" a="1"/>
  <c r="P127" i="41" s="1"/>
  <c r="U127" i="176" s="1"/>
  <c r="N127" i="41" a="1"/>
  <c r="N127" i="41" s="1"/>
  <c r="S127" i="176" s="1"/>
  <c r="W126" i="41" a="1"/>
  <c r="W126" i="41" s="1"/>
  <c r="V126" i="41" a="1"/>
  <c r="V126" i="41" s="1"/>
  <c r="AC126" i="176" s="1"/>
  <c r="U126" i="41" a="1"/>
  <c r="U126" i="41" s="1"/>
  <c r="AB126" i="176" s="1"/>
  <c r="S126" i="41" a="1"/>
  <c r="S126" i="41" s="1"/>
  <c r="X126" i="176" s="1"/>
  <c r="R126" i="41" a="1"/>
  <c r="R126" i="41" s="1"/>
  <c r="Q126" i="41" a="1"/>
  <c r="Q126" i="41" s="1"/>
  <c r="V126" i="176" s="1"/>
  <c r="P126" i="41" a="1"/>
  <c r="P126" i="41" s="1"/>
  <c r="U126" i="176" s="1"/>
  <c r="N126" i="41" a="1"/>
  <c r="N126" i="41" s="1"/>
  <c r="S126" i="176" s="1"/>
  <c r="W125" i="41" a="1"/>
  <c r="W125" i="41" s="1"/>
  <c r="AD125" i="176" s="1"/>
  <c r="V125" i="41" a="1"/>
  <c r="V125" i="41" s="1"/>
  <c r="U125" i="41" a="1"/>
  <c r="U125" i="41" s="1"/>
  <c r="AB125" i="176" s="1"/>
  <c r="S125" i="41" a="1"/>
  <c r="S125" i="41" s="1"/>
  <c r="X125" i="176" s="1"/>
  <c r="R125" i="41" a="1"/>
  <c r="R125" i="41" s="1"/>
  <c r="Q125" i="41" a="1"/>
  <c r="Q125" i="41" s="1"/>
  <c r="V125" i="176" s="1"/>
  <c r="P125" i="41" a="1"/>
  <c r="P125" i="41" s="1"/>
  <c r="N125" i="41" a="1"/>
  <c r="N125" i="41" s="1"/>
  <c r="S125" i="176" s="1"/>
  <c r="W124" i="41" a="1"/>
  <c r="W124" i="41" s="1"/>
  <c r="V124" i="41" a="1"/>
  <c r="V124" i="41" s="1"/>
  <c r="U124" i="41" a="1"/>
  <c r="U124" i="41" s="1"/>
  <c r="S124" i="41" a="1"/>
  <c r="S124" i="41" s="1"/>
  <c r="X124" i="176" s="1"/>
  <c r="R124" i="41" a="1"/>
  <c r="R124" i="41" s="1"/>
  <c r="Q124" i="41" a="1"/>
  <c r="Q124" i="41" s="1"/>
  <c r="V124" i="176" s="1"/>
  <c r="P124" i="41" a="1"/>
  <c r="P124" i="41" s="1"/>
  <c r="U124" i="176" s="1"/>
  <c r="N124" i="41" a="1"/>
  <c r="N124" i="41" s="1"/>
  <c r="S124" i="176" s="1"/>
  <c r="W123" i="41" a="1"/>
  <c r="W123" i="41" s="1"/>
  <c r="AD123" i="176" s="1"/>
  <c r="V123" i="41" a="1"/>
  <c r="V123" i="41" s="1"/>
  <c r="AC123" i="176" s="1"/>
  <c r="U123" i="41" a="1"/>
  <c r="U123" i="41" s="1"/>
  <c r="S123" i="41" a="1"/>
  <c r="S123" i="41" s="1"/>
  <c r="X123" i="176" s="1"/>
  <c r="R123" i="41" a="1"/>
  <c r="R123" i="41" s="1"/>
  <c r="Q123" i="41" a="1"/>
  <c r="Q123" i="41" s="1"/>
  <c r="P123" i="41" a="1"/>
  <c r="P123" i="41" s="1"/>
  <c r="N123" i="41" a="1"/>
  <c r="N123" i="41" s="1"/>
  <c r="S123" i="176" s="1"/>
  <c r="J123" i="41" a="1"/>
  <c r="J123" i="41" s="1"/>
  <c r="I123" i="41" a="1"/>
  <c r="I123" i="41" s="1"/>
  <c r="L123" i="176" s="1"/>
  <c r="G123" i="41" a="1"/>
  <c r="G123" i="41" s="1"/>
  <c r="H123" i="176" s="1"/>
  <c r="F123" i="41" a="1"/>
  <c r="F123" i="41" s="1"/>
  <c r="G123" i="176" s="1"/>
  <c r="W122" i="41" a="1"/>
  <c r="W122" i="41" s="1"/>
  <c r="V122" i="41" a="1"/>
  <c r="V122" i="41" s="1"/>
  <c r="AC122" i="176" s="1"/>
  <c r="U122" i="41" a="1"/>
  <c r="U122" i="41" s="1"/>
  <c r="AB122" i="176" s="1"/>
  <c r="S122" i="41" a="1"/>
  <c r="S122" i="41" s="1"/>
  <c r="X122" i="176" s="1"/>
  <c r="R122" i="41" a="1"/>
  <c r="R122" i="41" s="1"/>
  <c r="Q122" i="41" a="1"/>
  <c r="Q122" i="41" s="1"/>
  <c r="P122" i="41" a="1"/>
  <c r="P122" i="41" s="1"/>
  <c r="N122" i="41" a="1"/>
  <c r="N122" i="41" s="1"/>
  <c r="S122" i="176" s="1"/>
  <c r="J122" i="41" a="1"/>
  <c r="J122" i="41" s="1"/>
  <c r="I122" i="41" a="1"/>
  <c r="I122" i="41" s="1"/>
  <c r="L122" i="176" s="1"/>
  <c r="G122" i="41" a="1"/>
  <c r="G122" i="41" s="1"/>
  <c r="H122" i="176" s="1"/>
  <c r="F122" i="41" a="1"/>
  <c r="F122" i="41" s="1"/>
  <c r="G122" i="176" s="1"/>
  <c r="W121" i="41" a="1"/>
  <c r="W121" i="41" s="1"/>
  <c r="AD121" i="176" s="1"/>
  <c r="V121" i="41" a="1"/>
  <c r="V121" i="41" s="1"/>
  <c r="U121" i="41" a="1"/>
  <c r="U121" i="41" s="1"/>
  <c r="S121" i="41" a="1"/>
  <c r="S121" i="41" s="1"/>
  <c r="X121" i="176" s="1"/>
  <c r="R121" i="41" a="1"/>
  <c r="R121" i="41" s="1"/>
  <c r="Q121" i="41" a="1"/>
  <c r="Q121" i="41" s="1"/>
  <c r="V121" i="176" s="1"/>
  <c r="P121" i="41" a="1"/>
  <c r="P121" i="41" s="1"/>
  <c r="U121" i="176" s="1"/>
  <c r="N121" i="41" a="1"/>
  <c r="N121" i="41" s="1"/>
  <c r="S121" i="176" s="1"/>
  <c r="J121" i="41" a="1"/>
  <c r="J121" i="41" s="1"/>
  <c r="I121" i="41" a="1"/>
  <c r="I121" i="41" s="1"/>
  <c r="G121" i="41" a="1"/>
  <c r="G121" i="41" s="1"/>
  <c r="F121" i="41" a="1"/>
  <c r="F121" i="41" s="1"/>
  <c r="G121" i="176" s="1"/>
  <c r="W120" i="41" a="1"/>
  <c r="W120" i="41" s="1"/>
  <c r="V120" i="41" a="1"/>
  <c r="V120" i="41" s="1"/>
  <c r="U120" i="41" a="1"/>
  <c r="U120" i="41" s="1"/>
  <c r="AB120" i="176" s="1"/>
  <c r="S120" i="41" a="1"/>
  <c r="S120" i="41" s="1"/>
  <c r="X120" i="176" s="1"/>
  <c r="R120" i="41" a="1"/>
  <c r="R120" i="41" s="1"/>
  <c r="Q120" i="41" a="1"/>
  <c r="Q120" i="41" s="1"/>
  <c r="P120" i="41" a="1"/>
  <c r="P120" i="41" s="1"/>
  <c r="U120" i="176" s="1"/>
  <c r="N120" i="41" a="1"/>
  <c r="N120" i="41" s="1"/>
  <c r="S120" i="176" s="1"/>
  <c r="J120" i="41" a="1"/>
  <c r="J120" i="41" s="1"/>
  <c r="I120" i="41" a="1"/>
  <c r="I120" i="41" s="1"/>
  <c r="G120" i="41" a="1"/>
  <c r="G120" i="41" s="1"/>
  <c r="H120" i="176" s="1"/>
  <c r="F120" i="41" a="1"/>
  <c r="F120" i="41" s="1"/>
  <c r="G120" i="176" s="1"/>
  <c r="W119" i="41" a="1"/>
  <c r="W119" i="41" s="1"/>
  <c r="AD119" i="176" s="1"/>
  <c r="V119" i="41" a="1"/>
  <c r="V119" i="41" s="1"/>
  <c r="U119" i="41" a="1"/>
  <c r="U119" i="41" s="1"/>
  <c r="AB119" i="176" s="1"/>
  <c r="S119" i="41" a="1"/>
  <c r="S119" i="41" s="1"/>
  <c r="X119" i="176" s="1"/>
  <c r="R119" i="41" a="1"/>
  <c r="R119" i="41" s="1"/>
  <c r="Q119" i="41" a="1"/>
  <c r="Q119" i="41" s="1"/>
  <c r="V119" i="176" s="1"/>
  <c r="P119" i="41" a="1"/>
  <c r="P119" i="41" s="1"/>
  <c r="N119" i="41" a="1"/>
  <c r="N119" i="41" s="1"/>
  <c r="S119" i="176" s="1"/>
  <c r="J119" i="41" a="1"/>
  <c r="J119" i="41" s="1"/>
  <c r="I119" i="41" a="1"/>
  <c r="I119" i="41" s="1"/>
  <c r="L119" i="176" s="1"/>
  <c r="G119" i="41" a="1"/>
  <c r="G119" i="41" s="1"/>
  <c r="H119" i="176" s="1"/>
  <c r="F119" i="41" a="1"/>
  <c r="F119" i="41" s="1"/>
  <c r="G119" i="176" s="1"/>
  <c r="W118" i="41" a="1"/>
  <c r="W118" i="41" s="1"/>
  <c r="V118" i="41" a="1"/>
  <c r="V118" i="41" s="1"/>
  <c r="AC118" i="176" s="1"/>
  <c r="U118" i="41" a="1"/>
  <c r="U118" i="41" s="1"/>
  <c r="AB118" i="176" s="1"/>
  <c r="S118" i="41" a="1"/>
  <c r="S118" i="41" s="1"/>
  <c r="X118" i="176" s="1"/>
  <c r="R118" i="41" a="1"/>
  <c r="R118" i="41" s="1"/>
  <c r="W118" i="176" s="1"/>
  <c r="Q118" i="41" a="1"/>
  <c r="Q118" i="41" s="1"/>
  <c r="P118" i="41" a="1"/>
  <c r="P118" i="41" s="1"/>
  <c r="N118" i="41" a="1"/>
  <c r="N118" i="41" s="1"/>
  <c r="S118" i="176" s="1"/>
  <c r="J118" i="41" a="1"/>
  <c r="J118" i="41" s="1"/>
  <c r="I118" i="41" a="1"/>
  <c r="I118" i="41" s="1"/>
  <c r="G118" i="41" a="1"/>
  <c r="G118" i="41" s="1"/>
  <c r="H118" i="176" s="1"/>
  <c r="F118" i="41" a="1"/>
  <c r="F118" i="41" s="1"/>
  <c r="G118" i="176" s="1"/>
  <c r="W117" i="41" a="1"/>
  <c r="W117" i="41" s="1"/>
  <c r="AD117" i="176" s="1"/>
  <c r="V117" i="41" a="1"/>
  <c r="V117" i="41" s="1"/>
  <c r="AC117" i="176" s="1"/>
  <c r="U117" i="41" a="1"/>
  <c r="U117" i="41" s="1"/>
  <c r="S117" i="41" a="1"/>
  <c r="S117" i="41" s="1"/>
  <c r="X117" i="176" s="1"/>
  <c r="R117" i="41" a="1"/>
  <c r="R117" i="41" s="1"/>
  <c r="Q117" i="41" a="1"/>
  <c r="Q117" i="41" s="1"/>
  <c r="V117" i="176" s="1"/>
  <c r="P117" i="41" a="1"/>
  <c r="P117" i="41" s="1"/>
  <c r="U117" i="176" s="1"/>
  <c r="N117" i="41" a="1"/>
  <c r="N117" i="41" s="1"/>
  <c r="S117" i="176" s="1"/>
  <c r="J117" i="41" a="1"/>
  <c r="J117" i="41" s="1"/>
  <c r="M117" i="176" s="1"/>
  <c r="I117" i="41" a="1"/>
  <c r="I117" i="41" s="1"/>
  <c r="L117" i="176" s="1"/>
  <c r="G117" i="41" a="1"/>
  <c r="G117" i="41" s="1"/>
  <c r="F117" i="41" a="1"/>
  <c r="F117" i="41" s="1"/>
  <c r="G117" i="176" s="1"/>
  <c r="W116" i="41" a="1"/>
  <c r="W116" i="41" s="1"/>
  <c r="V116" i="41" a="1"/>
  <c r="V116" i="41" s="1"/>
  <c r="AC116" i="176" s="1"/>
  <c r="U116" i="41" a="1"/>
  <c r="U116" i="41" s="1"/>
  <c r="AB116" i="176" s="1"/>
  <c r="S116" i="41" a="1"/>
  <c r="S116" i="41" s="1"/>
  <c r="X116" i="176" s="1"/>
  <c r="R116" i="41" a="1"/>
  <c r="R116" i="41" s="1"/>
  <c r="W116" i="176" s="1"/>
  <c r="Q116" i="41" a="1"/>
  <c r="Q116" i="41" s="1"/>
  <c r="V116" i="176" s="1"/>
  <c r="P116" i="41" a="1"/>
  <c r="P116" i="41" s="1"/>
  <c r="U116" i="176" s="1"/>
  <c r="N116" i="41" a="1"/>
  <c r="N116" i="41" s="1"/>
  <c r="S116" i="176" s="1"/>
  <c r="J116" i="41" a="1"/>
  <c r="J116" i="41" s="1"/>
  <c r="I116" i="41" a="1"/>
  <c r="I116" i="41" s="1"/>
  <c r="L116" i="176" s="1"/>
  <c r="G116" i="41" a="1"/>
  <c r="G116" i="41" s="1"/>
  <c r="H116" i="176" s="1"/>
  <c r="F116" i="41" a="1"/>
  <c r="F116" i="41" s="1"/>
  <c r="G116" i="176" s="1"/>
  <c r="W115" i="41" a="1"/>
  <c r="W115" i="41" s="1"/>
  <c r="AD115" i="176" s="1"/>
  <c r="V115" i="41" a="1"/>
  <c r="V115" i="41" s="1"/>
  <c r="U115" i="41" a="1"/>
  <c r="U115" i="41" s="1"/>
  <c r="S115" i="41" a="1"/>
  <c r="S115" i="41" s="1"/>
  <c r="X115" i="176" s="1"/>
  <c r="R115" i="41" a="1"/>
  <c r="R115" i="41" s="1"/>
  <c r="Q115" i="41" a="1"/>
  <c r="Q115" i="41" s="1"/>
  <c r="V115" i="176" s="1"/>
  <c r="P115" i="41" a="1"/>
  <c r="P115" i="41" s="1"/>
  <c r="U115" i="176" s="1"/>
  <c r="N115" i="41" a="1"/>
  <c r="N115" i="41" s="1"/>
  <c r="S115" i="176" s="1"/>
  <c r="J115" i="41" a="1"/>
  <c r="J115" i="41" s="1"/>
  <c r="M115" i="176" s="1"/>
  <c r="I115" i="41" a="1"/>
  <c r="I115" i="41" s="1"/>
  <c r="G115" i="41" a="1"/>
  <c r="G115" i="41" s="1"/>
  <c r="F115" i="41" a="1"/>
  <c r="F115" i="41" s="1"/>
  <c r="G115" i="176" s="1"/>
  <c r="W114" i="41" a="1"/>
  <c r="W114" i="41" s="1"/>
  <c r="V114" i="41" a="1"/>
  <c r="V114" i="41" s="1"/>
  <c r="AC114" i="176" s="1"/>
  <c r="E84" i="177" s="1"/>
  <c r="U114" i="41" a="1"/>
  <c r="U114" i="41" s="1"/>
  <c r="AB114" i="176" s="1"/>
  <c r="D84" i="177" s="1"/>
  <c r="S114" i="41" a="1"/>
  <c r="S114" i="41" s="1"/>
  <c r="X114" i="176" s="1"/>
  <c r="R114" i="41" a="1"/>
  <c r="R114" i="41" s="1"/>
  <c r="Q114" i="41" a="1"/>
  <c r="Q114" i="41" s="1"/>
  <c r="P114" i="41" a="1"/>
  <c r="P114" i="41" s="1"/>
  <c r="N114" i="41" a="1"/>
  <c r="N114" i="41" s="1"/>
  <c r="S114" i="176" s="1"/>
  <c r="E114" i="41" a="1"/>
  <c r="E114" i="41" s="1"/>
  <c r="W113" i="41" a="1"/>
  <c r="W113" i="41" s="1"/>
  <c r="AD113" i="176" s="1"/>
  <c r="V113" i="41" a="1"/>
  <c r="V113" i="41" s="1"/>
  <c r="U113" i="41" a="1"/>
  <c r="U113" i="41" s="1"/>
  <c r="AB113" i="176" s="1"/>
  <c r="S113" i="41" a="1"/>
  <c r="S113" i="41" s="1"/>
  <c r="X113" i="176" s="1"/>
  <c r="R113" i="41" a="1"/>
  <c r="R113" i="41" s="1"/>
  <c r="Q113" i="41" a="1"/>
  <c r="Q113" i="41" s="1"/>
  <c r="V113" i="176" s="1"/>
  <c r="P113" i="41" a="1"/>
  <c r="P113" i="41" s="1"/>
  <c r="U113" i="176" s="1"/>
  <c r="N113" i="41" a="1"/>
  <c r="N113" i="41" s="1"/>
  <c r="E113" i="41" a="1"/>
  <c r="E113" i="41" s="1"/>
  <c r="W112" i="41" a="1"/>
  <c r="W112" i="41" s="1"/>
  <c r="AD112" i="176" s="1"/>
  <c r="V112" i="41" a="1"/>
  <c r="V112" i="41" s="1"/>
  <c r="AC112" i="176" s="1"/>
  <c r="U112" i="41" a="1"/>
  <c r="U112" i="41" s="1"/>
  <c r="AB112" i="176" s="1"/>
  <c r="S112" i="41" a="1"/>
  <c r="S112" i="41" s="1"/>
  <c r="X112" i="176" s="1"/>
  <c r="R112" i="41" a="1"/>
  <c r="R112" i="41" s="1"/>
  <c r="Q112" i="41" a="1"/>
  <c r="Q112" i="41" s="1"/>
  <c r="V112" i="176" s="1"/>
  <c r="P112" i="41" a="1"/>
  <c r="P112" i="41" s="1"/>
  <c r="N112" i="41" a="1"/>
  <c r="N112" i="41" s="1"/>
  <c r="S112" i="176" s="1"/>
  <c r="E112" i="41" a="1"/>
  <c r="E112" i="41" s="1"/>
  <c r="W111" i="41" a="1"/>
  <c r="W111" i="41" s="1"/>
  <c r="AD111" i="176" s="1"/>
  <c r="V111" i="41" a="1"/>
  <c r="V111" i="41" s="1"/>
  <c r="U111" i="41" a="1"/>
  <c r="U111" i="41" s="1"/>
  <c r="S111" i="41" a="1"/>
  <c r="S111" i="41" s="1"/>
  <c r="X111" i="176" s="1"/>
  <c r="R111" i="41" a="1"/>
  <c r="R111" i="41" s="1"/>
  <c r="W111" i="176" s="1"/>
  <c r="Q111" i="41" a="1"/>
  <c r="Q111" i="41" s="1"/>
  <c r="P111" i="41" a="1"/>
  <c r="P111" i="41" s="1"/>
  <c r="U111" i="176" s="1"/>
  <c r="N111" i="41" a="1"/>
  <c r="N111" i="41" s="1"/>
  <c r="S111" i="176" s="1"/>
  <c r="E111" i="41" a="1"/>
  <c r="E111" i="41" s="1"/>
  <c r="W110" i="41" a="1"/>
  <c r="W110" i="41" s="1"/>
  <c r="V110" i="41" a="1"/>
  <c r="V110" i="41" s="1"/>
  <c r="AC110" i="176" s="1"/>
  <c r="U110" i="41" a="1"/>
  <c r="U110" i="41" s="1"/>
  <c r="AB110" i="176" s="1"/>
  <c r="S110" i="41" a="1"/>
  <c r="S110" i="41" s="1"/>
  <c r="X110" i="176" s="1"/>
  <c r="R110" i="41" a="1"/>
  <c r="R110" i="41" s="1"/>
  <c r="Q110" i="41" a="1"/>
  <c r="Q110" i="41" s="1"/>
  <c r="V110" i="176" s="1"/>
  <c r="P110" i="41" a="1"/>
  <c r="P110" i="41" s="1"/>
  <c r="U110" i="176" s="1"/>
  <c r="N110" i="41" a="1"/>
  <c r="N110" i="41" s="1"/>
  <c r="S110" i="176" s="1"/>
  <c r="E110" i="41" a="1"/>
  <c r="E110" i="41" s="1"/>
  <c r="W109" i="41" a="1"/>
  <c r="W109" i="41" s="1"/>
  <c r="AD109" i="176" s="1"/>
  <c r="V109" i="41" a="1"/>
  <c r="V109" i="41" s="1"/>
  <c r="AC109" i="176" s="1"/>
  <c r="U109" i="41" a="1"/>
  <c r="U109" i="41" s="1"/>
  <c r="AB109" i="176" s="1"/>
  <c r="C84" i="177" s="1"/>
  <c r="S109" i="41" a="1"/>
  <c r="S109" i="41" s="1"/>
  <c r="R109" i="41" a="1"/>
  <c r="R109" i="41" s="1"/>
  <c r="Q109" i="41" a="1"/>
  <c r="Q109" i="41" s="1"/>
  <c r="V109" i="176" s="1"/>
  <c r="P109" i="41" a="1"/>
  <c r="P109" i="41" s="1"/>
  <c r="U109" i="176" s="1"/>
  <c r="N109" i="41" a="1"/>
  <c r="N109" i="41" s="1"/>
  <c r="S109" i="176" s="1"/>
  <c r="J109" i="41" a="1"/>
  <c r="J109" i="41" s="1"/>
  <c r="M109" i="176" s="1"/>
  <c r="I109" i="41" a="1"/>
  <c r="I109" i="41" s="1"/>
  <c r="L109" i="176" s="1"/>
  <c r="G109" i="41" a="1"/>
  <c r="G109" i="41" s="1"/>
  <c r="H109" i="176" s="1"/>
  <c r="F109" i="41" a="1"/>
  <c r="F109" i="41" s="1"/>
  <c r="G109" i="176" s="1"/>
  <c r="W108" i="41" a="1"/>
  <c r="W108" i="41" s="1"/>
  <c r="V108" i="41" a="1"/>
  <c r="V108" i="41" s="1"/>
  <c r="AC108" i="176" s="1"/>
  <c r="U108" i="41" a="1"/>
  <c r="U108" i="41" s="1"/>
  <c r="AB108" i="176" s="1"/>
  <c r="S108" i="41" a="1"/>
  <c r="S108" i="41" s="1"/>
  <c r="X108" i="176" s="1"/>
  <c r="R108" i="41" a="1"/>
  <c r="R108" i="41" s="1"/>
  <c r="W108" i="176" s="1"/>
  <c r="Q108" i="41" a="1"/>
  <c r="Q108" i="41" s="1"/>
  <c r="V108" i="176" s="1"/>
  <c r="P108" i="41" a="1"/>
  <c r="P108" i="41" s="1"/>
  <c r="U108" i="176" s="1"/>
  <c r="N108" i="41" a="1"/>
  <c r="N108" i="41" s="1"/>
  <c r="J108" i="41" a="1"/>
  <c r="J108" i="41" s="1"/>
  <c r="M108" i="176" s="1"/>
  <c r="I108" i="41" a="1"/>
  <c r="I108" i="41" s="1"/>
  <c r="L108" i="176" s="1"/>
  <c r="G108" i="41" a="1"/>
  <c r="G108" i="41" s="1"/>
  <c r="H108" i="176" s="1"/>
  <c r="F108" i="41" a="1"/>
  <c r="F108" i="41" s="1"/>
  <c r="W107" i="41" a="1"/>
  <c r="W107" i="41" s="1"/>
  <c r="AD107" i="176" s="1"/>
  <c r="V107" i="41" a="1"/>
  <c r="V107" i="41" s="1"/>
  <c r="AC107" i="176" s="1"/>
  <c r="U107" i="41" a="1"/>
  <c r="U107" i="41" s="1"/>
  <c r="AB107" i="176" s="1"/>
  <c r="S107" i="41" a="1"/>
  <c r="S107" i="41" s="1"/>
  <c r="X107" i="176" s="1"/>
  <c r="R107" i="41" a="1"/>
  <c r="R107" i="41" s="1"/>
  <c r="Q107" i="41" a="1"/>
  <c r="Q107" i="41" s="1"/>
  <c r="V107" i="176" s="1"/>
  <c r="P107" i="41" a="1"/>
  <c r="P107" i="41" s="1"/>
  <c r="U107" i="176" s="1"/>
  <c r="N107" i="41" a="1"/>
  <c r="N107" i="41" s="1"/>
  <c r="J107" i="41" a="1"/>
  <c r="J107" i="41" s="1"/>
  <c r="M107" i="176" s="1"/>
  <c r="I107" i="41" a="1"/>
  <c r="I107" i="41" s="1"/>
  <c r="L107" i="176" s="1"/>
  <c r="G107" i="41" a="1"/>
  <c r="G107" i="41" s="1"/>
  <c r="H107" i="176" s="1"/>
  <c r="F107" i="41" a="1"/>
  <c r="F107" i="41" s="1"/>
  <c r="W106" i="41" a="1"/>
  <c r="W106" i="41" s="1"/>
  <c r="AD106" i="176" s="1"/>
  <c r="V106" i="41" a="1"/>
  <c r="V106" i="41" s="1"/>
  <c r="AC106" i="176" s="1"/>
  <c r="U106" i="41" a="1"/>
  <c r="U106" i="41" s="1"/>
  <c r="AB106" i="176" s="1"/>
  <c r="S106" i="41" a="1"/>
  <c r="S106" i="41" s="1"/>
  <c r="R106" i="41" a="1"/>
  <c r="R106" i="41" s="1"/>
  <c r="W106" i="176" s="1"/>
  <c r="Q106" i="41" a="1"/>
  <c r="Q106" i="41" s="1"/>
  <c r="V106" i="176" s="1"/>
  <c r="P106" i="41" a="1"/>
  <c r="P106" i="41" s="1"/>
  <c r="U106" i="176" s="1"/>
  <c r="N106" i="41" a="1"/>
  <c r="N106" i="41" s="1"/>
  <c r="S106" i="176" s="1"/>
  <c r="J106" i="41" a="1"/>
  <c r="J106" i="41" s="1"/>
  <c r="M106" i="176" s="1"/>
  <c r="I106" i="41" a="1"/>
  <c r="I106" i="41" s="1"/>
  <c r="L106" i="176" s="1"/>
  <c r="G106" i="41" a="1"/>
  <c r="G106" i="41" s="1"/>
  <c r="H106" i="176" s="1"/>
  <c r="F106" i="41" a="1"/>
  <c r="F106" i="41" s="1"/>
  <c r="G106" i="176" s="1"/>
  <c r="W105" i="41" a="1"/>
  <c r="W105" i="41" s="1"/>
  <c r="V105" i="41" a="1"/>
  <c r="V105" i="41" s="1"/>
  <c r="AC105" i="176" s="1"/>
  <c r="U105" i="41" a="1"/>
  <c r="U105" i="41" s="1"/>
  <c r="AB105" i="176" s="1"/>
  <c r="S105" i="41" a="1"/>
  <c r="S105" i="41" s="1"/>
  <c r="R105" i="41" a="1"/>
  <c r="R105" i="41" s="1"/>
  <c r="Q105" i="41" a="1"/>
  <c r="Q105" i="41" s="1"/>
  <c r="V105" i="176" s="1"/>
  <c r="P105" i="41" a="1"/>
  <c r="P105" i="41" s="1"/>
  <c r="U105" i="176" s="1"/>
  <c r="N105" i="41" a="1"/>
  <c r="N105" i="41" s="1"/>
  <c r="S105" i="176" s="1"/>
  <c r="J105" i="41" a="1"/>
  <c r="J105" i="41" s="1"/>
  <c r="I105" i="41" a="1"/>
  <c r="I105" i="41" s="1"/>
  <c r="L105" i="176" s="1"/>
  <c r="G105" i="41" a="1"/>
  <c r="G105" i="41" s="1"/>
  <c r="H105" i="176" s="1"/>
  <c r="F105" i="41" a="1"/>
  <c r="F105" i="41" s="1"/>
  <c r="W104" i="41" a="1"/>
  <c r="W104" i="41" s="1"/>
  <c r="V104" i="41" a="1"/>
  <c r="V104" i="41" s="1"/>
  <c r="AC104" i="176" s="1"/>
  <c r="U104" i="41" a="1"/>
  <c r="U104" i="41" s="1"/>
  <c r="AB104" i="176" s="1"/>
  <c r="S104" i="41" a="1"/>
  <c r="S104" i="41" s="1"/>
  <c r="R104" i="41" a="1"/>
  <c r="R104" i="41" s="1"/>
  <c r="W104" i="176" s="1"/>
  <c r="Q104" i="41" a="1"/>
  <c r="Q104" i="41" s="1"/>
  <c r="P104" i="41" a="1"/>
  <c r="P104" i="41" s="1"/>
  <c r="U104" i="176" s="1"/>
  <c r="N104" i="41" a="1"/>
  <c r="N104" i="41" s="1"/>
  <c r="J104" i="41" a="1"/>
  <c r="J104" i="41" s="1"/>
  <c r="I104" i="41" a="1"/>
  <c r="I104" i="41" s="1"/>
  <c r="L104" i="176" s="1"/>
  <c r="G104" i="41" a="1"/>
  <c r="G104" i="41" s="1"/>
  <c r="H104" i="176" s="1"/>
  <c r="F104" i="41" a="1"/>
  <c r="F104" i="41" s="1"/>
  <c r="W103" i="41" a="1"/>
  <c r="W103" i="41" s="1"/>
  <c r="V103" i="41" a="1"/>
  <c r="V103" i="41" s="1"/>
  <c r="AC103" i="176" s="1"/>
  <c r="U103" i="41" a="1"/>
  <c r="U103" i="41" s="1"/>
  <c r="AB103" i="176" s="1"/>
  <c r="S103" i="41" a="1"/>
  <c r="S103" i="41" s="1"/>
  <c r="X103" i="176" s="1"/>
  <c r="R103" i="41" a="1"/>
  <c r="R103" i="41" s="1"/>
  <c r="W103" i="176" s="1"/>
  <c r="Q103" i="41" a="1"/>
  <c r="Q103" i="41" s="1"/>
  <c r="V103" i="176" s="1"/>
  <c r="P103" i="41" a="1"/>
  <c r="P103" i="41" s="1"/>
  <c r="U103" i="176" s="1"/>
  <c r="N103" i="41" a="1"/>
  <c r="N103" i="41" s="1"/>
  <c r="J103" i="41" a="1"/>
  <c r="J103" i="41" s="1"/>
  <c r="M103" i="176" s="1"/>
  <c r="I103" i="41" a="1"/>
  <c r="I103" i="41" s="1"/>
  <c r="L103" i="176" s="1"/>
  <c r="G103" i="41" a="1"/>
  <c r="G103" i="41" s="1"/>
  <c r="H103" i="176" s="1"/>
  <c r="F103" i="41" a="1"/>
  <c r="F103" i="41" s="1"/>
  <c r="W102" i="41" a="1"/>
  <c r="W102" i="41" s="1"/>
  <c r="V102" i="41" a="1"/>
  <c r="V102" i="41" s="1"/>
  <c r="AC102" i="176" s="1"/>
  <c r="U102" i="41" a="1"/>
  <c r="U102" i="41" s="1"/>
  <c r="AB102" i="176" s="1"/>
  <c r="S102" i="41" a="1"/>
  <c r="S102" i="41" s="1"/>
  <c r="X102" i="176" s="1"/>
  <c r="R102" i="41" a="1"/>
  <c r="R102" i="41" s="1"/>
  <c r="W102" i="176" s="1"/>
  <c r="Q102" i="41" a="1"/>
  <c r="Q102" i="41" s="1"/>
  <c r="P102" i="41" a="1"/>
  <c r="P102" i="41" s="1"/>
  <c r="U102" i="176" s="1"/>
  <c r="N102" i="41" a="1"/>
  <c r="N102" i="41" s="1"/>
  <c r="J102" i="41" a="1"/>
  <c r="J102" i="41" s="1"/>
  <c r="M102" i="176" s="1"/>
  <c r="I102" i="41" a="1"/>
  <c r="I102" i="41" s="1"/>
  <c r="L102" i="176" s="1"/>
  <c r="G102" i="41" a="1"/>
  <c r="G102" i="41" s="1"/>
  <c r="H102" i="176" s="1"/>
  <c r="F102" i="41" a="1"/>
  <c r="F102" i="41" s="1"/>
  <c r="G102" i="176" s="1"/>
  <c r="W101" i="41" a="1"/>
  <c r="W101" i="41" s="1"/>
  <c r="AD101" i="176" s="1"/>
  <c r="V101" i="41" a="1"/>
  <c r="V101" i="41" s="1"/>
  <c r="AC101" i="176" s="1"/>
  <c r="U101" i="41" a="1"/>
  <c r="U101" i="41" s="1"/>
  <c r="AB101" i="176" s="1"/>
  <c r="S101" i="41" a="1"/>
  <c r="S101" i="41" s="1"/>
  <c r="R101" i="41" a="1"/>
  <c r="R101" i="41" s="1"/>
  <c r="Q101" i="41" a="1"/>
  <c r="Q101" i="41" s="1"/>
  <c r="V101" i="176" s="1"/>
  <c r="P101" i="41" a="1"/>
  <c r="P101" i="41" s="1"/>
  <c r="U101" i="176" s="1"/>
  <c r="N101" i="41" a="1"/>
  <c r="N101" i="41" s="1"/>
  <c r="S101" i="176" s="1"/>
  <c r="J101" i="41" a="1"/>
  <c r="J101" i="41" s="1"/>
  <c r="M101" i="176" s="1"/>
  <c r="I101" i="41" a="1"/>
  <c r="I101" i="41" s="1"/>
  <c r="L101" i="176" s="1"/>
  <c r="G101" i="41" a="1"/>
  <c r="G101" i="41" s="1"/>
  <c r="H101" i="176" s="1"/>
  <c r="F101" i="41" a="1"/>
  <c r="F101" i="41" s="1"/>
  <c r="W100" i="41" a="1"/>
  <c r="W100" i="41" s="1"/>
  <c r="AD100" i="176" s="1"/>
  <c r="F83" i="177" s="1"/>
  <c r="V100" i="41" a="1"/>
  <c r="V100" i="41" s="1"/>
  <c r="AC100" i="176" s="1"/>
  <c r="E83" i="177" s="1"/>
  <c r="U100" i="41" a="1"/>
  <c r="U100" i="41" s="1"/>
  <c r="AB100" i="176" s="1"/>
  <c r="D83" i="177" s="1"/>
  <c r="S100" i="41" a="1"/>
  <c r="S100" i="41" s="1"/>
  <c r="R100" i="41" a="1"/>
  <c r="R100" i="41" s="1"/>
  <c r="Q100" i="41" a="1"/>
  <c r="Q100" i="41" s="1"/>
  <c r="V100" i="176" s="1"/>
  <c r="P100" i="41" a="1"/>
  <c r="P100" i="41" s="1"/>
  <c r="U100" i="176" s="1"/>
  <c r="N100" i="41" a="1"/>
  <c r="N100" i="41" s="1"/>
  <c r="S100" i="176" s="1"/>
  <c r="W99" i="41" a="1"/>
  <c r="W99" i="41" s="1"/>
  <c r="AD99" i="176" s="1"/>
  <c r="V99" i="41" a="1"/>
  <c r="V99" i="41" s="1"/>
  <c r="AC99" i="176" s="1"/>
  <c r="U99" i="41" a="1"/>
  <c r="U99" i="41" s="1"/>
  <c r="AB99" i="176" s="1"/>
  <c r="S99" i="41" a="1"/>
  <c r="S99" i="41" s="1"/>
  <c r="X99" i="176" s="1"/>
  <c r="R99" i="41" a="1"/>
  <c r="R99" i="41" s="1"/>
  <c r="W99" i="176" s="1"/>
  <c r="Q99" i="41" a="1"/>
  <c r="Q99" i="41" s="1"/>
  <c r="V99" i="176" s="1"/>
  <c r="P99" i="41" a="1"/>
  <c r="P99" i="41" s="1"/>
  <c r="U99" i="176" s="1"/>
  <c r="N99" i="41" a="1"/>
  <c r="N99" i="41" s="1"/>
  <c r="W98" i="41" a="1"/>
  <c r="W98" i="41" s="1"/>
  <c r="V98" i="41" a="1"/>
  <c r="V98" i="41" s="1"/>
  <c r="AC98" i="176" s="1"/>
  <c r="U98" i="41" a="1"/>
  <c r="U98" i="41" s="1"/>
  <c r="AB98" i="176" s="1"/>
  <c r="S98" i="41" a="1"/>
  <c r="S98" i="41" s="1"/>
  <c r="R98" i="41" a="1"/>
  <c r="R98" i="41" s="1"/>
  <c r="Q98" i="41" a="1"/>
  <c r="Q98" i="41" s="1"/>
  <c r="V98" i="176" s="1"/>
  <c r="P98" i="41" a="1"/>
  <c r="P98" i="41" s="1"/>
  <c r="U98" i="176" s="1"/>
  <c r="N98" i="41" a="1"/>
  <c r="N98" i="41" s="1"/>
  <c r="W97" i="41" a="1"/>
  <c r="W97" i="41" s="1"/>
  <c r="V97" i="41" a="1"/>
  <c r="V97" i="41" s="1"/>
  <c r="AC97" i="176" s="1"/>
  <c r="U97" i="41" a="1"/>
  <c r="U97" i="41" s="1"/>
  <c r="AB97" i="176" s="1"/>
  <c r="S97" i="41" a="1"/>
  <c r="S97" i="41" s="1"/>
  <c r="X97" i="176" s="1"/>
  <c r="R97" i="41" a="1"/>
  <c r="R97" i="41" s="1"/>
  <c r="Q97" i="41" a="1"/>
  <c r="Q97" i="41" s="1"/>
  <c r="V97" i="176" s="1"/>
  <c r="P97" i="41" a="1"/>
  <c r="P97" i="41" s="1"/>
  <c r="U97" i="176" s="1"/>
  <c r="N97" i="41" a="1"/>
  <c r="N97" i="41" s="1"/>
  <c r="S97" i="176" s="1"/>
  <c r="W96" i="41" a="1"/>
  <c r="W96" i="41" s="1"/>
  <c r="AD96" i="176" s="1"/>
  <c r="V96" i="41" a="1"/>
  <c r="V96" i="41" s="1"/>
  <c r="AC96" i="176" s="1"/>
  <c r="U96" i="41" a="1"/>
  <c r="U96" i="41" s="1"/>
  <c r="AB96" i="176" s="1"/>
  <c r="S96" i="41" a="1"/>
  <c r="S96" i="41" s="1"/>
  <c r="R96" i="41" a="1"/>
  <c r="R96" i="41" s="1"/>
  <c r="W96" i="176" s="1"/>
  <c r="Q96" i="41" a="1"/>
  <c r="Q96" i="41" s="1"/>
  <c r="V96" i="176" s="1"/>
  <c r="P96" i="41" a="1"/>
  <c r="P96" i="41" s="1"/>
  <c r="U96" i="176" s="1"/>
  <c r="N96" i="41" a="1"/>
  <c r="N96" i="41" s="1"/>
  <c r="S96" i="176" s="1"/>
  <c r="W95" i="41" a="1"/>
  <c r="W95" i="41" s="1"/>
  <c r="AD95" i="176" s="1"/>
  <c r="V95" i="41" a="1"/>
  <c r="V95" i="41" s="1"/>
  <c r="AC95" i="176" s="1"/>
  <c r="U95" i="41" a="1"/>
  <c r="U95" i="41" s="1"/>
  <c r="AB95" i="176" s="1"/>
  <c r="C83" i="177" s="1"/>
  <c r="S95" i="41" a="1"/>
  <c r="S95" i="41" s="1"/>
  <c r="X95" i="176" s="1"/>
  <c r="R95" i="41" a="1"/>
  <c r="R95" i="41" s="1"/>
  <c r="W95" i="176" s="1"/>
  <c r="Q95" i="41" a="1"/>
  <c r="Q95" i="41" s="1"/>
  <c r="V95" i="176" s="1"/>
  <c r="P95" i="41" a="1"/>
  <c r="P95" i="41" s="1"/>
  <c r="U95" i="176" s="1"/>
  <c r="N95" i="41" a="1"/>
  <c r="N95" i="41" s="1"/>
  <c r="S95" i="176" s="1"/>
  <c r="J95" i="41" a="1"/>
  <c r="J95" i="41" s="1"/>
  <c r="I95" i="41" a="1"/>
  <c r="I95" i="41" s="1"/>
  <c r="L95" i="176" s="1"/>
  <c r="G95" i="41" a="1"/>
  <c r="G95" i="41" s="1"/>
  <c r="F95" i="41" a="1"/>
  <c r="F95" i="41" s="1"/>
  <c r="W94" i="41" a="1"/>
  <c r="W94" i="41" s="1"/>
  <c r="AD94" i="176" s="1"/>
  <c r="V94" i="41" a="1"/>
  <c r="V94" i="41" s="1"/>
  <c r="AC94" i="176" s="1"/>
  <c r="U94" i="41" a="1"/>
  <c r="U94" i="41" s="1"/>
  <c r="AB94" i="176" s="1"/>
  <c r="S94" i="41" a="1"/>
  <c r="S94" i="41" s="1"/>
  <c r="R94" i="41" a="1"/>
  <c r="R94" i="41" s="1"/>
  <c r="W94" i="176" s="1"/>
  <c r="Q94" i="41" a="1"/>
  <c r="Q94" i="41" s="1"/>
  <c r="V94" i="176" s="1"/>
  <c r="P94" i="41" a="1"/>
  <c r="P94" i="41" s="1"/>
  <c r="U94" i="176" s="1"/>
  <c r="N94" i="41" a="1"/>
  <c r="N94" i="41" s="1"/>
  <c r="J94" i="41" a="1"/>
  <c r="J94" i="41" s="1"/>
  <c r="M94" i="176" s="1"/>
  <c r="I94" i="41" a="1"/>
  <c r="I94" i="41" s="1"/>
  <c r="L94" i="176" s="1"/>
  <c r="G94" i="41" a="1"/>
  <c r="G94" i="41" s="1"/>
  <c r="H94" i="176" s="1"/>
  <c r="F94" i="41" a="1"/>
  <c r="F94" i="41" s="1"/>
  <c r="W93" i="41" a="1"/>
  <c r="W93" i="41" s="1"/>
  <c r="V93" i="41" a="1"/>
  <c r="V93" i="41" s="1"/>
  <c r="AC93" i="176" s="1"/>
  <c r="U93" i="41" a="1"/>
  <c r="U93" i="41" s="1"/>
  <c r="AB93" i="176" s="1"/>
  <c r="S93" i="41" a="1"/>
  <c r="S93" i="41" s="1"/>
  <c r="R93" i="41" a="1"/>
  <c r="R93" i="41" s="1"/>
  <c r="W93" i="176" s="1"/>
  <c r="Q93" i="41" a="1"/>
  <c r="Q93" i="41" s="1"/>
  <c r="P93" i="41" a="1"/>
  <c r="P93" i="41" s="1"/>
  <c r="U93" i="176" s="1"/>
  <c r="N93" i="41" a="1"/>
  <c r="N93" i="41" s="1"/>
  <c r="J93" i="41" a="1"/>
  <c r="J93" i="41" s="1"/>
  <c r="M93" i="176" s="1"/>
  <c r="I93" i="41" a="1"/>
  <c r="I93" i="41" s="1"/>
  <c r="L93" i="176" s="1"/>
  <c r="G93" i="41" a="1"/>
  <c r="G93" i="41" s="1"/>
  <c r="H93" i="176" s="1"/>
  <c r="F93" i="41" a="1"/>
  <c r="F93" i="41" s="1"/>
  <c r="G93" i="176" s="1"/>
  <c r="W92" i="41" a="1"/>
  <c r="W92" i="41" s="1"/>
  <c r="AD92" i="176" s="1"/>
  <c r="V92" i="41" a="1"/>
  <c r="V92" i="41" s="1"/>
  <c r="AC92" i="176" s="1"/>
  <c r="U92" i="41" a="1"/>
  <c r="U92" i="41" s="1"/>
  <c r="AB92" i="176" s="1"/>
  <c r="S92" i="41" a="1"/>
  <c r="S92" i="41" s="1"/>
  <c r="R92" i="41" a="1"/>
  <c r="R92" i="41" s="1"/>
  <c r="W92" i="176" s="1"/>
  <c r="Q92" i="41" a="1"/>
  <c r="Q92" i="41" s="1"/>
  <c r="V92" i="176" s="1"/>
  <c r="P92" i="41" a="1"/>
  <c r="P92" i="41" s="1"/>
  <c r="N92" i="41" a="1"/>
  <c r="N92" i="41" s="1"/>
  <c r="S92" i="176" s="1"/>
  <c r="J92" i="41" a="1"/>
  <c r="J92" i="41" s="1"/>
  <c r="M92" i="176" s="1"/>
  <c r="I92" i="41" a="1"/>
  <c r="I92" i="41" s="1"/>
  <c r="L92" i="176" s="1"/>
  <c r="G92" i="41" a="1"/>
  <c r="G92" i="41" s="1"/>
  <c r="H92" i="176" s="1"/>
  <c r="F92" i="41" a="1"/>
  <c r="F92" i="41" s="1"/>
  <c r="G92" i="176" s="1"/>
  <c r="W91" i="41" a="1"/>
  <c r="W91" i="41" s="1"/>
  <c r="V91" i="41" a="1"/>
  <c r="V91" i="41" s="1"/>
  <c r="AC91" i="176" s="1"/>
  <c r="E95" i="177" s="1"/>
  <c r="U91" i="41" a="1"/>
  <c r="U91" i="41" s="1"/>
  <c r="AB91" i="176" s="1"/>
  <c r="D95" i="177" s="1"/>
  <c r="S91" i="41" a="1"/>
  <c r="S91" i="41" s="1"/>
  <c r="X91" i="176" s="1"/>
  <c r="R91" i="41" a="1"/>
  <c r="R91" i="41" s="1"/>
  <c r="W91" i="176" s="1"/>
  <c r="Q91" i="41" a="1"/>
  <c r="Q91" i="41" s="1"/>
  <c r="V91" i="176" s="1"/>
  <c r="P91" i="41" a="1"/>
  <c r="P91" i="41" s="1"/>
  <c r="U91" i="176" s="1"/>
  <c r="N91" i="41" a="1"/>
  <c r="N91" i="41" s="1"/>
  <c r="J91" i="41" a="1"/>
  <c r="J91" i="41" s="1"/>
  <c r="M91" i="176" s="1"/>
  <c r="I91" i="41" a="1"/>
  <c r="I91" i="41" s="1"/>
  <c r="L91" i="176" s="1"/>
  <c r="G91" i="41" a="1"/>
  <c r="G91" i="41" s="1"/>
  <c r="H91" i="176" s="1"/>
  <c r="F91" i="41" a="1"/>
  <c r="F91" i="41" s="1"/>
  <c r="G91" i="176" s="1"/>
  <c r="W90" i="41" a="1"/>
  <c r="W90" i="41" s="1"/>
  <c r="AD90" i="176" s="1"/>
  <c r="V90" i="41" a="1"/>
  <c r="V90" i="41" s="1"/>
  <c r="AC90" i="176" s="1"/>
  <c r="U90" i="41" a="1"/>
  <c r="U90" i="41" s="1"/>
  <c r="AB90" i="176" s="1"/>
  <c r="S90" i="41" a="1"/>
  <c r="S90" i="41" s="1"/>
  <c r="X90" i="176" s="1"/>
  <c r="R90" i="41" a="1"/>
  <c r="R90" i="41" s="1"/>
  <c r="W90" i="176" s="1"/>
  <c r="Q90" i="41" a="1"/>
  <c r="Q90" i="41" s="1"/>
  <c r="V90" i="176" s="1"/>
  <c r="P90" i="41" a="1"/>
  <c r="P90" i="41" s="1"/>
  <c r="U90" i="176" s="1"/>
  <c r="N90" i="41" a="1"/>
  <c r="N90" i="41" s="1"/>
  <c r="S90" i="176" s="1"/>
  <c r="J90" i="41" a="1"/>
  <c r="J90" i="41" s="1"/>
  <c r="M90" i="176" s="1"/>
  <c r="I90" i="41" a="1"/>
  <c r="I90" i="41" s="1"/>
  <c r="L90" i="176" s="1"/>
  <c r="G90" i="41" a="1"/>
  <c r="G90" i="41" s="1"/>
  <c r="H90" i="176" s="1"/>
  <c r="F90" i="41" a="1"/>
  <c r="F90" i="41" s="1"/>
  <c r="W89" i="41" a="1"/>
  <c r="W89" i="41" s="1"/>
  <c r="AD89" i="176" s="1"/>
  <c r="V89" i="41" a="1"/>
  <c r="V89" i="41" s="1"/>
  <c r="AC89" i="176" s="1"/>
  <c r="U89" i="41" a="1"/>
  <c r="U89" i="41" s="1"/>
  <c r="AB89" i="176" s="1"/>
  <c r="S89" i="41" a="1"/>
  <c r="S89" i="41" s="1"/>
  <c r="X89" i="176" s="1"/>
  <c r="R89" i="41" a="1"/>
  <c r="R89" i="41" s="1"/>
  <c r="W89" i="176" s="1"/>
  <c r="Q89" i="41" a="1"/>
  <c r="Q89" i="41" s="1"/>
  <c r="V89" i="176" s="1"/>
  <c r="P89" i="41" a="1"/>
  <c r="P89" i="41" s="1"/>
  <c r="U89" i="176" s="1"/>
  <c r="N89" i="41" a="1"/>
  <c r="N89" i="41" s="1"/>
  <c r="J89" i="41" a="1"/>
  <c r="J89" i="41" s="1"/>
  <c r="M89" i="176" s="1"/>
  <c r="I89" i="41" a="1"/>
  <c r="I89" i="41" s="1"/>
  <c r="L89" i="176" s="1"/>
  <c r="G89" i="41" a="1"/>
  <c r="G89" i="41" s="1"/>
  <c r="H89" i="176" s="1"/>
  <c r="F89" i="41" a="1"/>
  <c r="F89" i="41" s="1"/>
  <c r="G89" i="176" s="1"/>
  <c r="W88" i="41" a="1"/>
  <c r="W88" i="41" s="1"/>
  <c r="AD88" i="176" s="1"/>
  <c r="V88" i="41" a="1"/>
  <c r="V88" i="41" s="1"/>
  <c r="AC88" i="176" s="1"/>
  <c r="U88" i="41" a="1"/>
  <c r="U88" i="41" s="1"/>
  <c r="AB88" i="176" s="1"/>
  <c r="S88" i="41" a="1"/>
  <c r="S88" i="41" s="1"/>
  <c r="R88" i="41" a="1"/>
  <c r="R88" i="41" s="1"/>
  <c r="W88" i="176" s="1"/>
  <c r="Q88" i="41" a="1"/>
  <c r="Q88" i="41" s="1"/>
  <c r="V88" i="176" s="1"/>
  <c r="P88" i="41" a="1"/>
  <c r="P88" i="41" s="1"/>
  <c r="U88" i="176" s="1"/>
  <c r="N88" i="41" a="1"/>
  <c r="N88" i="41" s="1"/>
  <c r="S88" i="176" s="1"/>
  <c r="J88" i="41" a="1"/>
  <c r="J88" i="41" s="1"/>
  <c r="M88" i="176" s="1"/>
  <c r="I88" i="41" a="1"/>
  <c r="I88" i="41" s="1"/>
  <c r="L88" i="176" s="1"/>
  <c r="G88" i="41" a="1"/>
  <c r="G88" i="41" s="1"/>
  <c r="H88" i="176" s="1"/>
  <c r="F88" i="41" a="1"/>
  <c r="F88" i="41" s="1"/>
  <c r="W87" i="41" a="1"/>
  <c r="W87" i="41" s="1"/>
  <c r="AD87" i="176" s="1"/>
  <c r="V87" i="41" a="1"/>
  <c r="V87" i="41" s="1"/>
  <c r="AC87" i="176" s="1"/>
  <c r="U87" i="41" a="1"/>
  <c r="U87" i="41" s="1"/>
  <c r="AB87" i="176" s="1"/>
  <c r="S87" i="41" a="1"/>
  <c r="S87" i="41" s="1"/>
  <c r="X87" i="176" s="1"/>
  <c r="R87" i="41" a="1"/>
  <c r="R87" i="41" s="1"/>
  <c r="Q87" i="41" a="1"/>
  <c r="Q87" i="41" s="1"/>
  <c r="V87" i="176" s="1"/>
  <c r="P87" i="41" a="1"/>
  <c r="P87" i="41" s="1"/>
  <c r="U87" i="176" s="1"/>
  <c r="N87" i="41" a="1"/>
  <c r="N87" i="41" s="1"/>
  <c r="J87" i="41" a="1"/>
  <c r="J87" i="41" s="1"/>
  <c r="I87" i="41" a="1"/>
  <c r="I87" i="41" s="1"/>
  <c r="L87" i="176" s="1"/>
  <c r="G87" i="41" a="1"/>
  <c r="G87" i="41" s="1"/>
  <c r="H87" i="176" s="1"/>
  <c r="F87" i="41" a="1"/>
  <c r="F87" i="41" s="1"/>
  <c r="G87" i="176" s="1"/>
  <c r="W86" i="41" a="1"/>
  <c r="W86" i="41" s="1"/>
  <c r="AD86" i="176" s="1"/>
  <c r="V86" i="41" a="1"/>
  <c r="V86" i="41" s="1"/>
  <c r="AC86" i="176" s="1"/>
  <c r="U86" i="41" a="1"/>
  <c r="U86" i="41" s="1"/>
  <c r="AB86" i="176" s="1"/>
  <c r="C95" i="177" s="1"/>
  <c r="S86" i="41" a="1"/>
  <c r="S86" i="41" s="1"/>
  <c r="X86" i="176" s="1"/>
  <c r="R86" i="41" a="1"/>
  <c r="R86" i="41" s="1"/>
  <c r="Q86" i="41" a="1"/>
  <c r="Q86" i="41" s="1"/>
  <c r="V86" i="176" s="1"/>
  <c r="P86" i="41" a="1"/>
  <c r="P86" i="41" s="1"/>
  <c r="U86" i="176" s="1"/>
  <c r="N86" i="41" a="1"/>
  <c r="N86" i="41" s="1"/>
  <c r="S86" i="176" s="1"/>
  <c r="J86" i="41" a="1"/>
  <c r="J86" i="41" s="1"/>
  <c r="I86" i="41" a="1"/>
  <c r="I86" i="41" s="1"/>
  <c r="L86" i="176" s="1"/>
  <c r="G86" i="41" a="1"/>
  <c r="G86" i="41" s="1"/>
  <c r="H86" i="176" s="1"/>
  <c r="F86" i="41" a="1"/>
  <c r="F86" i="41" s="1"/>
  <c r="W85" i="41" a="1"/>
  <c r="W85" i="41" s="1"/>
  <c r="AD85" i="176" s="1"/>
  <c r="V85" i="41" a="1"/>
  <c r="V85" i="41" s="1"/>
  <c r="AC85" i="176" s="1"/>
  <c r="U85" i="41" a="1"/>
  <c r="U85" i="41" s="1"/>
  <c r="AB85" i="176" s="1"/>
  <c r="S85" i="41" a="1"/>
  <c r="S85" i="41" s="1"/>
  <c r="X85" i="176" s="1"/>
  <c r="R85" i="41" a="1"/>
  <c r="R85" i="41" s="1"/>
  <c r="W85" i="176" s="1"/>
  <c r="Q85" i="41" a="1"/>
  <c r="Q85" i="41" s="1"/>
  <c r="V85" i="176" s="1"/>
  <c r="P85" i="41" a="1"/>
  <c r="P85" i="41" s="1"/>
  <c r="U85" i="176" s="1"/>
  <c r="N85" i="41" a="1"/>
  <c r="N85" i="41" s="1"/>
  <c r="S85" i="176" s="1"/>
  <c r="J85" i="41" a="1"/>
  <c r="J85" i="41" s="1"/>
  <c r="M85" i="176" s="1"/>
  <c r="I85" i="41" a="1"/>
  <c r="I85" i="41" s="1"/>
  <c r="L85" i="176" s="1"/>
  <c r="G85" i="41" a="1"/>
  <c r="G85" i="41" s="1"/>
  <c r="H85" i="176" s="1"/>
  <c r="F85" i="41" a="1"/>
  <c r="F85" i="41" s="1"/>
  <c r="G85" i="176" s="1"/>
  <c r="W84" i="41" a="1"/>
  <c r="W84" i="41" s="1"/>
  <c r="AD84" i="176" s="1"/>
  <c r="V84" i="41" a="1"/>
  <c r="V84" i="41" s="1"/>
  <c r="AC84" i="176" s="1"/>
  <c r="U84" i="41" a="1"/>
  <c r="U84" i="41" s="1"/>
  <c r="AB84" i="176" s="1"/>
  <c r="S84" i="41" a="1"/>
  <c r="S84" i="41" s="1"/>
  <c r="X84" i="176" s="1"/>
  <c r="R84" i="41" a="1"/>
  <c r="R84" i="41" s="1"/>
  <c r="W84" i="176" s="1"/>
  <c r="Q84" i="41" a="1"/>
  <c r="Q84" i="41" s="1"/>
  <c r="V84" i="176" s="1"/>
  <c r="P84" i="41" a="1"/>
  <c r="P84" i="41" s="1"/>
  <c r="U84" i="176" s="1"/>
  <c r="N84" i="41" a="1"/>
  <c r="N84" i="41" s="1"/>
  <c r="S84" i="176" s="1"/>
  <c r="J84" i="41" a="1"/>
  <c r="J84" i="41" s="1"/>
  <c r="M84" i="176" s="1"/>
  <c r="I84" i="41" a="1"/>
  <c r="I84" i="41" s="1"/>
  <c r="L84" i="176" s="1"/>
  <c r="G84" i="41" a="1"/>
  <c r="G84" i="41" s="1"/>
  <c r="H84" i="176" s="1"/>
  <c r="F84" i="41" a="1"/>
  <c r="F84" i="41" s="1"/>
  <c r="W83" i="41" a="1"/>
  <c r="W83" i="41" s="1"/>
  <c r="AD83" i="176" s="1"/>
  <c r="V83" i="41" a="1"/>
  <c r="V83" i="41" s="1"/>
  <c r="AC83" i="176" s="1"/>
  <c r="U83" i="41" a="1"/>
  <c r="U83" i="41" s="1"/>
  <c r="AB83" i="176" s="1"/>
  <c r="S83" i="41" a="1"/>
  <c r="S83" i="41" s="1"/>
  <c r="R83" i="41" a="1"/>
  <c r="R83" i="41" s="1"/>
  <c r="W83" i="176" s="1"/>
  <c r="Q83" i="41" a="1"/>
  <c r="Q83" i="41" s="1"/>
  <c r="P83" i="41" a="1"/>
  <c r="P83" i="41" s="1"/>
  <c r="U83" i="176" s="1"/>
  <c r="N83" i="41" a="1"/>
  <c r="N83" i="41" s="1"/>
  <c r="J83" i="41" a="1"/>
  <c r="J83" i="41" s="1"/>
  <c r="M83" i="176" s="1"/>
  <c r="I83" i="41" a="1"/>
  <c r="I83" i="41" s="1"/>
  <c r="L83" i="176" s="1"/>
  <c r="G83" i="41" a="1"/>
  <c r="G83" i="41" s="1"/>
  <c r="H83" i="176" s="1"/>
  <c r="F83" i="41" a="1"/>
  <c r="F83" i="41" s="1"/>
  <c r="W82" i="41" a="1"/>
  <c r="W82" i="41" s="1"/>
  <c r="AD82" i="176" s="1"/>
  <c r="V82" i="41" a="1"/>
  <c r="V82" i="41" s="1"/>
  <c r="AC82" i="176" s="1"/>
  <c r="U82" i="41" a="1"/>
  <c r="U82" i="41" s="1"/>
  <c r="AB82" i="176" s="1"/>
  <c r="S82" i="41" a="1"/>
  <c r="S82" i="41" s="1"/>
  <c r="R82" i="41" a="1"/>
  <c r="R82" i="41" s="1"/>
  <c r="W82" i="176" s="1"/>
  <c r="Q82" i="41" a="1"/>
  <c r="Q82" i="41" s="1"/>
  <c r="V82" i="176" s="1"/>
  <c r="P82" i="41" a="1"/>
  <c r="P82" i="41" s="1"/>
  <c r="U82" i="176" s="1"/>
  <c r="N82" i="41" a="1"/>
  <c r="N82" i="41" s="1"/>
  <c r="S82" i="176" s="1"/>
  <c r="J82" i="41" a="1"/>
  <c r="J82" i="41" s="1"/>
  <c r="M82" i="176" s="1"/>
  <c r="I82" i="41" a="1"/>
  <c r="I82" i="41" s="1"/>
  <c r="L82" i="176" s="1"/>
  <c r="G82" i="41" a="1"/>
  <c r="G82" i="41" s="1"/>
  <c r="H82" i="176" s="1"/>
  <c r="F82" i="41" a="1"/>
  <c r="F82" i="41" s="1"/>
  <c r="W81" i="41" a="1"/>
  <c r="W81" i="41" s="1"/>
  <c r="AD81" i="176" s="1"/>
  <c r="V81" i="41" a="1"/>
  <c r="V81" i="41" s="1"/>
  <c r="AC81" i="176" s="1"/>
  <c r="U81" i="41" a="1"/>
  <c r="U81" i="41" s="1"/>
  <c r="AB81" i="176" s="1"/>
  <c r="S81" i="41" a="1"/>
  <c r="S81" i="41" s="1"/>
  <c r="R81" i="41" a="1"/>
  <c r="R81" i="41" s="1"/>
  <c r="W81" i="176" s="1"/>
  <c r="Q81" i="41" a="1"/>
  <c r="Q81" i="41" s="1"/>
  <c r="V81" i="176" s="1"/>
  <c r="P81" i="41" a="1"/>
  <c r="P81" i="41" s="1"/>
  <c r="U81" i="176" s="1"/>
  <c r="N81" i="41" a="1"/>
  <c r="N81" i="41" s="1"/>
  <c r="J81" i="41" a="1"/>
  <c r="J81" i="41" s="1"/>
  <c r="M81" i="176" s="1"/>
  <c r="I81" i="41" a="1"/>
  <c r="I81" i="41" s="1"/>
  <c r="L81" i="176" s="1"/>
  <c r="G81" i="41" a="1"/>
  <c r="G81" i="41" s="1"/>
  <c r="H81" i="176" s="1"/>
  <c r="F81" i="41" a="1"/>
  <c r="F81" i="41" s="1"/>
  <c r="G81" i="176" s="1"/>
  <c r="W80" i="41" a="1"/>
  <c r="W80" i="41" s="1"/>
  <c r="AD80" i="176" s="1"/>
  <c r="V80" i="41" a="1"/>
  <c r="V80" i="41" s="1"/>
  <c r="AC80" i="176" s="1"/>
  <c r="U80" i="41" a="1"/>
  <c r="U80" i="41" s="1"/>
  <c r="AB80" i="176" s="1"/>
  <c r="S80" i="41" a="1"/>
  <c r="S80" i="41" s="1"/>
  <c r="R80" i="41" a="1"/>
  <c r="R80" i="41" s="1"/>
  <c r="W80" i="176" s="1"/>
  <c r="Q80" i="41" a="1"/>
  <c r="Q80" i="41" s="1"/>
  <c r="V80" i="176" s="1"/>
  <c r="P80" i="41" a="1"/>
  <c r="P80" i="41" s="1"/>
  <c r="U80" i="176" s="1"/>
  <c r="N80" i="41" a="1"/>
  <c r="N80" i="41" s="1"/>
  <c r="S80" i="176" s="1"/>
  <c r="J80" i="41" a="1"/>
  <c r="J80" i="41" s="1"/>
  <c r="M80" i="176" s="1"/>
  <c r="I80" i="41" a="1"/>
  <c r="I80" i="41" s="1"/>
  <c r="L80" i="176" s="1"/>
  <c r="G80" i="41" a="1"/>
  <c r="G80" i="41" s="1"/>
  <c r="H80" i="176" s="1"/>
  <c r="F80" i="41" a="1"/>
  <c r="F80" i="41" s="1"/>
  <c r="W79" i="41" a="1"/>
  <c r="W79" i="41" s="1"/>
  <c r="AD79" i="176" s="1"/>
  <c r="V79" i="41" a="1"/>
  <c r="V79" i="41" s="1"/>
  <c r="AC79" i="176" s="1"/>
  <c r="U79" i="41" a="1"/>
  <c r="U79" i="41" s="1"/>
  <c r="AB79" i="176" s="1"/>
  <c r="S79" i="41" a="1"/>
  <c r="S79" i="41" s="1"/>
  <c r="X79" i="176" s="1"/>
  <c r="R79" i="41" a="1"/>
  <c r="R79" i="41" s="1"/>
  <c r="W79" i="176" s="1"/>
  <c r="Q79" i="41" a="1"/>
  <c r="Q79" i="41" s="1"/>
  <c r="V79" i="176" s="1"/>
  <c r="P79" i="41" a="1"/>
  <c r="P79" i="41" s="1"/>
  <c r="U79" i="176" s="1"/>
  <c r="N79" i="41" a="1"/>
  <c r="N79" i="41" s="1"/>
  <c r="S79" i="176" s="1"/>
  <c r="J79" i="41" a="1"/>
  <c r="J79" i="41" s="1"/>
  <c r="M79" i="176" s="1"/>
  <c r="I79" i="41" a="1"/>
  <c r="I79" i="41" s="1"/>
  <c r="L79" i="176" s="1"/>
  <c r="G79" i="41" a="1"/>
  <c r="G79" i="41" s="1"/>
  <c r="H79" i="176" s="1"/>
  <c r="F79" i="41" a="1"/>
  <c r="F79" i="41" s="1"/>
  <c r="W78" i="41" a="1"/>
  <c r="W78" i="41" s="1"/>
  <c r="AD78" i="176" s="1"/>
  <c r="V78" i="41" a="1"/>
  <c r="V78" i="41" s="1"/>
  <c r="AC78" i="176" s="1"/>
  <c r="U78" i="41" a="1"/>
  <c r="U78" i="41" s="1"/>
  <c r="AB78" i="176" s="1"/>
  <c r="S78" i="41" a="1"/>
  <c r="S78" i="41" s="1"/>
  <c r="X78" i="176" s="1"/>
  <c r="R78" i="41" a="1"/>
  <c r="R78" i="41" s="1"/>
  <c r="W78" i="176" s="1"/>
  <c r="Q78" i="41" a="1"/>
  <c r="Q78" i="41" s="1"/>
  <c r="V78" i="176" s="1"/>
  <c r="P78" i="41" a="1"/>
  <c r="P78" i="41" s="1"/>
  <c r="U78" i="176" s="1"/>
  <c r="N78" i="41" a="1"/>
  <c r="N78" i="41" s="1"/>
  <c r="S78" i="176" s="1"/>
  <c r="J78" i="41" a="1"/>
  <c r="J78" i="41" s="1"/>
  <c r="M78" i="176" s="1"/>
  <c r="I78" i="41" a="1"/>
  <c r="I78" i="41" s="1"/>
  <c r="L78" i="176" s="1"/>
  <c r="G78" i="41" a="1"/>
  <c r="G78" i="41" s="1"/>
  <c r="H78" i="176" s="1"/>
  <c r="F78" i="41" a="1"/>
  <c r="F78" i="41" s="1"/>
  <c r="W77" i="41" a="1"/>
  <c r="W77" i="41" s="1"/>
  <c r="AD77" i="176" s="1"/>
  <c r="F94" i="177" s="1"/>
  <c r="V77" i="41" a="1"/>
  <c r="V77" i="41" s="1"/>
  <c r="AC77" i="176" s="1"/>
  <c r="E94" i="177" s="1"/>
  <c r="U77" i="41" a="1"/>
  <c r="U77" i="41" s="1"/>
  <c r="AB77" i="176" s="1"/>
  <c r="D94" i="177" s="1"/>
  <c r="S77" i="41" a="1"/>
  <c r="S77" i="41" s="1"/>
  <c r="R77" i="41" a="1"/>
  <c r="R77" i="41" s="1"/>
  <c r="W77" i="176" s="1"/>
  <c r="Q77" i="41" a="1"/>
  <c r="Q77" i="41" s="1"/>
  <c r="V77" i="176" s="1"/>
  <c r="P77" i="41" a="1"/>
  <c r="P77" i="41" s="1"/>
  <c r="U77" i="176" s="1"/>
  <c r="N77" i="41" a="1"/>
  <c r="N77" i="41" s="1"/>
  <c r="J77" i="41" a="1"/>
  <c r="J77" i="41" s="1"/>
  <c r="M77" i="176" s="1"/>
  <c r="I77" i="41" a="1"/>
  <c r="I77" i="41" s="1"/>
  <c r="L77" i="176" s="1"/>
  <c r="G77" i="41" a="1"/>
  <c r="G77" i="41" s="1"/>
  <c r="H77" i="176" s="1"/>
  <c r="J77" i="176" s="1"/>
  <c r="G142" i="177" s="1"/>
  <c r="F77" i="41" a="1"/>
  <c r="F77" i="41" s="1"/>
  <c r="G77" i="176" s="1"/>
  <c r="W76" i="41" a="1"/>
  <c r="W76" i="41" s="1"/>
  <c r="V76" i="41" a="1"/>
  <c r="V76" i="41" s="1"/>
  <c r="AC76" i="176" s="1"/>
  <c r="U76" i="41" a="1"/>
  <c r="U76" i="41" s="1"/>
  <c r="AB76" i="176" s="1"/>
  <c r="S76" i="41" a="1"/>
  <c r="S76" i="41" s="1"/>
  <c r="X76" i="176" s="1"/>
  <c r="R76" i="41" a="1"/>
  <c r="R76" i="41" s="1"/>
  <c r="W76" i="176" s="1"/>
  <c r="Q76" i="41" a="1"/>
  <c r="Q76" i="41" s="1"/>
  <c r="V76" i="176" s="1"/>
  <c r="P76" i="41" a="1"/>
  <c r="P76" i="41" s="1"/>
  <c r="U76" i="176" s="1"/>
  <c r="N76" i="41" a="1"/>
  <c r="N76" i="41" s="1"/>
  <c r="S76" i="176" s="1"/>
  <c r="J76" i="41" a="1"/>
  <c r="J76" i="41" s="1"/>
  <c r="M76" i="176" s="1"/>
  <c r="I76" i="41" a="1"/>
  <c r="I76" i="41" s="1"/>
  <c r="L76" i="176" s="1"/>
  <c r="G76" i="41" a="1"/>
  <c r="G76" i="41" s="1"/>
  <c r="H76" i="176" s="1"/>
  <c r="F76" i="41" a="1"/>
  <c r="F76" i="41" s="1"/>
  <c r="G76" i="176" s="1"/>
  <c r="W75" i="41" a="1"/>
  <c r="W75" i="41" s="1"/>
  <c r="AD75" i="176" s="1"/>
  <c r="V75" i="41" a="1"/>
  <c r="V75" i="41" s="1"/>
  <c r="AC75" i="176" s="1"/>
  <c r="U75" i="41" a="1"/>
  <c r="U75" i="41" s="1"/>
  <c r="AB75" i="176" s="1"/>
  <c r="S75" i="41" a="1"/>
  <c r="S75" i="41" s="1"/>
  <c r="X75" i="176" s="1"/>
  <c r="R75" i="41" a="1"/>
  <c r="R75" i="41" s="1"/>
  <c r="W75" i="176" s="1"/>
  <c r="Q75" i="41" a="1"/>
  <c r="Q75" i="41" s="1"/>
  <c r="V75" i="176" s="1"/>
  <c r="P75" i="41" a="1"/>
  <c r="P75" i="41" s="1"/>
  <c r="U75" i="176" s="1"/>
  <c r="N75" i="41" a="1"/>
  <c r="N75" i="41" s="1"/>
  <c r="S75" i="176" s="1"/>
  <c r="J75" i="41" a="1"/>
  <c r="J75" i="41" s="1"/>
  <c r="M75" i="176" s="1"/>
  <c r="I75" i="41" a="1"/>
  <c r="I75" i="41" s="1"/>
  <c r="L75" i="176" s="1"/>
  <c r="G75" i="41" a="1"/>
  <c r="G75" i="41" s="1"/>
  <c r="H75" i="176" s="1"/>
  <c r="F75" i="41" a="1"/>
  <c r="F75" i="41" s="1"/>
  <c r="W74" i="41" a="1"/>
  <c r="W74" i="41" s="1"/>
  <c r="AD74" i="176" s="1"/>
  <c r="V74" i="41" a="1"/>
  <c r="V74" i="41" s="1"/>
  <c r="AC74" i="176" s="1"/>
  <c r="U74" i="41" a="1"/>
  <c r="U74" i="41" s="1"/>
  <c r="AB74" i="176" s="1"/>
  <c r="S74" i="41" a="1"/>
  <c r="S74" i="41" s="1"/>
  <c r="R74" i="41" a="1"/>
  <c r="R74" i="41" s="1"/>
  <c r="Q74" i="41" a="1"/>
  <c r="Q74" i="41" s="1"/>
  <c r="V74" i="176" s="1"/>
  <c r="P74" i="41" a="1"/>
  <c r="P74" i="41" s="1"/>
  <c r="U74" i="176" s="1"/>
  <c r="N74" i="41" a="1"/>
  <c r="N74" i="41" s="1"/>
  <c r="S74" i="176" s="1"/>
  <c r="J74" i="41" a="1"/>
  <c r="J74" i="41" s="1"/>
  <c r="M74" i="176" s="1"/>
  <c r="I74" i="41" a="1"/>
  <c r="I74" i="41" s="1"/>
  <c r="L74" i="176" s="1"/>
  <c r="G74" i="41" a="1"/>
  <c r="G74" i="41" s="1"/>
  <c r="H74" i="176" s="1"/>
  <c r="F74" i="41" a="1"/>
  <c r="F74" i="41" s="1"/>
  <c r="G74" i="176" s="1"/>
  <c r="W73" i="41" a="1"/>
  <c r="W73" i="41" s="1"/>
  <c r="AD73" i="176" s="1"/>
  <c r="V73" i="41" a="1"/>
  <c r="V73" i="41" s="1"/>
  <c r="AC73" i="176" s="1"/>
  <c r="U73" i="41" a="1"/>
  <c r="U73" i="41" s="1"/>
  <c r="AB73" i="176" s="1"/>
  <c r="S73" i="41" a="1"/>
  <c r="S73" i="41" s="1"/>
  <c r="X73" i="176" s="1"/>
  <c r="R73" i="41" a="1"/>
  <c r="R73" i="41" s="1"/>
  <c r="Q73" i="41" a="1"/>
  <c r="Q73" i="41" s="1"/>
  <c r="V73" i="176" s="1"/>
  <c r="P73" i="41" a="1"/>
  <c r="P73" i="41" s="1"/>
  <c r="U73" i="176" s="1"/>
  <c r="N73" i="41" a="1"/>
  <c r="N73" i="41" s="1"/>
  <c r="S73" i="176" s="1"/>
  <c r="J73" i="41" a="1"/>
  <c r="J73" i="41" s="1"/>
  <c r="M73" i="176" s="1"/>
  <c r="I73" i="41" a="1"/>
  <c r="I73" i="41" s="1"/>
  <c r="L73" i="176" s="1"/>
  <c r="G73" i="41" a="1"/>
  <c r="G73" i="41" s="1"/>
  <c r="H73" i="176" s="1"/>
  <c r="F73" i="41" a="1"/>
  <c r="F73" i="41" s="1"/>
  <c r="G73" i="176" s="1"/>
  <c r="W72" i="41" a="1"/>
  <c r="W72" i="41" s="1"/>
  <c r="AD72" i="176" s="1"/>
  <c r="V72" i="41" a="1"/>
  <c r="V72" i="41" s="1"/>
  <c r="AC72" i="176" s="1"/>
  <c r="U72" i="41" a="1"/>
  <c r="U72" i="41" s="1"/>
  <c r="AB72" i="176" s="1"/>
  <c r="C94" i="177" s="1"/>
  <c r="S72" i="41" a="1"/>
  <c r="S72" i="41" s="1"/>
  <c r="X72" i="176" s="1"/>
  <c r="R72" i="41" a="1"/>
  <c r="R72" i="41" s="1"/>
  <c r="W72" i="176" s="1"/>
  <c r="Q72" i="41" a="1"/>
  <c r="Q72" i="41" s="1"/>
  <c r="V72" i="176" s="1"/>
  <c r="P72" i="41" a="1"/>
  <c r="P72" i="41" s="1"/>
  <c r="U72" i="176" s="1"/>
  <c r="N72" i="41" a="1"/>
  <c r="N72" i="41" s="1"/>
  <c r="S72" i="176" s="1"/>
  <c r="J72" i="41" a="1"/>
  <c r="J72" i="41" s="1"/>
  <c r="M72" i="176" s="1"/>
  <c r="I72" i="41" a="1"/>
  <c r="I72" i="41" s="1"/>
  <c r="L72" i="176" s="1"/>
  <c r="G72" i="41" a="1"/>
  <c r="G72" i="41" s="1"/>
  <c r="H72" i="176" s="1"/>
  <c r="F72" i="41" a="1"/>
  <c r="F72" i="41" s="1"/>
  <c r="G72" i="176" s="1"/>
  <c r="W71" i="41" a="1"/>
  <c r="W71" i="41" s="1"/>
  <c r="AD71" i="176" s="1"/>
  <c r="V71" i="41" a="1"/>
  <c r="V71" i="41" s="1"/>
  <c r="AC71" i="176" s="1"/>
  <c r="U71" i="41" a="1"/>
  <c r="U71" i="41" s="1"/>
  <c r="AB71" i="176" s="1"/>
  <c r="S71" i="41" a="1"/>
  <c r="S71" i="41" s="1"/>
  <c r="X71" i="176" s="1"/>
  <c r="R71" i="41" a="1"/>
  <c r="R71" i="41" s="1"/>
  <c r="Q71" i="41" a="1"/>
  <c r="Q71" i="41" s="1"/>
  <c r="V71" i="176" s="1"/>
  <c r="P71" i="41" a="1"/>
  <c r="P71" i="41" s="1"/>
  <c r="U71" i="176" s="1"/>
  <c r="N71" i="41" a="1"/>
  <c r="N71" i="41" s="1"/>
  <c r="S71" i="176" s="1"/>
  <c r="J71" i="41" a="1"/>
  <c r="J71" i="41" s="1"/>
  <c r="M71" i="176" s="1"/>
  <c r="I71" i="41" a="1"/>
  <c r="I71" i="41" s="1"/>
  <c r="L71" i="176" s="1"/>
  <c r="G71" i="41" a="1"/>
  <c r="G71" i="41" s="1"/>
  <c r="H71" i="176" s="1"/>
  <c r="F71" i="41" a="1"/>
  <c r="F71" i="41" s="1"/>
  <c r="G71" i="176" s="1"/>
  <c r="W70" i="41" a="1"/>
  <c r="W70" i="41" s="1"/>
  <c r="AD70" i="176" s="1"/>
  <c r="V70" i="41" a="1"/>
  <c r="V70" i="41" s="1"/>
  <c r="AC70" i="176" s="1"/>
  <c r="U70" i="41" a="1"/>
  <c r="U70" i="41" s="1"/>
  <c r="AB70" i="176" s="1"/>
  <c r="S70" i="41" a="1"/>
  <c r="S70" i="41" s="1"/>
  <c r="X70" i="176" s="1"/>
  <c r="R70" i="41" a="1"/>
  <c r="R70" i="41" s="1"/>
  <c r="W70" i="176" s="1"/>
  <c r="Q70" i="41" a="1"/>
  <c r="Q70" i="41" s="1"/>
  <c r="V70" i="176" s="1"/>
  <c r="P70" i="41" a="1"/>
  <c r="P70" i="41" s="1"/>
  <c r="U70" i="176" s="1"/>
  <c r="N70" i="41" a="1"/>
  <c r="N70" i="41" s="1"/>
  <c r="S70" i="176" s="1"/>
  <c r="J70" i="41" a="1"/>
  <c r="J70" i="41" s="1"/>
  <c r="M70" i="176" s="1"/>
  <c r="I70" i="41" a="1"/>
  <c r="I70" i="41" s="1"/>
  <c r="L70" i="176" s="1"/>
  <c r="G70" i="41" a="1"/>
  <c r="G70" i="41" s="1"/>
  <c r="H70" i="176" s="1"/>
  <c r="F70" i="41" a="1"/>
  <c r="F70" i="41" s="1"/>
  <c r="G70" i="176" s="1"/>
  <c r="W69" i="41" a="1"/>
  <c r="W69" i="41" s="1"/>
  <c r="AD69" i="176" s="1"/>
  <c r="V69" i="41" a="1"/>
  <c r="V69" i="41" s="1"/>
  <c r="AC69" i="176" s="1"/>
  <c r="U69" i="41" a="1"/>
  <c r="U69" i="41" s="1"/>
  <c r="AB69" i="176" s="1"/>
  <c r="S69" i="41" a="1"/>
  <c r="S69" i="41" s="1"/>
  <c r="X69" i="176" s="1"/>
  <c r="R69" i="41" a="1"/>
  <c r="R69" i="41" s="1"/>
  <c r="W69" i="176" s="1"/>
  <c r="Q69" i="41" a="1"/>
  <c r="Q69" i="41" s="1"/>
  <c r="V69" i="176" s="1"/>
  <c r="P69" i="41" a="1"/>
  <c r="P69" i="41" s="1"/>
  <c r="U69" i="176" s="1"/>
  <c r="N69" i="41" a="1"/>
  <c r="N69" i="41" s="1"/>
  <c r="S69" i="176" s="1"/>
  <c r="J69" i="41" a="1"/>
  <c r="J69" i="41" s="1"/>
  <c r="M69" i="176" s="1"/>
  <c r="I69" i="41" a="1"/>
  <c r="I69" i="41" s="1"/>
  <c r="L69" i="176" s="1"/>
  <c r="G69" i="41" a="1"/>
  <c r="G69" i="41" s="1"/>
  <c r="H69" i="176" s="1"/>
  <c r="F69" i="41" a="1"/>
  <c r="F69" i="41" s="1"/>
  <c r="G69" i="176" s="1"/>
  <c r="W68" i="41" a="1"/>
  <c r="W68" i="41" s="1"/>
  <c r="AD68" i="176" s="1"/>
  <c r="V68" i="41" a="1"/>
  <c r="V68" i="41" s="1"/>
  <c r="AC68" i="176" s="1"/>
  <c r="U68" i="41" a="1"/>
  <c r="U68" i="41" s="1"/>
  <c r="AB68" i="176" s="1"/>
  <c r="S68" i="41" a="1"/>
  <c r="S68" i="41" s="1"/>
  <c r="X68" i="176" s="1"/>
  <c r="R68" i="41" a="1"/>
  <c r="R68" i="41" s="1"/>
  <c r="Q68" i="41" a="1"/>
  <c r="Q68" i="41" s="1"/>
  <c r="V68" i="176" s="1"/>
  <c r="P68" i="41" a="1"/>
  <c r="P68" i="41" s="1"/>
  <c r="U68" i="176" s="1"/>
  <c r="N68" i="41" a="1"/>
  <c r="N68" i="41" s="1"/>
  <c r="S68" i="176" s="1"/>
  <c r="J68" i="41" a="1"/>
  <c r="J68" i="41" s="1"/>
  <c r="M68" i="176" s="1"/>
  <c r="I68" i="41" a="1"/>
  <c r="I68" i="41" s="1"/>
  <c r="L68" i="176" s="1"/>
  <c r="G68" i="41" a="1"/>
  <c r="G68" i="41" s="1"/>
  <c r="H68" i="176" s="1"/>
  <c r="F68" i="41" a="1"/>
  <c r="F68" i="41" s="1"/>
  <c r="G68" i="176" s="1"/>
  <c r="W67" i="41" a="1"/>
  <c r="W67" i="41" s="1"/>
  <c r="AD67" i="176" s="1"/>
  <c r="V67" i="41" a="1"/>
  <c r="V67" i="41" s="1"/>
  <c r="AC67" i="176" s="1"/>
  <c r="U67" i="41" a="1"/>
  <c r="U67" i="41" s="1"/>
  <c r="AB67" i="176" s="1"/>
  <c r="S67" i="41" a="1"/>
  <c r="S67" i="41" s="1"/>
  <c r="X67" i="176" s="1"/>
  <c r="R67" i="41" a="1"/>
  <c r="R67" i="41" s="1"/>
  <c r="W67" i="176" s="1"/>
  <c r="Q67" i="41" a="1"/>
  <c r="Q67" i="41" s="1"/>
  <c r="V67" i="176" s="1"/>
  <c r="P67" i="41" a="1"/>
  <c r="P67" i="41" s="1"/>
  <c r="U67" i="176" s="1"/>
  <c r="N67" i="41" a="1"/>
  <c r="N67" i="41" s="1"/>
  <c r="S67" i="176" s="1"/>
  <c r="J67" i="41" a="1"/>
  <c r="J67" i="41" s="1"/>
  <c r="M67" i="176" s="1"/>
  <c r="I67" i="41" a="1"/>
  <c r="I67" i="41" s="1"/>
  <c r="L67" i="176" s="1"/>
  <c r="G67" i="41" a="1"/>
  <c r="G67" i="41" s="1"/>
  <c r="H67" i="176" s="1"/>
  <c r="F67" i="41" a="1"/>
  <c r="F67" i="41" s="1"/>
  <c r="G67" i="176" s="1"/>
  <c r="W66" i="41" a="1"/>
  <c r="W66" i="41" s="1"/>
  <c r="AD66" i="176" s="1"/>
  <c r="V66" i="41" a="1"/>
  <c r="V66" i="41" s="1"/>
  <c r="AC66" i="176" s="1"/>
  <c r="U66" i="41" a="1"/>
  <c r="U66" i="41" s="1"/>
  <c r="AB66" i="176" s="1"/>
  <c r="S66" i="41" a="1"/>
  <c r="S66" i="41" s="1"/>
  <c r="R66" i="41" a="1"/>
  <c r="R66" i="41" s="1"/>
  <c r="W66" i="176" s="1"/>
  <c r="Q66" i="41" a="1"/>
  <c r="Q66" i="41" s="1"/>
  <c r="V66" i="176" s="1"/>
  <c r="P66" i="41" a="1"/>
  <c r="P66" i="41" s="1"/>
  <c r="U66" i="176" s="1"/>
  <c r="N66" i="41" a="1"/>
  <c r="N66" i="41" s="1"/>
  <c r="S66" i="176" s="1"/>
  <c r="J66" i="41" a="1"/>
  <c r="J66" i="41" s="1"/>
  <c r="M66" i="176" s="1"/>
  <c r="I66" i="41" a="1"/>
  <c r="I66" i="41" s="1"/>
  <c r="L66" i="176" s="1"/>
  <c r="G66" i="41" a="1"/>
  <c r="G66" i="41" s="1"/>
  <c r="H66" i="176" s="1"/>
  <c r="F66" i="41" a="1"/>
  <c r="F66" i="41" s="1"/>
  <c r="G66" i="176" s="1"/>
  <c r="W65" i="41" a="1"/>
  <c r="W65" i="41" s="1"/>
  <c r="AD65" i="176" s="1"/>
  <c r="V65" i="41" a="1"/>
  <c r="V65" i="41" s="1"/>
  <c r="AC65" i="176" s="1"/>
  <c r="U65" i="41" a="1"/>
  <c r="U65" i="41" s="1"/>
  <c r="AB65" i="176" s="1"/>
  <c r="S65" i="41" a="1"/>
  <c r="S65" i="41" s="1"/>
  <c r="X65" i="176" s="1"/>
  <c r="R65" i="41" a="1"/>
  <c r="R65" i="41" s="1"/>
  <c r="W65" i="176" s="1"/>
  <c r="Q65" i="41" a="1"/>
  <c r="Q65" i="41" s="1"/>
  <c r="V65" i="176" s="1"/>
  <c r="P65" i="41" a="1"/>
  <c r="P65" i="41" s="1"/>
  <c r="U65" i="176" s="1"/>
  <c r="N65" i="41" a="1"/>
  <c r="N65" i="41" s="1"/>
  <c r="S65" i="176" s="1"/>
  <c r="J65" i="41" a="1"/>
  <c r="J65" i="41" s="1"/>
  <c r="M65" i="176" s="1"/>
  <c r="I65" i="41" a="1"/>
  <c r="I65" i="41" s="1"/>
  <c r="L65" i="176" s="1"/>
  <c r="G65" i="41" a="1"/>
  <c r="G65" i="41" s="1"/>
  <c r="H65" i="176" s="1"/>
  <c r="F65" i="41" a="1"/>
  <c r="F65" i="41" s="1"/>
  <c r="G65" i="176" s="1"/>
  <c r="W64" i="41" a="1"/>
  <c r="W64" i="41" s="1"/>
  <c r="AD64" i="176" s="1"/>
  <c r="V64" i="41" a="1"/>
  <c r="V64" i="41" s="1"/>
  <c r="AC64" i="176" s="1"/>
  <c r="U64" i="41" a="1"/>
  <c r="U64" i="41" s="1"/>
  <c r="AB64" i="176" s="1"/>
  <c r="S64" i="41" a="1"/>
  <c r="S64" i="41" s="1"/>
  <c r="R64" i="41" a="1"/>
  <c r="R64" i="41" s="1"/>
  <c r="W64" i="176" s="1"/>
  <c r="Q64" i="41" a="1"/>
  <c r="Q64" i="41" s="1"/>
  <c r="V64" i="176" s="1"/>
  <c r="P64" i="41" a="1"/>
  <c r="P64" i="41" s="1"/>
  <c r="U64" i="176" s="1"/>
  <c r="N64" i="41" a="1"/>
  <c r="N64" i="41" s="1"/>
  <c r="S64" i="176" s="1"/>
  <c r="J64" i="41" a="1"/>
  <c r="J64" i="41" s="1"/>
  <c r="M64" i="176" s="1"/>
  <c r="I64" i="41" a="1"/>
  <c r="I64" i="41" s="1"/>
  <c r="L64" i="176" s="1"/>
  <c r="G64" i="41" a="1"/>
  <c r="G64" i="41" s="1"/>
  <c r="H64" i="176" s="1"/>
  <c r="F64" i="41" a="1"/>
  <c r="F64" i="41" s="1"/>
  <c r="W63" i="41" a="1"/>
  <c r="W63" i="41" s="1"/>
  <c r="AD63" i="176" s="1"/>
  <c r="F81" i="177" s="1"/>
  <c r="V63" i="41" a="1"/>
  <c r="V63" i="41" s="1"/>
  <c r="AC63" i="176" s="1"/>
  <c r="E81" i="177" s="1"/>
  <c r="U63" i="41" a="1"/>
  <c r="U63" i="41" s="1"/>
  <c r="AB63" i="176" s="1"/>
  <c r="D81" i="177" s="1"/>
  <c r="S63" i="41" a="1"/>
  <c r="S63" i="41" s="1"/>
  <c r="X63" i="176" s="1"/>
  <c r="R63" i="41" a="1"/>
  <c r="R63" i="41" s="1"/>
  <c r="W63" i="176" s="1"/>
  <c r="Q63" i="41" a="1"/>
  <c r="Q63" i="41" s="1"/>
  <c r="V63" i="176" s="1"/>
  <c r="P63" i="41" a="1"/>
  <c r="P63" i="41" s="1"/>
  <c r="U63" i="176" s="1"/>
  <c r="N63" i="41" a="1"/>
  <c r="N63" i="41" s="1"/>
  <c r="W62" i="41" a="1"/>
  <c r="W62" i="41" s="1"/>
  <c r="AD62" i="176" s="1"/>
  <c r="V62" i="41" a="1"/>
  <c r="V62" i="41" s="1"/>
  <c r="AC62" i="176" s="1"/>
  <c r="U62" i="41" a="1"/>
  <c r="U62" i="41" s="1"/>
  <c r="AB62" i="176" s="1"/>
  <c r="S62" i="41" a="1"/>
  <c r="S62" i="41" s="1"/>
  <c r="X62" i="176" s="1"/>
  <c r="R62" i="41" a="1"/>
  <c r="R62" i="41" s="1"/>
  <c r="W62" i="176" s="1"/>
  <c r="Q62" i="41" a="1"/>
  <c r="Q62" i="41" s="1"/>
  <c r="V62" i="176" s="1"/>
  <c r="P62" i="41" a="1"/>
  <c r="P62" i="41" s="1"/>
  <c r="U62" i="176" s="1"/>
  <c r="N62" i="41" a="1"/>
  <c r="N62" i="41" s="1"/>
  <c r="S62" i="176" s="1"/>
  <c r="W61" i="41" a="1"/>
  <c r="W61" i="41" s="1"/>
  <c r="AD61" i="176" s="1"/>
  <c r="V61" i="41" a="1"/>
  <c r="V61" i="41" s="1"/>
  <c r="AC61" i="176" s="1"/>
  <c r="U61" i="41" a="1"/>
  <c r="U61" i="41" s="1"/>
  <c r="AB61" i="176" s="1"/>
  <c r="S61" i="41" a="1"/>
  <c r="S61" i="41" s="1"/>
  <c r="R61" i="41" a="1"/>
  <c r="R61" i="41" s="1"/>
  <c r="W61" i="176" s="1"/>
  <c r="Q61" i="41" a="1"/>
  <c r="Q61" i="41" s="1"/>
  <c r="V61" i="176" s="1"/>
  <c r="P61" i="41" a="1"/>
  <c r="P61" i="41" s="1"/>
  <c r="U61" i="176" s="1"/>
  <c r="N61" i="41" a="1"/>
  <c r="N61" i="41" s="1"/>
  <c r="W60" i="41" a="1"/>
  <c r="W60" i="41" s="1"/>
  <c r="AD60" i="176" s="1"/>
  <c r="V60" i="41" a="1"/>
  <c r="V60" i="41" s="1"/>
  <c r="AC60" i="176" s="1"/>
  <c r="U60" i="41" a="1"/>
  <c r="U60" i="41" s="1"/>
  <c r="AB60" i="176" s="1"/>
  <c r="S60" i="41" a="1"/>
  <c r="S60" i="41" s="1"/>
  <c r="X60" i="176" s="1"/>
  <c r="R60" i="41" a="1"/>
  <c r="R60" i="41" s="1"/>
  <c r="W60" i="176" s="1"/>
  <c r="Q60" i="41" a="1"/>
  <c r="Q60" i="41" s="1"/>
  <c r="V60" i="176" s="1"/>
  <c r="P60" i="41" a="1"/>
  <c r="P60" i="41" s="1"/>
  <c r="U60" i="176" s="1"/>
  <c r="N60" i="41" a="1"/>
  <c r="N60" i="41" s="1"/>
  <c r="W59" i="41" a="1"/>
  <c r="W59" i="41" s="1"/>
  <c r="AD59" i="176" s="1"/>
  <c r="V59" i="41" a="1"/>
  <c r="V59" i="41" s="1"/>
  <c r="AC59" i="176" s="1"/>
  <c r="U59" i="41" a="1"/>
  <c r="U59" i="41" s="1"/>
  <c r="AB59" i="176" s="1"/>
  <c r="S59" i="41" a="1"/>
  <c r="S59" i="41" s="1"/>
  <c r="X59" i="176" s="1"/>
  <c r="R59" i="41" a="1"/>
  <c r="R59" i="41" s="1"/>
  <c r="W59" i="176" s="1"/>
  <c r="Q59" i="41" a="1"/>
  <c r="Q59" i="41" s="1"/>
  <c r="V59" i="176" s="1"/>
  <c r="P59" i="41" a="1"/>
  <c r="P59" i="41" s="1"/>
  <c r="U59" i="176" s="1"/>
  <c r="N59" i="41" a="1"/>
  <c r="N59" i="41" s="1"/>
  <c r="S59" i="176" s="1"/>
  <c r="W58" i="41" a="1"/>
  <c r="W58" i="41" s="1"/>
  <c r="AD58" i="176" s="1"/>
  <c r="V58" i="41" a="1"/>
  <c r="V58" i="41" s="1"/>
  <c r="AC58" i="176" s="1"/>
  <c r="U58" i="41" a="1"/>
  <c r="U58" i="41" s="1"/>
  <c r="AB58" i="176" s="1"/>
  <c r="C81" i="177" s="1"/>
  <c r="S58" i="41" a="1"/>
  <c r="S58" i="41" s="1"/>
  <c r="X58" i="176" s="1"/>
  <c r="R58" i="41" a="1"/>
  <c r="R58" i="41" s="1"/>
  <c r="W58" i="176" s="1"/>
  <c r="Q58" i="41" a="1"/>
  <c r="Q58" i="41" s="1"/>
  <c r="V58" i="176" s="1"/>
  <c r="P58" i="41" a="1"/>
  <c r="P58" i="41" s="1"/>
  <c r="U58" i="176" s="1"/>
  <c r="N58" i="41" a="1"/>
  <c r="N58" i="41" s="1"/>
  <c r="S58" i="176" s="1"/>
  <c r="J58" i="41" a="1"/>
  <c r="J58" i="41" s="1"/>
  <c r="M58" i="176" s="1"/>
  <c r="I58" i="41" a="1"/>
  <c r="I58" i="41" s="1"/>
  <c r="L58" i="176" s="1"/>
  <c r="G58" i="41" a="1"/>
  <c r="G58" i="41" s="1"/>
  <c r="H58" i="176" s="1"/>
  <c r="F58" i="41" a="1"/>
  <c r="F58" i="41" s="1"/>
  <c r="G58" i="176" s="1"/>
  <c r="W57" i="41" a="1"/>
  <c r="W57" i="41" s="1"/>
  <c r="AD57" i="176" s="1"/>
  <c r="V57" i="41" a="1"/>
  <c r="V57" i="41" s="1"/>
  <c r="U57" i="41" a="1"/>
  <c r="U57" i="41" s="1"/>
  <c r="AB57" i="176" s="1"/>
  <c r="S57" i="41" a="1"/>
  <c r="S57" i="41" s="1"/>
  <c r="X57" i="176" s="1"/>
  <c r="R57" i="41" a="1"/>
  <c r="R57" i="41" s="1"/>
  <c r="W57" i="176" s="1"/>
  <c r="Q57" i="41" a="1"/>
  <c r="Q57" i="41" s="1"/>
  <c r="V57" i="176" s="1"/>
  <c r="P57" i="41" a="1"/>
  <c r="P57" i="41" s="1"/>
  <c r="U57" i="176" s="1"/>
  <c r="N57" i="41" a="1"/>
  <c r="N57" i="41" s="1"/>
  <c r="S57" i="176" s="1"/>
  <c r="J57" i="41" a="1"/>
  <c r="J57" i="41" s="1"/>
  <c r="M57" i="176" s="1"/>
  <c r="I57" i="41" a="1"/>
  <c r="I57" i="41" s="1"/>
  <c r="L57" i="176" s="1"/>
  <c r="G57" i="41" a="1"/>
  <c r="G57" i="41" s="1"/>
  <c r="H57" i="176" s="1"/>
  <c r="F57" i="41" a="1"/>
  <c r="F57" i="41" s="1"/>
  <c r="G57" i="176" s="1"/>
  <c r="W56" i="41" a="1"/>
  <c r="W56" i="41" s="1"/>
  <c r="AD56" i="176" s="1"/>
  <c r="V56" i="41" a="1"/>
  <c r="V56" i="41" s="1"/>
  <c r="AC56" i="176" s="1"/>
  <c r="U56" i="41" a="1"/>
  <c r="U56" i="41" s="1"/>
  <c r="AB56" i="176" s="1"/>
  <c r="S56" i="41" a="1"/>
  <c r="S56" i="41" s="1"/>
  <c r="X56" i="176" s="1"/>
  <c r="R56" i="41" a="1"/>
  <c r="R56" i="41" s="1"/>
  <c r="W56" i="176" s="1"/>
  <c r="Q56" i="41" a="1"/>
  <c r="Q56" i="41" s="1"/>
  <c r="V56" i="176" s="1"/>
  <c r="P56" i="41" a="1"/>
  <c r="P56" i="41" s="1"/>
  <c r="U56" i="176" s="1"/>
  <c r="N56" i="41" a="1"/>
  <c r="N56" i="41" s="1"/>
  <c r="S56" i="176" s="1"/>
  <c r="J56" i="41" a="1"/>
  <c r="J56" i="41" s="1"/>
  <c r="M56" i="176" s="1"/>
  <c r="I56" i="41" a="1"/>
  <c r="I56" i="41" s="1"/>
  <c r="L56" i="176" s="1"/>
  <c r="G56" i="41" a="1"/>
  <c r="G56" i="41" s="1"/>
  <c r="H56" i="176" s="1"/>
  <c r="F56" i="41" a="1"/>
  <c r="F56" i="41" s="1"/>
  <c r="G56" i="176" s="1"/>
  <c r="W55" i="41" a="1"/>
  <c r="W55" i="41" s="1"/>
  <c r="AD55" i="176" s="1"/>
  <c r="V55" i="41" a="1"/>
  <c r="V55" i="41" s="1"/>
  <c r="AC55" i="176" s="1"/>
  <c r="U55" i="41" a="1"/>
  <c r="U55" i="41" s="1"/>
  <c r="AB55" i="176" s="1"/>
  <c r="S55" i="41" a="1"/>
  <c r="S55" i="41" s="1"/>
  <c r="X55" i="176" s="1"/>
  <c r="R55" i="41" a="1"/>
  <c r="R55" i="41" s="1"/>
  <c r="W55" i="176" s="1"/>
  <c r="Q55" i="41" a="1"/>
  <c r="Q55" i="41" s="1"/>
  <c r="V55" i="176" s="1"/>
  <c r="P55" i="41" a="1"/>
  <c r="P55" i="41" s="1"/>
  <c r="U55" i="176" s="1"/>
  <c r="N55" i="41" a="1"/>
  <c r="N55" i="41" s="1"/>
  <c r="S55" i="176" s="1"/>
  <c r="J55" i="41" a="1"/>
  <c r="J55" i="41" s="1"/>
  <c r="M55" i="176" s="1"/>
  <c r="I55" i="41" a="1"/>
  <c r="I55" i="41" s="1"/>
  <c r="L55" i="176" s="1"/>
  <c r="G55" i="41" a="1"/>
  <c r="G55" i="41" s="1"/>
  <c r="H55" i="176" s="1"/>
  <c r="F55" i="41" a="1"/>
  <c r="F55" i="41" s="1"/>
  <c r="W54" i="41" a="1"/>
  <c r="W54" i="41" s="1"/>
  <c r="AD54" i="176" s="1"/>
  <c r="V54" i="41" a="1"/>
  <c r="V54" i="41" s="1"/>
  <c r="AC54" i="176" s="1"/>
  <c r="U54" i="41" a="1"/>
  <c r="U54" i="41" s="1"/>
  <c r="AB54" i="176" s="1"/>
  <c r="S54" i="41" a="1"/>
  <c r="S54" i="41" s="1"/>
  <c r="X54" i="176" s="1"/>
  <c r="R54" i="41" a="1"/>
  <c r="R54" i="41" s="1"/>
  <c r="W54" i="176" s="1"/>
  <c r="Q54" i="41" a="1"/>
  <c r="Q54" i="41" s="1"/>
  <c r="V54" i="176" s="1"/>
  <c r="P54" i="41" a="1"/>
  <c r="P54" i="41" s="1"/>
  <c r="U54" i="176" s="1"/>
  <c r="N54" i="41" a="1"/>
  <c r="N54" i="41" s="1"/>
  <c r="S54" i="176" s="1"/>
  <c r="J54" i="41" a="1"/>
  <c r="J54" i="41" s="1"/>
  <c r="M54" i="176" s="1"/>
  <c r="I54" i="41" a="1"/>
  <c r="I54" i="41" s="1"/>
  <c r="L54" i="176" s="1"/>
  <c r="G54" i="41" a="1"/>
  <c r="G54" i="41" s="1"/>
  <c r="H54" i="176" s="1"/>
  <c r="F54" i="41" a="1"/>
  <c r="F54" i="41" s="1"/>
  <c r="G54" i="176" s="1"/>
  <c r="W53" i="41" a="1"/>
  <c r="W53" i="41" s="1"/>
  <c r="AD53" i="176" s="1"/>
  <c r="V53" i="41" a="1"/>
  <c r="V53" i="41" s="1"/>
  <c r="AC53" i="176" s="1"/>
  <c r="U53" i="41" a="1"/>
  <c r="U53" i="41" s="1"/>
  <c r="AB53" i="176" s="1"/>
  <c r="S53" i="41" a="1"/>
  <c r="S53" i="41" s="1"/>
  <c r="X53" i="176" s="1"/>
  <c r="R53" i="41" a="1"/>
  <c r="R53" i="41" s="1"/>
  <c r="W53" i="176" s="1"/>
  <c r="Q53" i="41" a="1"/>
  <c r="Q53" i="41" s="1"/>
  <c r="V53" i="176" s="1"/>
  <c r="P53" i="41" a="1"/>
  <c r="P53" i="41" s="1"/>
  <c r="U53" i="176" s="1"/>
  <c r="N53" i="41" a="1"/>
  <c r="N53" i="41" s="1"/>
  <c r="S53" i="176" s="1"/>
  <c r="J53" i="41" a="1"/>
  <c r="J53" i="41" s="1"/>
  <c r="M53" i="176" s="1"/>
  <c r="I53" i="41" a="1"/>
  <c r="I53" i="41" s="1"/>
  <c r="L53" i="176" s="1"/>
  <c r="G53" i="41" a="1"/>
  <c r="G53" i="41" s="1"/>
  <c r="H53" i="176" s="1"/>
  <c r="F53" i="41" a="1"/>
  <c r="F53" i="41" s="1"/>
  <c r="G53" i="176" s="1"/>
  <c r="W52" i="41" a="1"/>
  <c r="W52" i="41" s="1"/>
  <c r="AD52" i="176" s="1"/>
  <c r="V52" i="41" a="1"/>
  <c r="V52" i="41" s="1"/>
  <c r="AC52" i="176" s="1"/>
  <c r="U52" i="41" a="1"/>
  <c r="U52" i="41" s="1"/>
  <c r="AB52" i="176" s="1"/>
  <c r="S52" i="41" a="1"/>
  <c r="S52" i="41" s="1"/>
  <c r="X52" i="176" s="1"/>
  <c r="R52" i="41" a="1"/>
  <c r="R52" i="41" s="1"/>
  <c r="W52" i="176" s="1"/>
  <c r="Q52" i="41" a="1"/>
  <c r="Q52" i="41" s="1"/>
  <c r="V52" i="176" s="1"/>
  <c r="P52" i="41" a="1"/>
  <c r="P52" i="41" s="1"/>
  <c r="U52" i="176" s="1"/>
  <c r="N52" i="41" a="1"/>
  <c r="N52" i="41" s="1"/>
  <c r="S52" i="176" s="1"/>
  <c r="J52" i="41" a="1"/>
  <c r="J52" i="41" s="1"/>
  <c r="M52" i="176" s="1"/>
  <c r="I52" i="41" a="1"/>
  <c r="I52" i="41" s="1"/>
  <c r="L52" i="176" s="1"/>
  <c r="G52" i="41" a="1"/>
  <c r="G52" i="41" s="1"/>
  <c r="H52" i="176" s="1"/>
  <c r="F52" i="41" a="1"/>
  <c r="F52" i="41" s="1"/>
  <c r="G52" i="176" s="1"/>
  <c r="W51" i="41" a="1"/>
  <c r="W51" i="41" s="1"/>
  <c r="AD51" i="176" s="1"/>
  <c r="V51" i="41" a="1"/>
  <c r="V51" i="41" s="1"/>
  <c r="AC51" i="176" s="1"/>
  <c r="U51" i="41" a="1"/>
  <c r="U51" i="41" s="1"/>
  <c r="AB51" i="176" s="1"/>
  <c r="S51" i="41" a="1"/>
  <c r="S51" i="41" s="1"/>
  <c r="X51" i="176" s="1"/>
  <c r="R51" i="41" a="1"/>
  <c r="R51" i="41" s="1"/>
  <c r="W51" i="176" s="1"/>
  <c r="Q51" i="41" a="1"/>
  <c r="Q51" i="41" s="1"/>
  <c r="V51" i="176" s="1"/>
  <c r="P51" i="41" a="1"/>
  <c r="P51" i="41" s="1"/>
  <c r="U51" i="176" s="1"/>
  <c r="N51" i="41" a="1"/>
  <c r="N51" i="41" s="1"/>
  <c r="S51" i="176" s="1"/>
  <c r="J51" i="41" a="1"/>
  <c r="J51" i="41" s="1"/>
  <c r="M51" i="176" s="1"/>
  <c r="I51" i="41" a="1"/>
  <c r="I51" i="41" s="1"/>
  <c r="L51" i="176" s="1"/>
  <c r="G51" i="41" a="1"/>
  <c r="G51" i="41" s="1"/>
  <c r="H51" i="176" s="1"/>
  <c r="F51" i="41" a="1"/>
  <c r="F51" i="41" s="1"/>
  <c r="G51" i="176" s="1"/>
  <c r="W50" i="41" a="1"/>
  <c r="W50" i="41" s="1"/>
  <c r="AD50" i="176" s="1"/>
  <c r="V50" i="41" a="1"/>
  <c r="V50" i="41" s="1"/>
  <c r="AC50" i="176" s="1"/>
  <c r="U50" i="41" a="1"/>
  <c r="U50" i="41" s="1"/>
  <c r="AB50" i="176" s="1"/>
  <c r="S50" i="41" a="1"/>
  <c r="S50" i="41" s="1"/>
  <c r="X50" i="176" s="1"/>
  <c r="R50" i="41" a="1"/>
  <c r="R50" i="41" s="1"/>
  <c r="W50" i="176" s="1"/>
  <c r="Q50" i="41" a="1"/>
  <c r="Q50" i="41" s="1"/>
  <c r="V50" i="176" s="1"/>
  <c r="P50" i="41" a="1"/>
  <c r="P50" i="41" s="1"/>
  <c r="U50" i="176" s="1"/>
  <c r="N50" i="41" a="1"/>
  <c r="N50" i="41" s="1"/>
  <c r="S50" i="176" s="1"/>
  <c r="J50" i="41" a="1"/>
  <c r="J50" i="41" s="1"/>
  <c r="M50" i="176" s="1"/>
  <c r="I50" i="41" a="1"/>
  <c r="I50" i="41" s="1"/>
  <c r="L50" i="176" s="1"/>
  <c r="G50" i="41" a="1"/>
  <c r="G50" i="41" s="1"/>
  <c r="H50" i="176" s="1"/>
  <c r="F50" i="41" a="1"/>
  <c r="F50" i="41" s="1"/>
  <c r="G50" i="176" s="1"/>
  <c r="W49" i="41" a="1"/>
  <c r="W49" i="41" s="1"/>
  <c r="AD49" i="176" s="1"/>
  <c r="V49" i="41" a="1"/>
  <c r="V49" i="41" s="1"/>
  <c r="AC49" i="176" s="1"/>
  <c r="E80" i="177" s="1"/>
  <c r="U49" i="41" a="1"/>
  <c r="U49" i="41" s="1"/>
  <c r="AB49" i="176" s="1"/>
  <c r="D80" i="177" s="1"/>
  <c r="S49" i="41" a="1"/>
  <c r="S49" i="41" s="1"/>
  <c r="X49" i="176" s="1"/>
  <c r="R49" i="41" a="1"/>
  <c r="R49" i="41" s="1"/>
  <c r="W49" i="176" s="1"/>
  <c r="Q49" i="41" a="1"/>
  <c r="Q49" i="41" s="1"/>
  <c r="V49" i="176" s="1"/>
  <c r="P49" i="41" a="1"/>
  <c r="P49" i="41" s="1"/>
  <c r="U49" i="176" s="1"/>
  <c r="N49" i="41" a="1"/>
  <c r="N49" i="41" s="1"/>
  <c r="S49" i="176" s="1"/>
  <c r="I49" i="41" a="1"/>
  <c r="I49" i="41" s="1"/>
  <c r="W48" i="41" a="1"/>
  <c r="W48" i="41" s="1"/>
  <c r="AD48" i="176" s="1"/>
  <c r="V48" i="41" a="1"/>
  <c r="V48" i="41" s="1"/>
  <c r="AC48" i="176" s="1"/>
  <c r="U48" i="41" a="1"/>
  <c r="U48" i="41" s="1"/>
  <c r="AB48" i="176" s="1"/>
  <c r="S48" i="41" a="1"/>
  <c r="S48" i="41" s="1"/>
  <c r="X48" i="176" s="1"/>
  <c r="R48" i="41" a="1"/>
  <c r="R48" i="41" s="1"/>
  <c r="W48" i="176" s="1"/>
  <c r="Q48" i="41" a="1"/>
  <c r="Q48" i="41" s="1"/>
  <c r="V48" i="176" s="1"/>
  <c r="P48" i="41" a="1"/>
  <c r="P48" i="41" s="1"/>
  <c r="U48" i="176" s="1"/>
  <c r="N48" i="41" a="1"/>
  <c r="N48" i="41" s="1"/>
  <c r="S48" i="176" s="1"/>
  <c r="I48" i="41" a="1"/>
  <c r="I48" i="41" s="1"/>
  <c r="W47" i="41" a="1"/>
  <c r="W47" i="41" s="1"/>
  <c r="AD47" i="176" s="1"/>
  <c r="V47" i="41" a="1"/>
  <c r="V47" i="41" s="1"/>
  <c r="AC47" i="176" s="1"/>
  <c r="U47" i="41" a="1"/>
  <c r="U47" i="41" s="1"/>
  <c r="AB47" i="176" s="1"/>
  <c r="S47" i="41" a="1"/>
  <c r="S47" i="41" s="1"/>
  <c r="X47" i="176" s="1"/>
  <c r="R47" i="41" a="1"/>
  <c r="R47" i="41" s="1"/>
  <c r="W47" i="176" s="1"/>
  <c r="Q47" i="41" a="1"/>
  <c r="Q47" i="41" s="1"/>
  <c r="V47" i="176" s="1"/>
  <c r="P47" i="41" a="1"/>
  <c r="P47" i="41" s="1"/>
  <c r="U47" i="176" s="1"/>
  <c r="N47" i="41" a="1"/>
  <c r="N47" i="41" s="1"/>
  <c r="S47" i="176" s="1"/>
  <c r="I47" i="41" a="1"/>
  <c r="I47" i="41" s="1"/>
  <c r="W46" i="41" a="1"/>
  <c r="W46" i="41" s="1"/>
  <c r="AD46" i="176" s="1"/>
  <c r="V46" i="41" a="1"/>
  <c r="V46" i="41" s="1"/>
  <c r="AC46" i="176" s="1"/>
  <c r="U46" i="41" a="1"/>
  <c r="U46" i="41" s="1"/>
  <c r="AB46" i="176" s="1"/>
  <c r="S46" i="41" a="1"/>
  <c r="S46" i="41" s="1"/>
  <c r="X46" i="176" s="1"/>
  <c r="R46" i="41" a="1"/>
  <c r="R46" i="41" s="1"/>
  <c r="W46" i="176" s="1"/>
  <c r="Q46" i="41" a="1"/>
  <c r="Q46" i="41" s="1"/>
  <c r="V46" i="176" s="1"/>
  <c r="P46" i="41" a="1"/>
  <c r="P46" i="41" s="1"/>
  <c r="U46" i="176" s="1"/>
  <c r="N46" i="41" a="1"/>
  <c r="N46" i="41" s="1"/>
  <c r="S46" i="176" s="1"/>
  <c r="I46" i="41" a="1"/>
  <c r="I46" i="41" s="1"/>
  <c r="W45" i="41" a="1"/>
  <c r="W45" i="41" s="1"/>
  <c r="AD45" i="176" s="1"/>
  <c r="V45" i="41" a="1"/>
  <c r="V45" i="41" s="1"/>
  <c r="AC45" i="176" s="1"/>
  <c r="U45" i="41" a="1"/>
  <c r="U45" i="41" s="1"/>
  <c r="AB45" i="176" s="1"/>
  <c r="S45" i="41" a="1"/>
  <c r="S45" i="41" s="1"/>
  <c r="X45" i="176" s="1"/>
  <c r="R45" i="41" a="1"/>
  <c r="R45" i="41" s="1"/>
  <c r="W45" i="176" s="1"/>
  <c r="Q45" i="41" a="1"/>
  <c r="Q45" i="41" s="1"/>
  <c r="V45" i="176" s="1"/>
  <c r="P45" i="41" a="1"/>
  <c r="P45" i="41" s="1"/>
  <c r="U45" i="176" s="1"/>
  <c r="N45" i="41" a="1"/>
  <c r="N45" i="41" s="1"/>
  <c r="S45" i="176" s="1"/>
  <c r="I45" i="41" a="1"/>
  <c r="I45" i="41" s="1"/>
  <c r="W44" i="41" a="1"/>
  <c r="W44" i="41" s="1"/>
  <c r="AD44" i="176" s="1"/>
  <c r="V44" i="41" a="1"/>
  <c r="V44" i="41" s="1"/>
  <c r="AC44" i="176" s="1"/>
  <c r="U44" i="41" a="1"/>
  <c r="U44" i="41" s="1"/>
  <c r="AB44" i="176" s="1"/>
  <c r="C80" i="177" s="1"/>
  <c r="S44" i="41" a="1"/>
  <c r="S44" i="41" s="1"/>
  <c r="X44" i="176" s="1"/>
  <c r="R44" i="41" a="1"/>
  <c r="R44" i="41" s="1"/>
  <c r="W44" i="176" s="1"/>
  <c r="Q44" i="41" a="1"/>
  <c r="Q44" i="41" s="1"/>
  <c r="V44" i="176" s="1"/>
  <c r="P44" i="41" a="1"/>
  <c r="P44" i="41" s="1"/>
  <c r="U44" i="176" s="1"/>
  <c r="N44" i="41" a="1"/>
  <c r="N44" i="41" s="1"/>
  <c r="S44" i="176" s="1"/>
  <c r="J44" i="41" a="1"/>
  <c r="J44" i="41" s="1"/>
  <c r="M44" i="176" s="1"/>
  <c r="I44" i="41" a="1"/>
  <c r="I44" i="41" s="1"/>
  <c r="L44" i="176" s="1"/>
  <c r="G44" i="41" a="1"/>
  <c r="G44" i="41" s="1"/>
  <c r="H44" i="176" s="1"/>
  <c r="F44" i="41" a="1"/>
  <c r="F44" i="41" s="1"/>
  <c r="G44" i="176" s="1"/>
  <c r="W43" i="41" a="1"/>
  <c r="W43" i="41" s="1"/>
  <c r="AD43" i="176" s="1"/>
  <c r="V43" i="41" a="1"/>
  <c r="V43" i="41" s="1"/>
  <c r="AC43" i="176" s="1"/>
  <c r="U43" i="41" a="1"/>
  <c r="U43" i="41" s="1"/>
  <c r="AB43" i="176" s="1"/>
  <c r="S43" i="41" a="1"/>
  <c r="S43" i="41" s="1"/>
  <c r="X43" i="176" s="1"/>
  <c r="R43" i="41" a="1"/>
  <c r="R43" i="41" s="1"/>
  <c r="W43" i="176" s="1"/>
  <c r="Q43" i="41" a="1"/>
  <c r="Q43" i="41" s="1"/>
  <c r="V43" i="176" s="1"/>
  <c r="P43" i="41" a="1"/>
  <c r="P43" i="41" s="1"/>
  <c r="U43" i="176" s="1"/>
  <c r="N43" i="41" a="1"/>
  <c r="N43" i="41" s="1"/>
  <c r="S43" i="176" s="1"/>
  <c r="J43" i="41" a="1"/>
  <c r="J43" i="41" s="1"/>
  <c r="M43" i="176" s="1"/>
  <c r="I43" i="41" a="1"/>
  <c r="I43" i="41" s="1"/>
  <c r="L43" i="176" s="1"/>
  <c r="G43" i="41" a="1"/>
  <c r="G43" i="41" s="1"/>
  <c r="H43" i="176" s="1"/>
  <c r="F43" i="41" a="1"/>
  <c r="F43" i="41" s="1"/>
  <c r="G43" i="176" s="1"/>
  <c r="W42" i="41" a="1"/>
  <c r="W42" i="41" s="1"/>
  <c r="AD42" i="176" s="1"/>
  <c r="V42" i="41" a="1"/>
  <c r="V42" i="41" s="1"/>
  <c r="AC42" i="176" s="1"/>
  <c r="U42" i="41" a="1"/>
  <c r="U42" i="41" s="1"/>
  <c r="AB42" i="176" s="1"/>
  <c r="S42" i="41" a="1"/>
  <c r="S42" i="41" s="1"/>
  <c r="X42" i="176" s="1"/>
  <c r="R42" i="41" a="1"/>
  <c r="R42" i="41" s="1"/>
  <c r="W42" i="176" s="1"/>
  <c r="Q42" i="41" a="1"/>
  <c r="Q42" i="41" s="1"/>
  <c r="V42" i="176" s="1"/>
  <c r="P42" i="41" a="1"/>
  <c r="P42" i="41" s="1"/>
  <c r="U42" i="176" s="1"/>
  <c r="N42" i="41" a="1"/>
  <c r="N42" i="41" s="1"/>
  <c r="S42" i="176" s="1"/>
  <c r="J42" i="41" a="1"/>
  <c r="J42" i="41" s="1"/>
  <c r="M42" i="176" s="1"/>
  <c r="I42" i="41" a="1"/>
  <c r="I42" i="41" s="1"/>
  <c r="L42" i="176" s="1"/>
  <c r="G42" i="41" a="1"/>
  <c r="G42" i="41" s="1"/>
  <c r="H42" i="176" s="1"/>
  <c r="F42" i="41" a="1"/>
  <c r="F42" i="41" s="1"/>
  <c r="G42" i="176" s="1"/>
  <c r="W41" i="41" a="1"/>
  <c r="W41" i="41" s="1"/>
  <c r="AD41" i="176" s="1"/>
  <c r="V41" i="41" a="1"/>
  <c r="V41" i="41" s="1"/>
  <c r="AC41" i="176" s="1"/>
  <c r="U41" i="41" a="1"/>
  <c r="U41" i="41" s="1"/>
  <c r="AB41" i="176" s="1"/>
  <c r="S41" i="41" a="1"/>
  <c r="S41" i="41" s="1"/>
  <c r="X41" i="176" s="1"/>
  <c r="R41" i="41" a="1"/>
  <c r="R41" i="41" s="1"/>
  <c r="W41" i="176" s="1"/>
  <c r="Q41" i="41" a="1"/>
  <c r="Q41" i="41" s="1"/>
  <c r="V41" i="176" s="1"/>
  <c r="P41" i="41" a="1"/>
  <c r="P41" i="41" s="1"/>
  <c r="U41" i="176" s="1"/>
  <c r="N41" i="41" a="1"/>
  <c r="N41" i="41" s="1"/>
  <c r="S41" i="176" s="1"/>
  <c r="J41" i="41" a="1"/>
  <c r="J41" i="41" s="1"/>
  <c r="M41" i="176" s="1"/>
  <c r="I41" i="41" a="1"/>
  <c r="I41" i="41" s="1"/>
  <c r="L41" i="176" s="1"/>
  <c r="G41" i="41" a="1"/>
  <c r="G41" i="41" s="1"/>
  <c r="H41" i="176" s="1"/>
  <c r="F41" i="41" a="1"/>
  <c r="F41" i="41" s="1"/>
  <c r="G41" i="176" s="1"/>
  <c r="W40" i="41" a="1"/>
  <c r="W40" i="41" s="1"/>
  <c r="AD40" i="176" s="1"/>
  <c r="V40" i="41" a="1"/>
  <c r="V40" i="41" s="1"/>
  <c r="AC40" i="176" s="1"/>
  <c r="U40" i="41" a="1"/>
  <c r="U40" i="41" s="1"/>
  <c r="AB40" i="176" s="1"/>
  <c r="S40" i="41" a="1"/>
  <c r="S40" i="41" s="1"/>
  <c r="X40" i="176" s="1"/>
  <c r="R40" i="41" a="1"/>
  <c r="R40" i="41" s="1"/>
  <c r="W40" i="176" s="1"/>
  <c r="Q40" i="41" a="1"/>
  <c r="Q40" i="41" s="1"/>
  <c r="V40" i="176" s="1"/>
  <c r="P40" i="41" a="1"/>
  <c r="P40" i="41" s="1"/>
  <c r="U40" i="176" s="1"/>
  <c r="N40" i="41" a="1"/>
  <c r="N40" i="41" s="1"/>
  <c r="S40" i="176" s="1"/>
  <c r="J40" i="41" a="1"/>
  <c r="J40" i="41" s="1"/>
  <c r="M40" i="176" s="1"/>
  <c r="I40" i="41" a="1"/>
  <c r="I40" i="41" s="1"/>
  <c r="L40" i="176" s="1"/>
  <c r="G40" i="41" a="1"/>
  <c r="G40" i="41" s="1"/>
  <c r="H40" i="176" s="1"/>
  <c r="F40" i="41" a="1"/>
  <c r="F40" i="41" s="1"/>
  <c r="G40" i="176" s="1"/>
  <c r="W39" i="41" a="1"/>
  <c r="W39" i="41" s="1"/>
  <c r="AD39" i="176" s="1"/>
  <c r="V39" i="41" a="1"/>
  <c r="V39" i="41" s="1"/>
  <c r="AC39" i="176" s="1"/>
  <c r="U39" i="41" a="1"/>
  <c r="U39" i="41" s="1"/>
  <c r="AB39" i="176" s="1"/>
  <c r="S39" i="41" a="1"/>
  <c r="S39" i="41" s="1"/>
  <c r="X39" i="176" s="1"/>
  <c r="R39" i="41" a="1"/>
  <c r="R39" i="41" s="1"/>
  <c r="W39" i="176" s="1"/>
  <c r="Q39" i="41" a="1"/>
  <c r="Q39" i="41" s="1"/>
  <c r="V39" i="176" s="1"/>
  <c r="P39" i="41" a="1"/>
  <c r="P39" i="41" s="1"/>
  <c r="U39" i="176" s="1"/>
  <c r="N39" i="41" a="1"/>
  <c r="N39" i="41" s="1"/>
  <c r="S39" i="176" s="1"/>
  <c r="J39" i="41" a="1"/>
  <c r="J39" i="41" s="1"/>
  <c r="M39" i="176" s="1"/>
  <c r="I39" i="41" a="1"/>
  <c r="I39" i="41" s="1"/>
  <c r="L39" i="176" s="1"/>
  <c r="G39" i="41" a="1"/>
  <c r="G39" i="41" s="1"/>
  <c r="H39" i="176" s="1"/>
  <c r="F39" i="41" a="1"/>
  <c r="F39" i="41" s="1"/>
  <c r="G39" i="176" s="1"/>
  <c r="W38" i="41" a="1"/>
  <c r="W38" i="41" s="1"/>
  <c r="AD38" i="176" s="1"/>
  <c r="V38" i="41" a="1"/>
  <c r="V38" i="41" s="1"/>
  <c r="AC38" i="176" s="1"/>
  <c r="U38" i="41" a="1"/>
  <c r="U38" i="41" s="1"/>
  <c r="AB38" i="176" s="1"/>
  <c r="S38" i="41" a="1"/>
  <c r="S38" i="41" s="1"/>
  <c r="X38" i="176" s="1"/>
  <c r="R38" i="41" a="1"/>
  <c r="R38" i="41" s="1"/>
  <c r="W38" i="176" s="1"/>
  <c r="Q38" i="41" a="1"/>
  <c r="Q38" i="41" s="1"/>
  <c r="V38" i="176" s="1"/>
  <c r="P38" i="41" a="1"/>
  <c r="P38" i="41" s="1"/>
  <c r="U38" i="176" s="1"/>
  <c r="N38" i="41" a="1"/>
  <c r="N38" i="41" s="1"/>
  <c r="S38" i="176" s="1"/>
  <c r="J38" i="41" a="1"/>
  <c r="J38" i="41" s="1"/>
  <c r="M38" i="176" s="1"/>
  <c r="I38" i="41" a="1"/>
  <c r="I38" i="41" s="1"/>
  <c r="L38" i="176" s="1"/>
  <c r="G38" i="41" a="1"/>
  <c r="G38" i="41" s="1"/>
  <c r="H38" i="176" s="1"/>
  <c r="F38" i="41" a="1"/>
  <c r="F38" i="41" s="1"/>
  <c r="G38" i="176" s="1"/>
  <c r="W37" i="41" a="1"/>
  <c r="W37" i="41" s="1"/>
  <c r="AD37" i="176" s="1"/>
  <c r="V37" i="41" a="1"/>
  <c r="V37" i="41" s="1"/>
  <c r="AC37" i="176" s="1"/>
  <c r="U37" i="41" a="1"/>
  <c r="U37" i="41" s="1"/>
  <c r="AB37" i="176" s="1"/>
  <c r="S37" i="41" a="1"/>
  <c r="S37" i="41" s="1"/>
  <c r="X37" i="176" s="1"/>
  <c r="R37" i="41" a="1"/>
  <c r="R37" i="41" s="1"/>
  <c r="W37" i="176" s="1"/>
  <c r="Q37" i="41" a="1"/>
  <c r="Q37" i="41" s="1"/>
  <c r="V37" i="176" s="1"/>
  <c r="P37" i="41" a="1"/>
  <c r="P37" i="41" s="1"/>
  <c r="U37" i="176" s="1"/>
  <c r="N37" i="41" a="1"/>
  <c r="N37" i="41" s="1"/>
  <c r="S37" i="176" s="1"/>
  <c r="J37" i="41" a="1"/>
  <c r="J37" i="41" s="1"/>
  <c r="M37" i="176" s="1"/>
  <c r="I37" i="41" a="1"/>
  <c r="I37" i="41" s="1"/>
  <c r="L37" i="176" s="1"/>
  <c r="G37" i="41" a="1"/>
  <c r="G37" i="41" s="1"/>
  <c r="H37" i="176" s="1"/>
  <c r="F37" i="41" a="1"/>
  <c r="F37" i="41" s="1"/>
  <c r="G37" i="176" s="1"/>
  <c r="W36" i="41" a="1"/>
  <c r="W36" i="41" s="1"/>
  <c r="AD36" i="176" s="1"/>
  <c r="V36" i="41" a="1"/>
  <c r="V36" i="41" s="1"/>
  <c r="AC36" i="176" s="1"/>
  <c r="U36" i="41" a="1"/>
  <c r="U36" i="41" s="1"/>
  <c r="AB36" i="176" s="1"/>
  <c r="S36" i="41" a="1"/>
  <c r="S36" i="41" s="1"/>
  <c r="X36" i="176" s="1"/>
  <c r="R36" i="41" a="1"/>
  <c r="R36" i="41" s="1"/>
  <c r="W36" i="176" s="1"/>
  <c r="Q36" i="41" a="1"/>
  <c r="Q36" i="41" s="1"/>
  <c r="V36" i="176" s="1"/>
  <c r="P36" i="41" a="1"/>
  <c r="P36" i="41" s="1"/>
  <c r="U36" i="176" s="1"/>
  <c r="N36" i="41" a="1"/>
  <c r="N36" i="41" s="1"/>
  <c r="S36" i="176" s="1"/>
  <c r="J36" i="41" a="1"/>
  <c r="J36" i="41" s="1"/>
  <c r="M36" i="176" s="1"/>
  <c r="I36" i="41" a="1"/>
  <c r="I36" i="41" s="1"/>
  <c r="L36" i="176" s="1"/>
  <c r="G36" i="41" a="1"/>
  <c r="G36" i="41" s="1"/>
  <c r="H36" i="176" s="1"/>
  <c r="F36" i="41" a="1"/>
  <c r="F36" i="41" s="1"/>
  <c r="G36" i="176" s="1"/>
  <c r="W35" i="41" a="1"/>
  <c r="W35" i="41" s="1"/>
  <c r="AD35" i="176" s="1"/>
  <c r="F79" i="177" s="1"/>
  <c r="V35" i="41" a="1"/>
  <c r="V35" i="41" s="1"/>
  <c r="AC35" i="176" s="1"/>
  <c r="E79" i="177" s="1"/>
  <c r="U35" i="41" a="1"/>
  <c r="U35" i="41" s="1"/>
  <c r="AB35" i="176" s="1"/>
  <c r="D79" i="177" s="1"/>
  <c r="S35" i="41" a="1"/>
  <c r="S35" i="41" s="1"/>
  <c r="X35" i="176" s="1"/>
  <c r="R35" i="41" a="1"/>
  <c r="R35" i="41" s="1"/>
  <c r="W35" i="176" s="1"/>
  <c r="Q35" i="41" a="1"/>
  <c r="Q35" i="41" s="1"/>
  <c r="V35" i="176" s="1"/>
  <c r="P35" i="41" a="1"/>
  <c r="P35" i="41" s="1"/>
  <c r="U35" i="176" s="1"/>
  <c r="N35" i="41" a="1"/>
  <c r="N35" i="41" s="1"/>
  <c r="S35" i="176" s="1"/>
  <c r="W34" i="41" a="1"/>
  <c r="W34" i="41" s="1"/>
  <c r="AD34" i="176" s="1"/>
  <c r="V34" i="41" a="1"/>
  <c r="V34" i="41" s="1"/>
  <c r="AC34" i="176" s="1"/>
  <c r="U34" i="41" a="1"/>
  <c r="U34" i="41" s="1"/>
  <c r="AB34" i="176" s="1"/>
  <c r="S34" i="41" a="1"/>
  <c r="S34" i="41" s="1"/>
  <c r="X34" i="176" s="1"/>
  <c r="R34" i="41" a="1"/>
  <c r="R34" i="41" s="1"/>
  <c r="W34" i="176" s="1"/>
  <c r="Q34" i="41" a="1"/>
  <c r="Q34" i="41" s="1"/>
  <c r="V34" i="176" s="1"/>
  <c r="P34" i="41" a="1"/>
  <c r="P34" i="41" s="1"/>
  <c r="U34" i="176" s="1"/>
  <c r="N34" i="41" a="1"/>
  <c r="N34" i="41" s="1"/>
  <c r="S34" i="176" s="1"/>
  <c r="W33" i="41" a="1"/>
  <c r="W33" i="41" s="1"/>
  <c r="AD33" i="176" s="1"/>
  <c r="V33" i="41" a="1"/>
  <c r="V33" i="41" s="1"/>
  <c r="AC33" i="176" s="1"/>
  <c r="U33" i="41" a="1"/>
  <c r="U33" i="41" s="1"/>
  <c r="AB33" i="176" s="1"/>
  <c r="S33" i="41" a="1"/>
  <c r="S33" i="41" s="1"/>
  <c r="X33" i="176" s="1"/>
  <c r="R33" i="41" a="1"/>
  <c r="R33" i="41" s="1"/>
  <c r="W33" i="176" s="1"/>
  <c r="Q33" i="41" a="1"/>
  <c r="Q33" i="41" s="1"/>
  <c r="V33" i="176" s="1"/>
  <c r="P33" i="41" a="1"/>
  <c r="P33" i="41" s="1"/>
  <c r="U33" i="176" s="1"/>
  <c r="N33" i="41" a="1"/>
  <c r="N33" i="41" s="1"/>
  <c r="S33" i="176" s="1"/>
  <c r="W32" i="41" a="1"/>
  <c r="W32" i="41" s="1"/>
  <c r="AD32" i="176" s="1"/>
  <c r="V32" i="41" a="1"/>
  <c r="V32" i="41" s="1"/>
  <c r="AC32" i="176" s="1"/>
  <c r="U32" i="41" a="1"/>
  <c r="U32" i="41" s="1"/>
  <c r="AB32" i="176" s="1"/>
  <c r="S32" i="41" a="1"/>
  <c r="S32" i="41" s="1"/>
  <c r="X32" i="176" s="1"/>
  <c r="R32" i="41" a="1"/>
  <c r="R32" i="41" s="1"/>
  <c r="W32" i="176" s="1"/>
  <c r="Q32" i="41" a="1"/>
  <c r="Q32" i="41" s="1"/>
  <c r="V32" i="176" s="1"/>
  <c r="P32" i="41" a="1"/>
  <c r="P32" i="41" s="1"/>
  <c r="U32" i="176" s="1"/>
  <c r="N32" i="41" a="1"/>
  <c r="N32" i="41" s="1"/>
  <c r="S32" i="176" s="1"/>
  <c r="W31" i="41" a="1"/>
  <c r="W31" i="41" s="1"/>
  <c r="AD31" i="176" s="1"/>
  <c r="V31" i="41" a="1"/>
  <c r="V31" i="41" s="1"/>
  <c r="AC31" i="176" s="1"/>
  <c r="U31" i="41" a="1"/>
  <c r="U31" i="41" s="1"/>
  <c r="AB31" i="176" s="1"/>
  <c r="S31" i="41" a="1"/>
  <c r="S31" i="41" s="1"/>
  <c r="X31" i="176" s="1"/>
  <c r="R31" i="41" a="1"/>
  <c r="R31" i="41" s="1"/>
  <c r="W31" i="176" s="1"/>
  <c r="Q31" i="41" a="1"/>
  <c r="Q31" i="41" s="1"/>
  <c r="V31" i="176" s="1"/>
  <c r="P31" i="41" a="1"/>
  <c r="P31" i="41" s="1"/>
  <c r="U31" i="176" s="1"/>
  <c r="N31" i="41" a="1"/>
  <c r="N31" i="41" s="1"/>
  <c r="S31" i="176" s="1"/>
  <c r="M7" i="177" s="1"/>
  <c r="W30" i="41" a="1"/>
  <c r="W30" i="41" s="1"/>
  <c r="AD30" i="176" s="1"/>
  <c r="V30" i="41" a="1"/>
  <c r="V30" i="41" s="1"/>
  <c r="AC30" i="176" s="1"/>
  <c r="U30" i="41" a="1"/>
  <c r="U30" i="41" s="1"/>
  <c r="AB30" i="176" s="1"/>
  <c r="C79" i="177" s="1"/>
  <c r="S30" i="41" a="1"/>
  <c r="S30" i="41" s="1"/>
  <c r="X30" i="176" s="1"/>
  <c r="R30" i="41" a="1"/>
  <c r="R30" i="41" s="1"/>
  <c r="W30" i="176" s="1"/>
  <c r="Q30" i="41" a="1"/>
  <c r="Q30" i="41" s="1"/>
  <c r="V30" i="176" s="1"/>
  <c r="P30" i="41" a="1"/>
  <c r="P30" i="41" s="1"/>
  <c r="U30" i="176" s="1"/>
  <c r="N30" i="41" a="1"/>
  <c r="N30" i="41" s="1"/>
  <c r="S30" i="176" s="1"/>
  <c r="J30" i="41" a="1"/>
  <c r="J30" i="41" s="1"/>
  <c r="M30" i="176" s="1"/>
  <c r="I30" i="41" a="1"/>
  <c r="I30" i="41" s="1"/>
  <c r="L30" i="176" s="1"/>
  <c r="G30" i="41" a="1"/>
  <c r="G30" i="41" s="1"/>
  <c r="H30" i="176" s="1"/>
  <c r="F30" i="41" a="1"/>
  <c r="F30" i="41" s="1"/>
  <c r="G30" i="176" s="1"/>
  <c r="W29" i="41" a="1"/>
  <c r="W29" i="41" s="1"/>
  <c r="AD29" i="176" s="1"/>
  <c r="V29" i="41" a="1"/>
  <c r="V29" i="41" s="1"/>
  <c r="AC29" i="176" s="1"/>
  <c r="U29" i="41" a="1"/>
  <c r="U29" i="41" s="1"/>
  <c r="AB29" i="176" s="1"/>
  <c r="S29" i="41" a="1"/>
  <c r="S29" i="41" s="1"/>
  <c r="X29" i="176" s="1"/>
  <c r="R29" i="41" a="1"/>
  <c r="R29" i="41" s="1"/>
  <c r="W29" i="176" s="1"/>
  <c r="Q29" i="41" a="1"/>
  <c r="Q29" i="41" s="1"/>
  <c r="V29" i="176" s="1"/>
  <c r="P29" i="41" a="1"/>
  <c r="P29" i="41" s="1"/>
  <c r="U29" i="176" s="1"/>
  <c r="N29" i="41" a="1"/>
  <c r="N29" i="41" s="1"/>
  <c r="S29" i="176" s="1"/>
  <c r="J29" i="41" a="1"/>
  <c r="J29" i="41" s="1"/>
  <c r="M29" i="176" s="1"/>
  <c r="I29" i="41" a="1"/>
  <c r="I29" i="41" s="1"/>
  <c r="L29" i="176" s="1"/>
  <c r="G29" i="41" a="1"/>
  <c r="G29" i="41" s="1"/>
  <c r="H29" i="176" s="1"/>
  <c r="F29" i="41" a="1"/>
  <c r="F29" i="41" s="1"/>
  <c r="G29" i="176" s="1"/>
  <c r="W28" i="41" a="1"/>
  <c r="W28" i="41" s="1"/>
  <c r="AD28" i="176" s="1"/>
  <c r="V28" i="41" a="1"/>
  <c r="V28" i="41" s="1"/>
  <c r="AC28" i="176" s="1"/>
  <c r="U28" i="41" a="1"/>
  <c r="U28" i="41" s="1"/>
  <c r="AB28" i="176" s="1"/>
  <c r="S28" i="41" a="1"/>
  <c r="S28" i="41" s="1"/>
  <c r="X28" i="176" s="1"/>
  <c r="R28" i="41" a="1"/>
  <c r="R28" i="41" s="1"/>
  <c r="W28" i="176" s="1"/>
  <c r="Q28" i="41" a="1"/>
  <c r="Q28" i="41" s="1"/>
  <c r="V28" i="176" s="1"/>
  <c r="P28" i="41" a="1"/>
  <c r="P28" i="41" s="1"/>
  <c r="U28" i="176" s="1"/>
  <c r="N28" i="41" a="1"/>
  <c r="N28" i="41" s="1"/>
  <c r="S28" i="176" s="1"/>
  <c r="J28" i="41" a="1"/>
  <c r="J28" i="41" s="1"/>
  <c r="M28" i="176" s="1"/>
  <c r="I28" i="41" a="1"/>
  <c r="I28" i="41" s="1"/>
  <c r="L28" i="176" s="1"/>
  <c r="G28" i="41" a="1"/>
  <c r="G28" i="41" s="1"/>
  <c r="H28" i="176" s="1"/>
  <c r="F28" i="41" a="1"/>
  <c r="F28" i="41" s="1"/>
  <c r="G28" i="176" s="1"/>
  <c r="W27" i="41" a="1"/>
  <c r="W27" i="41" s="1"/>
  <c r="AD27" i="176" s="1"/>
  <c r="V27" i="41" a="1"/>
  <c r="V27" i="41" s="1"/>
  <c r="AC27" i="176" s="1"/>
  <c r="U27" i="41" a="1"/>
  <c r="U27" i="41" s="1"/>
  <c r="AB27" i="176" s="1"/>
  <c r="S27" i="41" a="1"/>
  <c r="S27" i="41" s="1"/>
  <c r="X27" i="176" s="1"/>
  <c r="R27" i="41" a="1"/>
  <c r="R27" i="41" s="1"/>
  <c r="W27" i="176" s="1"/>
  <c r="Q27" i="41" a="1"/>
  <c r="Q27" i="41" s="1"/>
  <c r="V27" i="176" s="1"/>
  <c r="P27" i="41" a="1"/>
  <c r="P27" i="41" s="1"/>
  <c r="U27" i="176" s="1"/>
  <c r="N27" i="41" a="1"/>
  <c r="N27" i="41" s="1"/>
  <c r="S27" i="176" s="1"/>
  <c r="J27" i="41" a="1"/>
  <c r="J27" i="41" s="1"/>
  <c r="M27" i="176" s="1"/>
  <c r="I27" i="41" a="1"/>
  <c r="I27" i="41" s="1"/>
  <c r="L27" i="176" s="1"/>
  <c r="G27" i="41" a="1"/>
  <c r="G27" i="41" s="1"/>
  <c r="H27" i="176" s="1"/>
  <c r="F27" i="41" a="1"/>
  <c r="F27" i="41" s="1"/>
  <c r="G27" i="176" s="1"/>
  <c r="W26" i="41" a="1"/>
  <c r="W26" i="41" s="1"/>
  <c r="AD26" i="176" s="1"/>
  <c r="V26" i="41" a="1"/>
  <c r="V26" i="41" s="1"/>
  <c r="AC26" i="176" s="1"/>
  <c r="U26" i="41" a="1"/>
  <c r="U26" i="41" s="1"/>
  <c r="AB26" i="176" s="1"/>
  <c r="S26" i="41" a="1"/>
  <c r="S26" i="41" s="1"/>
  <c r="X26" i="176" s="1"/>
  <c r="R26" i="41" a="1"/>
  <c r="R26" i="41" s="1"/>
  <c r="W26" i="176" s="1"/>
  <c r="Q26" i="41" a="1"/>
  <c r="Q26" i="41" s="1"/>
  <c r="V26" i="176" s="1"/>
  <c r="P26" i="41" a="1"/>
  <c r="P26" i="41" s="1"/>
  <c r="U26" i="176" s="1"/>
  <c r="N26" i="41" a="1"/>
  <c r="N26" i="41" s="1"/>
  <c r="S26" i="176" s="1"/>
  <c r="J26" i="41" a="1"/>
  <c r="J26" i="41" s="1"/>
  <c r="M26" i="176" s="1"/>
  <c r="I26" i="41" a="1"/>
  <c r="I26" i="41" s="1"/>
  <c r="L26" i="176" s="1"/>
  <c r="G26" i="41" a="1"/>
  <c r="G26" i="41" s="1"/>
  <c r="H26" i="176" s="1"/>
  <c r="F26" i="41" a="1"/>
  <c r="F26" i="41" s="1"/>
  <c r="G26" i="176" s="1"/>
  <c r="W25" i="41" a="1"/>
  <c r="W25" i="41" s="1"/>
  <c r="AD25" i="176" s="1"/>
  <c r="V25" i="41" a="1"/>
  <c r="V25" i="41" s="1"/>
  <c r="AC25" i="176" s="1"/>
  <c r="U25" i="41" a="1"/>
  <c r="U25" i="41" s="1"/>
  <c r="AB25" i="176" s="1"/>
  <c r="S25" i="41" a="1"/>
  <c r="S25" i="41" s="1"/>
  <c r="X25" i="176" s="1"/>
  <c r="R25" i="41" a="1"/>
  <c r="R25" i="41" s="1"/>
  <c r="W25" i="176" s="1"/>
  <c r="Q25" i="41" a="1"/>
  <c r="Q25" i="41" s="1"/>
  <c r="V25" i="176" s="1"/>
  <c r="P25" i="41" a="1"/>
  <c r="P25" i="41" s="1"/>
  <c r="U25" i="176" s="1"/>
  <c r="N25" i="41" a="1"/>
  <c r="N25" i="41" s="1"/>
  <c r="S25" i="176" s="1"/>
  <c r="J25" i="41" a="1"/>
  <c r="J25" i="41" s="1"/>
  <c r="M25" i="176" s="1"/>
  <c r="I25" i="41" a="1"/>
  <c r="I25" i="41" s="1"/>
  <c r="L25" i="176" s="1"/>
  <c r="G25" i="41" a="1"/>
  <c r="G25" i="41" s="1"/>
  <c r="H25" i="176" s="1"/>
  <c r="F25" i="41" a="1"/>
  <c r="F25" i="41" s="1"/>
  <c r="G25" i="176" s="1"/>
  <c r="W24" i="41" a="1"/>
  <c r="W24" i="41" s="1"/>
  <c r="AD24" i="176" s="1"/>
  <c r="V24" i="41" a="1"/>
  <c r="V24" i="41" s="1"/>
  <c r="AC24" i="176" s="1"/>
  <c r="U24" i="41" a="1"/>
  <c r="U24" i="41" s="1"/>
  <c r="AB24" i="176" s="1"/>
  <c r="S24" i="41" a="1"/>
  <c r="S24" i="41" s="1"/>
  <c r="X24" i="176" s="1"/>
  <c r="R24" i="41" a="1"/>
  <c r="R24" i="41" s="1"/>
  <c r="W24" i="176" s="1"/>
  <c r="Q24" i="41" a="1"/>
  <c r="Q24" i="41" s="1"/>
  <c r="V24" i="176" s="1"/>
  <c r="P24" i="41" a="1"/>
  <c r="P24" i="41" s="1"/>
  <c r="U24" i="176" s="1"/>
  <c r="N24" i="41" a="1"/>
  <c r="N24" i="41" s="1"/>
  <c r="S24" i="176" s="1"/>
  <c r="J24" i="41" a="1"/>
  <c r="J24" i="41" s="1"/>
  <c r="M24" i="176" s="1"/>
  <c r="I24" i="41" a="1"/>
  <c r="I24" i="41" s="1"/>
  <c r="L24" i="176" s="1"/>
  <c r="G24" i="41" a="1"/>
  <c r="G24" i="41" s="1"/>
  <c r="H24" i="176" s="1"/>
  <c r="F24" i="41" a="1"/>
  <c r="F24" i="41" s="1"/>
  <c r="G24" i="176" s="1"/>
  <c r="W23" i="41" a="1"/>
  <c r="W23" i="41" s="1"/>
  <c r="AD23" i="176" s="1"/>
  <c r="V23" i="41" a="1"/>
  <c r="V23" i="41" s="1"/>
  <c r="AC23" i="176" s="1"/>
  <c r="U23" i="41" a="1"/>
  <c r="U23" i="41" s="1"/>
  <c r="AB23" i="176" s="1"/>
  <c r="S23" i="41" a="1"/>
  <c r="S23" i="41" s="1"/>
  <c r="X23" i="176" s="1"/>
  <c r="R23" i="41" a="1"/>
  <c r="R23" i="41" s="1"/>
  <c r="W23" i="176" s="1"/>
  <c r="Q23" i="41" a="1"/>
  <c r="Q23" i="41" s="1"/>
  <c r="V23" i="176" s="1"/>
  <c r="P23" i="41" a="1"/>
  <c r="P23" i="41" s="1"/>
  <c r="U23" i="176" s="1"/>
  <c r="N23" i="41" a="1"/>
  <c r="N23" i="41" s="1"/>
  <c r="S23" i="176" s="1"/>
  <c r="J23" i="41" a="1"/>
  <c r="J23" i="41" s="1"/>
  <c r="M23" i="176" s="1"/>
  <c r="I23" i="41" a="1"/>
  <c r="I23" i="41" s="1"/>
  <c r="L23" i="176" s="1"/>
  <c r="G23" i="41" a="1"/>
  <c r="G23" i="41" s="1"/>
  <c r="H23" i="176" s="1"/>
  <c r="F23" i="41" a="1"/>
  <c r="F23" i="41" s="1"/>
  <c r="G23" i="176" s="1"/>
  <c r="W22" i="41" a="1"/>
  <c r="W22" i="41" s="1"/>
  <c r="AD22" i="176" s="1"/>
  <c r="V22" i="41" a="1"/>
  <c r="V22" i="41" s="1"/>
  <c r="AC22" i="176" s="1"/>
  <c r="U22" i="41" a="1"/>
  <c r="U22" i="41" s="1"/>
  <c r="AB22" i="176" s="1"/>
  <c r="S22" i="41" a="1"/>
  <c r="S22" i="41" s="1"/>
  <c r="X22" i="176" s="1"/>
  <c r="R22" i="41" a="1"/>
  <c r="R22" i="41" s="1"/>
  <c r="W22" i="176" s="1"/>
  <c r="Q22" i="41" a="1"/>
  <c r="Q22" i="41" s="1"/>
  <c r="V22" i="176" s="1"/>
  <c r="P22" i="41" a="1"/>
  <c r="P22" i="41" s="1"/>
  <c r="U22" i="176" s="1"/>
  <c r="N22" i="41" a="1"/>
  <c r="N22" i="41" s="1"/>
  <c r="S22" i="176" s="1"/>
  <c r="J22" i="41" a="1"/>
  <c r="J22" i="41" s="1"/>
  <c r="M22" i="176" s="1"/>
  <c r="I22" i="41" a="1"/>
  <c r="I22" i="41" s="1"/>
  <c r="L22" i="176" s="1"/>
  <c r="G22" i="41" a="1"/>
  <c r="G22" i="41" s="1"/>
  <c r="H22" i="176" s="1"/>
  <c r="F22" i="41" a="1"/>
  <c r="F22" i="41" s="1"/>
  <c r="G22" i="176" s="1"/>
  <c r="U21" i="41" a="1"/>
  <c r="U21" i="41" s="1"/>
  <c r="AB21" i="176" s="1"/>
  <c r="D77" i="177" s="1"/>
  <c r="S21" i="41" a="1"/>
  <c r="S21" i="41" s="1"/>
  <c r="X21" i="176" s="1"/>
  <c r="R21" i="41" a="1"/>
  <c r="R21" i="41" s="1"/>
  <c r="W21" i="176" s="1"/>
  <c r="Q21" i="41" a="1"/>
  <c r="Q21" i="41" s="1"/>
  <c r="V21" i="176" s="1"/>
  <c r="P21" i="41" a="1"/>
  <c r="P21" i="41" s="1"/>
  <c r="U21" i="176" s="1"/>
  <c r="N21" i="41" a="1"/>
  <c r="N21" i="41" s="1"/>
  <c r="S21" i="176" s="1"/>
  <c r="W20" i="41" a="1"/>
  <c r="W20" i="41" s="1"/>
  <c r="AD20" i="176" s="1"/>
  <c r="V20" i="41" a="1"/>
  <c r="V20" i="41" s="1"/>
  <c r="AC20" i="176" s="1"/>
  <c r="U20" i="41" a="1"/>
  <c r="U20" i="41" s="1"/>
  <c r="AB20" i="176" s="1"/>
  <c r="S20" i="41" a="1"/>
  <c r="S20" i="41" s="1"/>
  <c r="X20" i="176" s="1"/>
  <c r="R20" i="41" a="1"/>
  <c r="R20" i="41" s="1"/>
  <c r="W20" i="176" s="1"/>
  <c r="Q20" i="41" a="1"/>
  <c r="Q20" i="41" s="1"/>
  <c r="V20" i="176" s="1"/>
  <c r="P20" i="41" a="1"/>
  <c r="P20" i="41" s="1"/>
  <c r="U20" i="176" s="1"/>
  <c r="N20" i="41" a="1"/>
  <c r="N20" i="41" s="1"/>
  <c r="S20" i="176" s="1"/>
  <c r="W19" i="41" a="1"/>
  <c r="W19" i="41" s="1"/>
  <c r="AD19" i="176" s="1"/>
  <c r="V19" i="41" a="1"/>
  <c r="V19" i="41" s="1"/>
  <c r="AC19" i="176" s="1"/>
  <c r="U19" i="41" a="1"/>
  <c r="U19" i="41" s="1"/>
  <c r="AB19" i="176" s="1"/>
  <c r="S19" i="41" a="1"/>
  <c r="S19" i="41" s="1"/>
  <c r="X19" i="176" s="1"/>
  <c r="R19" i="41" a="1"/>
  <c r="R19" i="41" s="1"/>
  <c r="W19" i="176" s="1"/>
  <c r="Q19" i="41" a="1"/>
  <c r="Q19" i="41" s="1"/>
  <c r="V19" i="176" s="1"/>
  <c r="P19" i="41" a="1"/>
  <c r="P19" i="41" s="1"/>
  <c r="U19" i="176" s="1"/>
  <c r="N19" i="41" a="1"/>
  <c r="N19" i="41" s="1"/>
  <c r="S19" i="176" s="1"/>
  <c r="W18" i="41" a="1"/>
  <c r="W18" i="41" s="1"/>
  <c r="AD18" i="176" s="1"/>
  <c r="V18" i="41" a="1"/>
  <c r="V18" i="41" s="1"/>
  <c r="AC18" i="176" s="1"/>
  <c r="U18" i="41" a="1"/>
  <c r="U18" i="41" s="1"/>
  <c r="AB18" i="176" s="1"/>
  <c r="S18" i="41" a="1"/>
  <c r="S18" i="41" s="1"/>
  <c r="X18" i="176" s="1"/>
  <c r="R18" i="41" a="1"/>
  <c r="R18" i="41" s="1"/>
  <c r="W18" i="176" s="1"/>
  <c r="Q18" i="41" a="1"/>
  <c r="Q18" i="41" s="1"/>
  <c r="V18" i="176" s="1"/>
  <c r="P18" i="41" a="1"/>
  <c r="P18" i="41" s="1"/>
  <c r="U18" i="176" s="1"/>
  <c r="N18" i="41" a="1"/>
  <c r="N18" i="41" s="1"/>
  <c r="S18" i="176" s="1"/>
  <c r="W17" i="41" a="1"/>
  <c r="W17" i="41" s="1"/>
  <c r="AD17" i="176" s="1"/>
  <c r="V17" i="41" a="1"/>
  <c r="V17" i="41" s="1"/>
  <c r="AC17" i="176" s="1"/>
  <c r="U17" i="41" a="1"/>
  <c r="U17" i="41" s="1"/>
  <c r="AB17" i="176" s="1"/>
  <c r="S17" i="41" a="1"/>
  <c r="S17" i="41" s="1"/>
  <c r="X17" i="176" s="1"/>
  <c r="R17" i="41" a="1"/>
  <c r="R17" i="41" s="1"/>
  <c r="W17" i="176" s="1"/>
  <c r="Q17" i="41" a="1"/>
  <c r="Q17" i="41" s="1"/>
  <c r="V17" i="176" s="1"/>
  <c r="P17" i="41" a="1"/>
  <c r="P17" i="41" s="1"/>
  <c r="U17" i="176" s="1"/>
  <c r="N17" i="41" a="1"/>
  <c r="N17" i="41" s="1"/>
  <c r="S17" i="176" s="1"/>
  <c r="W16" i="41" a="1"/>
  <c r="W16" i="41" s="1"/>
  <c r="AD16" i="176" s="1"/>
  <c r="U16" i="41" a="1"/>
  <c r="U16" i="41" s="1"/>
  <c r="AB16" i="176" s="1"/>
  <c r="C77" i="177" s="1"/>
  <c r="S16" i="41" a="1"/>
  <c r="S16" i="41" s="1"/>
  <c r="X16" i="176" s="1"/>
  <c r="R16" i="41" a="1"/>
  <c r="R16" i="41" s="1"/>
  <c r="W16" i="176" s="1"/>
  <c r="Q16" i="41" a="1"/>
  <c r="Q16" i="41" s="1"/>
  <c r="V16" i="176" s="1"/>
  <c r="P16" i="41" a="1"/>
  <c r="P16" i="41" s="1"/>
  <c r="U16" i="176" s="1"/>
  <c r="N16" i="41" a="1"/>
  <c r="N16" i="41" s="1"/>
  <c r="S16" i="176" s="1"/>
  <c r="J16" i="41" a="1"/>
  <c r="J16" i="41" s="1"/>
  <c r="M16" i="176" s="1"/>
  <c r="I16" i="41" a="1"/>
  <c r="I16" i="41" s="1"/>
  <c r="L16" i="176" s="1"/>
  <c r="G16" i="41" a="1"/>
  <c r="G16" i="41" s="1"/>
  <c r="H16" i="176" s="1"/>
  <c r="F16" i="41" a="1"/>
  <c r="F16" i="41" s="1"/>
  <c r="G16" i="176" s="1"/>
  <c r="W15" i="41" a="1"/>
  <c r="W15" i="41" s="1"/>
  <c r="AD15" i="176" s="1"/>
  <c r="V15" i="41" a="1"/>
  <c r="V15" i="41" s="1"/>
  <c r="AC15" i="176" s="1"/>
  <c r="U15" i="41" a="1"/>
  <c r="U15" i="41" s="1"/>
  <c r="AB15" i="176" s="1"/>
  <c r="S15" i="41" a="1"/>
  <c r="S15" i="41" s="1"/>
  <c r="X15" i="176" s="1"/>
  <c r="R15" i="41" a="1"/>
  <c r="R15" i="41" s="1"/>
  <c r="W15" i="176" s="1"/>
  <c r="Q15" i="41" a="1"/>
  <c r="Q15" i="41" s="1"/>
  <c r="V15" i="176" s="1"/>
  <c r="P15" i="41" a="1"/>
  <c r="P15" i="41" s="1"/>
  <c r="U15" i="176" s="1"/>
  <c r="N15" i="41" a="1"/>
  <c r="N15" i="41" s="1"/>
  <c r="S15" i="176" s="1"/>
  <c r="J15" i="41" a="1"/>
  <c r="J15" i="41" s="1"/>
  <c r="M15" i="176" s="1"/>
  <c r="I15" i="41" a="1"/>
  <c r="I15" i="41" s="1"/>
  <c r="L15" i="176" s="1"/>
  <c r="G15" i="41" a="1"/>
  <c r="G15" i="41" s="1"/>
  <c r="H15" i="176" s="1"/>
  <c r="F15" i="41" a="1"/>
  <c r="F15" i="41" s="1"/>
  <c r="G15" i="176" s="1"/>
  <c r="W14" i="41" a="1"/>
  <c r="W14" i="41" s="1"/>
  <c r="AD14" i="176" s="1"/>
  <c r="V14" i="41" a="1"/>
  <c r="V14" i="41" s="1"/>
  <c r="AC14" i="176" s="1"/>
  <c r="U14" i="41" a="1"/>
  <c r="U14" i="41" s="1"/>
  <c r="AB14" i="176" s="1"/>
  <c r="S14" i="41" a="1"/>
  <c r="S14" i="41" s="1"/>
  <c r="X14" i="176" s="1"/>
  <c r="R14" i="41" a="1"/>
  <c r="R14" i="41" s="1"/>
  <c r="W14" i="176" s="1"/>
  <c r="Q14" i="41" a="1"/>
  <c r="Q14" i="41" s="1"/>
  <c r="V14" i="176" s="1"/>
  <c r="P14" i="41" a="1"/>
  <c r="P14" i="41" s="1"/>
  <c r="U14" i="176" s="1"/>
  <c r="N14" i="41" a="1"/>
  <c r="N14" i="41" s="1"/>
  <c r="S14" i="176" s="1"/>
  <c r="J14" i="41" a="1"/>
  <c r="J14" i="41" s="1"/>
  <c r="M14" i="176" s="1"/>
  <c r="I14" i="41" a="1"/>
  <c r="I14" i="41" s="1"/>
  <c r="L14" i="176" s="1"/>
  <c r="G14" i="41" a="1"/>
  <c r="G14" i="41" s="1"/>
  <c r="H14" i="176" s="1"/>
  <c r="F14" i="41" a="1"/>
  <c r="F14" i="41" s="1"/>
  <c r="G14" i="176" s="1"/>
  <c r="W13" i="41" a="1"/>
  <c r="W13" i="41" s="1"/>
  <c r="AD13" i="176" s="1"/>
  <c r="V13" i="41" a="1"/>
  <c r="V13" i="41" s="1"/>
  <c r="AC13" i="176" s="1"/>
  <c r="U13" i="41" a="1"/>
  <c r="U13" i="41" s="1"/>
  <c r="AB13" i="176" s="1"/>
  <c r="S13" i="41" a="1"/>
  <c r="S13" i="41" s="1"/>
  <c r="X13" i="176" s="1"/>
  <c r="R13" i="41" a="1"/>
  <c r="R13" i="41" s="1"/>
  <c r="W13" i="176" s="1"/>
  <c r="Q13" i="41" a="1"/>
  <c r="Q13" i="41" s="1"/>
  <c r="V13" i="176" s="1"/>
  <c r="P13" i="41" a="1"/>
  <c r="P13" i="41" s="1"/>
  <c r="U13" i="176" s="1"/>
  <c r="N13" i="41" a="1"/>
  <c r="N13" i="41" s="1"/>
  <c r="S13" i="176" s="1"/>
  <c r="J13" i="41" a="1"/>
  <c r="J13" i="41" s="1"/>
  <c r="M13" i="176" s="1"/>
  <c r="I13" i="41" a="1"/>
  <c r="I13" i="41" s="1"/>
  <c r="L13" i="176" s="1"/>
  <c r="G13" i="41" a="1"/>
  <c r="G13" i="41" s="1"/>
  <c r="H13" i="176" s="1"/>
  <c r="F13" i="41" a="1"/>
  <c r="F13" i="41" s="1"/>
  <c r="G13" i="176" s="1"/>
  <c r="W12" i="41" a="1"/>
  <c r="W12" i="41" s="1"/>
  <c r="AD12" i="176" s="1"/>
  <c r="V12" i="41" a="1"/>
  <c r="V12" i="41" s="1"/>
  <c r="AC12" i="176" s="1"/>
  <c r="U12" i="41" a="1"/>
  <c r="U12" i="41" s="1"/>
  <c r="AB12" i="176" s="1"/>
  <c r="S12" i="41" a="1"/>
  <c r="S12" i="41" s="1"/>
  <c r="X12" i="176" s="1"/>
  <c r="R12" i="41" a="1"/>
  <c r="R12" i="41" s="1"/>
  <c r="W12" i="176" s="1"/>
  <c r="Q12" i="41" a="1"/>
  <c r="Q12" i="41" s="1"/>
  <c r="V12" i="176" s="1"/>
  <c r="P12" i="41" a="1"/>
  <c r="P12" i="41" s="1"/>
  <c r="U12" i="176" s="1"/>
  <c r="N12" i="41" a="1"/>
  <c r="N12" i="41" s="1"/>
  <c r="S12" i="176" s="1"/>
  <c r="J12" i="41" a="1"/>
  <c r="J12" i="41" s="1"/>
  <c r="M12" i="176" s="1"/>
  <c r="I12" i="41" a="1"/>
  <c r="I12" i="41" s="1"/>
  <c r="L12" i="176" s="1"/>
  <c r="G12" i="41" a="1"/>
  <c r="G12" i="41" s="1"/>
  <c r="H12" i="176" s="1"/>
  <c r="F12" i="41" a="1"/>
  <c r="F12" i="41" s="1"/>
  <c r="G12" i="176" s="1"/>
  <c r="W11" i="41" a="1"/>
  <c r="W11" i="41" s="1"/>
  <c r="AD11" i="176" s="1"/>
  <c r="V11" i="41" a="1"/>
  <c r="V11" i="41" s="1"/>
  <c r="AC11" i="176" s="1"/>
  <c r="U11" i="41" a="1"/>
  <c r="U11" i="41" s="1"/>
  <c r="AB11" i="176" s="1"/>
  <c r="S11" i="41" a="1"/>
  <c r="S11" i="41" s="1"/>
  <c r="X11" i="176" s="1"/>
  <c r="R11" i="41" a="1"/>
  <c r="R11" i="41" s="1"/>
  <c r="W11" i="176" s="1"/>
  <c r="Q11" i="41" a="1"/>
  <c r="Q11" i="41" s="1"/>
  <c r="V11" i="176" s="1"/>
  <c r="P11" i="41" a="1"/>
  <c r="P11" i="41" s="1"/>
  <c r="U11" i="176" s="1"/>
  <c r="N11" i="41" a="1"/>
  <c r="N11" i="41" s="1"/>
  <c r="S11" i="176" s="1"/>
  <c r="J11" i="41" a="1"/>
  <c r="J11" i="41" s="1"/>
  <c r="M11" i="176" s="1"/>
  <c r="I11" i="41" a="1"/>
  <c r="I11" i="41" s="1"/>
  <c r="L11" i="176" s="1"/>
  <c r="G11" i="41" a="1"/>
  <c r="G11" i="41" s="1"/>
  <c r="H11" i="176" s="1"/>
  <c r="F11" i="41" a="1"/>
  <c r="F11" i="41" s="1"/>
  <c r="G11" i="176" s="1"/>
  <c r="W10" i="41" a="1"/>
  <c r="W10" i="41" s="1"/>
  <c r="AD10" i="176" s="1"/>
  <c r="V10" i="41" a="1"/>
  <c r="V10" i="41" s="1"/>
  <c r="AC10" i="176" s="1"/>
  <c r="U10" i="41" a="1"/>
  <c r="U10" i="41" s="1"/>
  <c r="AB10" i="176" s="1"/>
  <c r="S10" i="41" a="1"/>
  <c r="S10" i="41" s="1"/>
  <c r="X10" i="176" s="1"/>
  <c r="R10" i="41" a="1"/>
  <c r="R10" i="41" s="1"/>
  <c r="W10" i="176" s="1"/>
  <c r="Q10" i="41" a="1"/>
  <c r="Q10" i="41" s="1"/>
  <c r="V10" i="176" s="1"/>
  <c r="P10" i="41" a="1"/>
  <c r="P10" i="41" s="1"/>
  <c r="U10" i="176" s="1"/>
  <c r="N10" i="41" a="1"/>
  <c r="N10" i="41" s="1"/>
  <c r="S10" i="176" s="1"/>
  <c r="J10" i="41" a="1"/>
  <c r="J10" i="41" s="1"/>
  <c r="M10" i="176" s="1"/>
  <c r="I10" i="41" a="1"/>
  <c r="I10" i="41" s="1"/>
  <c r="L10" i="176" s="1"/>
  <c r="G10" i="41" a="1"/>
  <c r="G10" i="41" s="1"/>
  <c r="H10" i="176" s="1"/>
  <c r="F10" i="41" a="1"/>
  <c r="F10" i="41" s="1"/>
  <c r="G10" i="176" s="1"/>
  <c r="W9" i="41" a="1"/>
  <c r="W9" i="41" s="1"/>
  <c r="AD9" i="176" s="1"/>
  <c r="V9" i="41" a="1"/>
  <c r="V9" i="41" s="1"/>
  <c r="AC9" i="176" s="1"/>
  <c r="U9" i="41" a="1"/>
  <c r="U9" i="41" s="1"/>
  <c r="AB9" i="176" s="1"/>
  <c r="S9" i="41" a="1"/>
  <c r="S9" i="41" s="1"/>
  <c r="X9" i="176" s="1"/>
  <c r="R9" i="41" a="1"/>
  <c r="R9" i="41" s="1"/>
  <c r="W9" i="176" s="1"/>
  <c r="Q9" i="41" a="1"/>
  <c r="Q9" i="41" s="1"/>
  <c r="V9" i="176" s="1"/>
  <c r="P9" i="41" a="1"/>
  <c r="P9" i="41" s="1"/>
  <c r="U9" i="176" s="1"/>
  <c r="N9" i="41" a="1"/>
  <c r="N9" i="41" s="1"/>
  <c r="S9" i="176" s="1"/>
  <c r="J9" i="41" a="1"/>
  <c r="J9" i="41" s="1"/>
  <c r="M9" i="176" s="1"/>
  <c r="I9" i="41" a="1"/>
  <c r="I9" i="41" s="1"/>
  <c r="L9" i="176" s="1"/>
  <c r="G9" i="41" a="1"/>
  <c r="G9" i="41" s="1"/>
  <c r="H9" i="176" s="1"/>
  <c r="F9" i="41" a="1"/>
  <c r="F9" i="41" s="1"/>
  <c r="G9" i="176" s="1"/>
  <c r="W8" i="41" a="1"/>
  <c r="W8" i="41" s="1"/>
  <c r="AD8" i="176" s="1"/>
  <c r="V8" i="41" a="1"/>
  <c r="V8" i="41" s="1"/>
  <c r="AC8" i="176" s="1"/>
  <c r="U8" i="41" a="1"/>
  <c r="U8" i="41" s="1"/>
  <c r="AB8" i="176" s="1"/>
  <c r="S8" i="41" a="1"/>
  <c r="S8" i="41" s="1"/>
  <c r="X8" i="176" s="1"/>
  <c r="R8" i="41" a="1"/>
  <c r="R8" i="41" s="1"/>
  <c r="W8" i="176" s="1"/>
  <c r="Q8" i="41" a="1"/>
  <c r="Q8" i="41" s="1"/>
  <c r="V8" i="176" s="1"/>
  <c r="P8" i="41" a="1"/>
  <c r="P8" i="41" s="1"/>
  <c r="U8" i="176" s="1"/>
  <c r="N8" i="41" a="1"/>
  <c r="N8" i="41" s="1"/>
  <c r="S8" i="176" s="1"/>
  <c r="J8" i="41" a="1"/>
  <c r="J8" i="41" s="1"/>
  <c r="M8" i="176" s="1"/>
  <c r="I8" i="41" a="1"/>
  <c r="I8" i="41" s="1"/>
  <c r="L8" i="176" s="1"/>
  <c r="G8" i="41" a="1"/>
  <c r="G8" i="41" s="1"/>
  <c r="H8" i="176" s="1"/>
  <c r="F8" i="41" a="1"/>
  <c r="F8" i="41" s="1"/>
  <c r="G8" i="176" s="1"/>
  <c r="Q8" i="177"/>
  <c r="Q9" i="177"/>
  <c r="Q10" i="177"/>
  <c r="Q12" i="177"/>
  <c r="Q13" i="177"/>
  <c r="Q14" i="177"/>
  <c r="Q15" i="177"/>
  <c r="Q16" i="177"/>
  <c r="Q17" i="177"/>
  <c r="Q18" i="177"/>
  <c r="Q19" i="177"/>
  <c r="Q20" i="177"/>
  <c r="Q21" i="177"/>
  <c r="Q5" i="177"/>
  <c r="F25" i="110"/>
  <c r="D14" i="176"/>
  <c r="D15" i="176"/>
  <c r="D16" i="176"/>
  <c r="D17" i="176"/>
  <c r="D18" i="176"/>
  <c r="D19" i="176"/>
  <c r="D20" i="176"/>
  <c r="D21" i="176"/>
  <c r="D28" i="176"/>
  <c r="D29" i="176"/>
  <c r="D30" i="176"/>
  <c r="D31" i="176"/>
  <c r="D32" i="176"/>
  <c r="D33" i="176"/>
  <c r="D34" i="176"/>
  <c r="D35" i="176"/>
  <c r="D42" i="176"/>
  <c r="D43" i="176"/>
  <c r="D44" i="176"/>
  <c r="D45" i="176"/>
  <c r="D46" i="176"/>
  <c r="D47" i="176"/>
  <c r="D48" i="176"/>
  <c r="D49" i="176"/>
  <c r="D56" i="176"/>
  <c r="D57" i="176"/>
  <c r="D58" i="176"/>
  <c r="D59" i="176"/>
  <c r="D60" i="176"/>
  <c r="D61" i="176"/>
  <c r="D62" i="176"/>
  <c r="D63" i="176"/>
  <c r="D70" i="176"/>
  <c r="D71" i="176"/>
  <c r="D72" i="176"/>
  <c r="D73" i="176"/>
  <c r="D74" i="176"/>
  <c r="D75" i="176"/>
  <c r="D76" i="176"/>
  <c r="D77" i="176"/>
  <c r="D84" i="176"/>
  <c r="D85" i="176"/>
  <c r="D86" i="176"/>
  <c r="D87" i="176"/>
  <c r="D88" i="176"/>
  <c r="D89" i="176"/>
  <c r="D90" i="176"/>
  <c r="D91" i="176"/>
  <c r="D93" i="176"/>
  <c r="D94" i="176"/>
  <c r="D95" i="176"/>
  <c r="D96" i="176"/>
  <c r="D97" i="176"/>
  <c r="D98" i="176"/>
  <c r="D99" i="176"/>
  <c r="D100" i="176"/>
  <c r="D107" i="176"/>
  <c r="D108" i="176"/>
  <c r="D109" i="176"/>
  <c r="D110" i="176"/>
  <c r="D111" i="176"/>
  <c r="D112" i="176"/>
  <c r="D113" i="176"/>
  <c r="D114" i="176"/>
  <c r="D121" i="176"/>
  <c r="D122" i="176"/>
  <c r="D123" i="176"/>
  <c r="D124" i="176"/>
  <c r="D125" i="176"/>
  <c r="D126" i="176"/>
  <c r="D127" i="176"/>
  <c r="D128" i="176"/>
  <c r="D135" i="176"/>
  <c r="D136" i="176"/>
  <c r="D137" i="176"/>
  <c r="D138" i="176"/>
  <c r="D139" i="176"/>
  <c r="D140" i="176"/>
  <c r="D141" i="176"/>
  <c r="D142" i="176"/>
  <c r="D149" i="176"/>
  <c r="D150" i="176"/>
  <c r="D151" i="176"/>
  <c r="D152" i="176"/>
  <c r="D153" i="176"/>
  <c r="D154" i="176"/>
  <c r="D155" i="176"/>
  <c r="D156" i="176"/>
  <c r="D163" i="176"/>
  <c r="D164" i="176"/>
  <c r="D165" i="176"/>
  <c r="D166" i="176"/>
  <c r="D167" i="176"/>
  <c r="D168" i="176"/>
  <c r="D169" i="176"/>
  <c r="D170" i="176"/>
  <c r="D177" i="176"/>
  <c r="D178" i="176"/>
  <c r="D179" i="176"/>
  <c r="D180" i="176"/>
  <c r="D181" i="176"/>
  <c r="D182" i="176"/>
  <c r="D183" i="176"/>
  <c r="D184" i="176"/>
  <c r="D191" i="176"/>
  <c r="D192" i="176"/>
  <c r="D193" i="176"/>
  <c r="D194" i="176"/>
  <c r="D195" i="176"/>
  <c r="D196" i="176"/>
  <c r="D197" i="176"/>
  <c r="D198" i="176"/>
  <c r="D205" i="176"/>
  <c r="D206" i="176"/>
  <c r="D207" i="176"/>
  <c r="D208" i="176"/>
  <c r="D209" i="176"/>
  <c r="D210" i="176"/>
  <c r="D211" i="176"/>
  <c r="D212" i="176"/>
  <c r="D219" i="176"/>
  <c r="D220" i="176"/>
  <c r="D221" i="176"/>
  <c r="D222" i="176"/>
  <c r="D223" i="176"/>
  <c r="D224" i="176"/>
  <c r="D225" i="176"/>
  <c r="D226" i="176"/>
  <c r="D233" i="176"/>
  <c r="D234" i="176"/>
  <c r="D235" i="176"/>
  <c r="D236" i="176"/>
  <c r="D237" i="176"/>
  <c r="D238" i="176"/>
  <c r="D239" i="176"/>
  <c r="D240" i="176"/>
  <c r="D247" i="176"/>
  <c r="D248" i="176"/>
  <c r="D249" i="176"/>
  <c r="D250" i="176"/>
  <c r="D251" i="176"/>
  <c r="D252" i="176"/>
  <c r="D253" i="176"/>
  <c r="D254" i="176"/>
  <c r="D261" i="176"/>
  <c r="D262" i="176"/>
  <c r="D263" i="176"/>
  <c r="D264" i="176"/>
  <c r="D265" i="176"/>
  <c r="D266" i="176"/>
  <c r="D267" i="176"/>
  <c r="D268" i="176"/>
  <c r="D24" i="99"/>
  <c r="I171" i="177"/>
  <c r="I122" i="177"/>
  <c r="D45" i="95"/>
  <c r="C22" i="95" s="1"/>
  <c r="E53" i="135"/>
  <c r="E54" i="135" s="1"/>
  <c r="G143" i="99"/>
  <c r="F143" i="99"/>
  <c r="M288" i="176"/>
  <c r="M287" i="176"/>
  <c r="M286" i="176"/>
  <c r="M285" i="176"/>
  <c r="M284" i="176"/>
  <c r="M283" i="176"/>
  <c r="M274" i="176"/>
  <c r="M273" i="176"/>
  <c r="M272" i="176"/>
  <c r="M271" i="176"/>
  <c r="M270" i="176"/>
  <c r="M269" i="176"/>
  <c r="M263" i="176"/>
  <c r="M262" i="176"/>
  <c r="M261" i="176"/>
  <c r="M259" i="176"/>
  <c r="M258" i="176"/>
  <c r="M257" i="176"/>
  <c r="M256" i="176"/>
  <c r="M255" i="176"/>
  <c r="M249" i="176"/>
  <c r="L249" i="176"/>
  <c r="M248" i="176"/>
  <c r="M247" i="176"/>
  <c r="M245" i="176"/>
  <c r="M244" i="176"/>
  <c r="M243" i="176"/>
  <c r="M242" i="176"/>
  <c r="M241" i="176"/>
  <c r="M235" i="176"/>
  <c r="M234" i="176"/>
  <c r="M233" i="176"/>
  <c r="M232" i="176"/>
  <c r="M231" i="176"/>
  <c r="M230" i="176"/>
  <c r="M227" i="176"/>
  <c r="M221" i="176"/>
  <c r="M220" i="176"/>
  <c r="M219" i="176"/>
  <c r="M218" i="176"/>
  <c r="M217" i="176"/>
  <c r="M216" i="176"/>
  <c r="M215" i="176"/>
  <c r="M214" i="176"/>
  <c r="M213" i="176"/>
  <c r="M212" i="176"/>
  <c r="M211" i="176"/>
  <c r="M210" i="176"/>
  <c r="M209" i="176"/>
  <c r="M208" i="176"/>
  <c r="M207" i="176"/>
  <c r="M206" i="176"/>
  <c r="M204" i="176"/>
  <c r="M203" i="176"/>
  <c r="M202" i="176"/>
  <c r="M201" i="176"/>
  <c r="L201" i="176"/>
  <c r="M200" i="176"/>
  <c r="M199" i="176"/>
  <c r="L197" i="176"/>
  <c r="M196" i="176"/>
  <c r="M195" i="176"/>
  <c r="M194" i="176"/>
  <c r="M193" i="176"/>
  <c r="M192" i="176"/>
  <c r="M190" i="176"/>
  <c r="M189" i="176"/>
  <c r="M188" i="176"/>
  <c r="M187" i="176"/>
  <c r="M186" i="176"/>
  <c r="L179" i="176"/>
  <c r="L178" i="176"/>
  <c r="L177" i="176"/>
  <c r="M176" i="176"/>
  <c r="L176" i="176"/>
  <c r="L175" i="176"/>
  <c r="M173" i="176"/>
  <c r="L173" i="176"/>
  <c r="M172" i="176"/>
  <c r="L171" i="176"/>
  <c r="L165" i="176"/>
  <c r="L164" i="176"/>
  <c r="M163" i="176"/>
  <c r="L163" i="176"/>
  <c r="M162" i="176"/>
  <c r="M161" i="176"/>
  <c r="L161" i="176"/>
  <c r="M160" i="176"/>
  <c r="L160" i="176"/>
  <c r="L158" i="176"/>
  <c r="M157" i="176"/>
  <c r="M151" i="176"/>
  <c r="L151" i="176"/>
  <c r="L150" i="176"/>
  <c r="L149" i="176"/>
  <c r="P149" i="176" s="1"/>
  <c r="M148" i="176"/>
  <c r="L147" i="176"/>
  <c r="M146" i="176"/>
  <c r="M145" i="176"/>
  <c r="L145" i="176"/>
  <c r="L143" i="176"/>
  <c r="M137" i="176"/>
  <c r="L136" i="176"/>
  <c r="M135" i="176"/>
  <c r="M133" i="176"/>
  <c r="M132" i="176"/>
  <c r="L132" i="176"/>
  <c r="L131" i="176"/>
  <c r="M130" i="176"/>
  <c r="M129" i="176"/>
  <c r="M123" i="176"/>
  <c r="M122" i="176"/>
  <c r="M121" i="176"/>
  <c r="L121" i="176"/>
  <c r="M120" i="176"/>
  <c r="L120" i="176"/>
  <c r="M119" i="176"/>
  <c r="M118" i="176"/>
  <c r="L118" i="176"/>
  <c r="M116" i="176"/>
  <c r="L115" i="176"/>
  <c r="M105" i="176"/>
  <c r="M104" i="176"/>
  <c r="M95" i="176"/>
  <c r="M87" i="176"/>
  <c r="M86" i="176"/>
  <c r="A288" i="176"/>
  <c r="D288" i="176" s="1"/>
  <c r="A287" i="176"/>
  <c r="D287" i="176" s="1"/>
  <c r="A286" i="176"/>
  <c r="D286" i="176" s="1"/>
  <c r="A285" i="176"/>
  <c r="D285" i="176" s="1"/>
  <c r="A284" i="176"/>
  <c r="D284" i="176" s="1"/>
  <c r="A283" i="176"/>
  <c r="D283" i="176" s="1"/>
  <c r="A274" i="176"/>
  <c r="D274" i="176" s="1"/>
  <c r="A273" i="176"/>
  <c r="D273" i="176" s="1"/>
  <c r="A272" i="176"/>
  <c r="D272" i="176" s="1"/>
  <c r="A271" i="176"/>
  <c r="D271" i="176" s="1"/>
  <c r="A270" i="176"/>
  <c r="D270" i="176" s="1"/>
  <c r="A269" i="176"/>
  <c r="D269" i="176" s="1"/>
  <c r="A260" i="176"/>
  <c r="D260" i="176" s="1"/>
  <c r="A259" i="176"/>
  <c r="D259" i="176" s="1"/>
  <c r="A258" i="176"/>
  <c r="D258" i="176" s="1"/>
  <c r="A257" i="176"/>
  <c r="D257" i="176" s="1"/>
  <c r="A256" i="176"/>
  <c r="D256" i="176" s="1"/>
  <c r="A255" i="176"/>
  <c r="D255" i="176" s="1"/>
  <c r="A246" i="176"/>
  <c r="D246" i="176" s="1"/>
  <c r="A245" i="176"/>
  <c r="D245" i="176" s="1"/>
  <c r="A244" i="176"/>
  <c r="D244" i="176" s="1"/>
  <c r="A243" i="176"/>
  <c r="D243" i="176" s="1"/>
  <c r="A242" i="176"/>
  <c r="D242" i="176" s="1"/>
  <c r="A241" i="176"/>
  <c r="D241" i="176" s="1"/>
  <c r="A232" i="176"/>
  <c r="D232" i="176" s="1"/>
  <c r="A231" i="176"/>
  <c r="D231" i="176" s="1"/>
  <c r="A230" i="176"/>
  <c r="D230" i="176" s="1"/>
  <c r="A229" i="176"/>
  <c r="D229" i="176" s="1"/>
  <c r="A228" i="176"/>
  <c r="D228" i="176" s="1"/>
  <c r="A227" i="176"/>
  <c r="D227" i="176" s="1"/>
  <c r="A218" i="176"/>
  <c r="D218" i="176" s="1"/>
  <c r="A217" i="176"/>
  <c r="D217" i="176" s="1"/>
  <c r="A216" i="176"/>
  <c r="D216" i="176" s="1"/>
  <c r="A215" i="176"/>
  <c r="D215" i="176" s="1"/>
  <c r="A214" i="176"/>
  <c r="D214" i="176" s="1"/>
  <c r="A213" i="176"/>
  <c r="D213" i="176" s="1"/>
  <c r="A204" i="176"/>
  <c r="D204" i="176" s="1"/>
  <c r="A203" i="176"/>
  <c r="D203" i="176" s="1"/>
  <c r="A202" i="176"/>
  <c r="D202" i="176" s="1"/>
  <c r="A201" i="176"/>
  <c r="D201" i="176" s="1"/>
  <c r="A200" i="176"/>
  <c r="D200" i="176" s="1"/>
  <c r="A199" i="176"/>
  <c r="D199" i="176" s="1"/>
  <c r="A190" i="176"/>
  <c r="D190" i="176" s="1"/>
  <c r="A189" i="176"/>
  <c r="D189" i="176" s="1"/>
  <c r="A188" i="176"/>
  <c r="D188" i="176" s="1"/>
  <c r="A187" i="176"/>
  <c r="D187" i="176" s="1"/>
  <c r="A186" i="176"/>
  <c r="D186" i="176" s="1"/>
  <c r="A185" i="176"/>
  <c r="D185" i="176" s="1"/>
  <c r="A176" i="176"/>
  <c r="D176" i="176" s="1"/>
  <c r="A175" i="176"/>
  <c r="D175" i="176" s="1"/>
  <c r="A174" i="176"/>
  <c r="D174" i="176" s="1"/>
  <c r="A173" i="176"/>
  <c r="D173" i="176" s="1"/>
  <c r="A172" i="176"/>
  <c r="D172" i="176" s="1"/>
  <c r="A171" i="176"/>
  <c r="D171" i="176" s="1"/>
  <c r="A162" i="176"/>
  <c r="D162" i="176" s="1"/>
  <c r="A161" i="176"/>
  <c r="D161" i="176" s="1"/>
  <c r="A160" i="176"/>
  <c r="D160" i="176" s="1"/>
  <c r="A159" i="176"/>
  <c r="D159" i="176" s="1"/>
  <c r="A158" i="176"/>
  <c r="D158" i="176" s="1"/>
  <c r="A157" i="176"/>
  <c r="D157" i="176" s="1"/>
  <c r="A148" i="176"/>
  <c r="D148" i="176" s="1"/>
  <c r="A147" i="176"/>
  <c r="D147" i="176" s="1"/>
  <c r="A146" i="176"/>
  <c r="D146" i="176" s="1"/>
  <c r="A145" i="176"/>
  <c r="D145" i="176" s="1"/>
  <c r="A144" i="176"/>
  <c r="D144" i="176" s="1"/>
  <c r="A143" i="176"/>
  <c r="D143" i="176" s="1"/>
  <c r="A134" i="176"/>
  <c r="D134" i="176" s="1"/>
  <c r="A133" i="176"/>
  <c r="D133" i="176" s="1"/>
  <c r="A132" i="176"/>
  <c r="D132" i="176" s="1"/>
  <c r="A131" i="176"/>
  <c r="D131" i="176" s="1"/>
  <c r="A130" i="176"/>
  <c r="D130" i="176" s="1"/>
  <c r="A129" i="176"/>
  <c r="D129" i="176" s="1"/>
  <c r="A120" i="176"/>
  <c r="D120" i="176" s="1"/>
  <c r="A119" i="176"/>
  <c r="D119" i="176" s="1"/>
  <c r="A118" i="176"/>
  <c r="D118" i="176" s="1"/>
  <c r="A117" i="176"/>
  <c r="D117" i="176" s="1"/>
  <c r="A116" i="176"/>
  <c r="D116" i="176" s="1"/>
  <c r="A115" i="176"/>
  <c r="D115" i="176" s="1"/>
  <c r="A106" i="176"/>
  <c r="D106" i="176" s="1"/>
  <c r="A105" i="176"/>
  <c r="D105" i="176" s="1"/>
  <c r="A104" i="176"/>
  <c r="D104" i="176" s="1"/>
  <c r="A103" i="176"/>
  <c r="D103" i="176" s="1"/>
  <c r="A102" i="176"/>
  <c r="D102" i="176" s="1"/>
  <c r="A101" i="176"/>
  <c r="D101" i="176" s="1"/>
  <c r="A92" i="176"/>
  <c r="D92" i="176" s="1"/>
  <c r="A83" i="176"/>
  <c r="D83" i="176" s="1"/>
  <c r="A82" i="176"/>
  <c r="D82" i="176" s="1"/>
  <c r="A81" i="176"/>
  <c r="D81" i="176" s="1"/>
  <c r="A80" i="176"/>
  <c r="D80" i="176" s="1"/>
  <c r="A79" i="176"/>
  <c r="D79" i="176" s="1"/>
  <c r="A78" i="176"/>
  <c r="D78" i="176" s="1"/>
  <c r="A69" i="176"/>
  <c r="D69" i="176" s="1"/>
  <c r="A68" i="176"/>
  <c r="D68" i="176" s="1"/>
  <c r="A67" i="176"/>
  <c r="D67" i="176" s="1"/>
  <c r="A66" i="176"/>
  <c r="D66" i="176" s="1"/>
  <c r="A65" i="176"/>
  <c r="D65" i="176" s="1"/>
  <c r="A64" i="176"/>
  <c r="D64" i="176" s="1"/>
  <c r="A55" i="176"/>
  <c r="D55" i="176" s="1"/>
  <c r="A54" i="176"/>
  <c r="D54" i="176" s="1"/>
  <c r="A53" i="176"/>
  <c r="D53" i="176" s="1"/>
  <c r="A52" i="176"/>
  <c r="D52" i="176" s="1"/>
  <c r="A51" i="176"/>
  <c r="D51" i="176" s="1"/>
  <c r="A50" i="176"/>
  <c r="D50" i="176" s="1"/>
  <c r="A41" i="176"/>
  <c r="D41" i="176" s="1"/>
  <c r="A40" i="176"/>
  <c r="D40" i="176" s="1"/>
  <c r="A39" i="176"/>
  <c r="D39" i="176" s="1"/>
  <c r="A38" i="176"/>
  <c r="D38" i="176" s="1"/>
  <c r="A37" i="176"/>
  <c r="D37" i="176" s="1"/>
  <c r="A36" i="176"/>
  <c r="D36" i="176" s="1"/>
  <c r="A27" i="176"/>
  <c r="D27" i="176" s="1"/>
  <c r="A26" i="176"/>
  <c r="D26" i="176" s="1"/>
  <c r="A25" i="176"/>
  <c r="D25" i="176" s="1"/>
  <c r="A24" i="176"/>
  <c r="D24" i="176" s="1"/>
  <c r="A23" i="176"/>
  <c r="D23" i="176" s="1"/>
  <c r="A22" i="176"/>
  <c r="D22" i="176" s="1"/>
  <c r="A13" i="176"/>
  <c r="D13" i="176" s="1"/>
  <c r="A12" i="176"/>
  <c r="D12" i="176" s="1"/>
  <c r="A11" i="176"/>
  <c r="D11" i="176" s="1"/>
  <c r="A10" i="176"/>
  <c r="D10" i="176" s="1"/>
  <c r="A9" i="176"/>
  <c r="D9" i="176" s="1"/>
  <c r="A8" i="176"/>
  <c r="D8" i="176" s="1"/>
  <c r="B289" i="175"/>
  <c r="A288" i="175"/>
  <c r="A287" i="175"/>
  <c r="A286" i="175"/>
  <c r="A285" i="175"/>
  <c r="A284" i="175"/>
  <c r="A283" i="175"/>
  <c r="B275" i="175"/>
  <c r="A275" i="175" s="1"/>
  <c r="A274" i="175"/>
  <c r="A273" i="175"/>
  <c r="A272" i="175"/>
  <c r="A271" i="175"/>
  <c r="A270" i="175"/>
  <c r="A269" i="175"/>
  <c r="A260" i="175"/>
  <c r="A259" i="175"/>
  <c r="A258" i="175"/>
  <c r="A257" i="175"/>
  <c r="A256" i="175"/>
  <c r="A255" i="175"/>
  <c r="A246" i="175"/>
  <c r="A245" i="175"/>
  <c r="A244" i="175"/>
  <c r="A243" i="175"/>
  <c r="A242" i="175"/>
  <c r="A241" i="175"/>
  <c r="A232" i="175"/>
  <c r="A231" i="175"/>
  <c r="A230" i="175"/>
  <c r="A229" i="175"/>
  <c r="A228" i="175"/>
  <c r="A227" i="175"/>
  <c r="A218" i="175"/>
  <c r="A217" i="175"/>
  <c r="A216" i="175"/>
  <c r="A215" i="175"/>
  <c r="A214" i="175"/>
  <c r="A213" i="175"/>
  <c r="A204" i="175"/>
  <c r="A203" i="175"/>
  <c r="A202" i="175"/>
  <c r="A201" i="175"/>
  <c r="A200" i="175"/>
  <c r="A199" i="175"/>
  <c r="A190" i="175"/>
  <c r="A189" i="175"/>
  <c r="A188" i="175"/>
  <c r="A187" i="175"/>
  <c r="A186" i="175"/>
  <c r="A185" i="175"/>
  <c r="A176" i="175"/>
  <c r="A175" i="175"/>
  <c r="A174" i="175"/>
  <c r="A173" i="175"/>
  <c r="A172" i="175"/>
  <c r="A171" i="175"/>
  <c r="A162" i="175"/>
  <c r="A161" i="175"/>
  <c r="A160" i="175"/>
  <c r="A159" i="175"/>
  <c r="A158" i="175"/>
  <c r="A157" i="175"/>
  <c r="A148" i="175"/>
  <c r="A147" i="175"/>
  <c r="A146" i="175"/>
  <c r="A145" i="175"/>
  <c r="A144" i="175"/>
  <c r="A143" i="175"/>
  <c r="A134" i="175"/>
  <c r="A133" i="175"/>
  <c r="A132" i="175"/>
  <c r="A131" i="175"/>
  <c r="A130" i="175"/>
  <c r="A129" i="175"/>
  <c r="A120" i="175"/>
  <c r="A119" i="175"/>
  <c r="A118" i="175"/>
  <c r="A117" i="175"/>
  <c r="A116" i="175"/>
  <c r="A115" i="175"/>
  <c r="A106" i="175"/>
  <c r="A105" i="175"/>
  <c r="A104" i="175"/>
  <c r="A103" i="175"/>
  <c r="A102" i="175"/>
  <c r="A101" i="175"/>
  <c r="A92" i="175"/>
  <c r="A83" i="175"/>
  <c r="A82" i="175"/>
  <c r="A81" i="175"/>
  <c r="A80" i="175"/>
  <c r="A79" i="175"/>
  <c r="A78" i="175"/>
  <c r="A69" i="175"/>
  <c r="A68" i="175"/>
  <c r="A67" i="175"/>
  <c r="A66" i="175"/>
  <c r="A65" i="175"/>
  <c r="A64" i="175"/>
  <c r="A55" i="175"/>
  <c r="A54" i="175"/>
  <c r="A53" i="175"/>
  <c r="A52" i="175"/>
  <c r="A51" i="175"/>
  <c r="A50" i="175"/>
  <c r="A41" i="175"/>
  <c r="A40" i="175"/>
  <c r="A39" i="175"/>
  <c r="A38" i="175"/>
  <c r="A37" i="175"/>
  <c r="A36" i="175"/>
  <c r="A27" i="175"/>
  <c r="A26" i="175"/>
  <c r="A25" i="175"/>
  <c r="A24" i="175"/>
  <c r="A23" i="175"/>
  <c r="A22" i="175"/>
  <c r="A13" i="175"/>
  <c r="A12" i="175"/>
  <c r="A11" i="175"/>
  <c r="A10" i="175"/>
  <c r="A9" i="175"/>
  <c r="A8" i="175"/>
  <c r="AC57" i="176"/>
  <c r="AD76" i="176"/>
  <c r="AD91" i="176"/>
  <c r="F95" i="177" s="1"/>
  <c r="AD93" i="176"/>
  <c r="AD97" i="176"/>
  <c r="AD98" i="176"/>
  <c r="AD102" i="176"/>
  <c r="AD103" i="176"/>
  <c r="AD104" i="176"/>
  <c r="AD105" i="176"/>
  <c r="AD108" i="176"/>
  <c r="AD110" i="176"/>
  <c r="AB111" i="176"/>
  <c r="AC111" i="176"/>
  <c r="AC113" i="176"/>
  <c r="AD114" i="176"/>
  <c r="F84" i="177" s="1"/>
  <c r="AB115" i="176"/>
  <c r="AC115" i="176"/>
  <c r="AD116" i="176"/>
  <c r="AB117" i="176"/>
  <c r="AD118" i="176"/>
  <c r="AC119" i="176"/>
  <c r="AC120" i="176"/>
  <c r="AD120" i="176"/>
  <c r="AB121" i="176"/>
  <c r="AC121" i="176"/>
  <c r="AD122" i="176"/>
  <c r="AB123" i="176"/>
  <c r="C85" i="177" s="1"/>
  <c r="AB124" i="176"/>
  <c r="AC124" i="176"/>
  <c r="AD124" i="176"/>
  <c r="AC125" i="176"/>
  <c r="AD126" i="176"/>
  <c r="AC127" i="176"/>
  <c r="AD127" i="176"/>
  <c r="AC128" i="176"/>
  <c r="E85" i="177" s="1"/>
  <c r="AD128" i="176"/>
  <c r="F85" i="177" s="1"/>
  <c r="AB129" i="176"/>
  <c r="AD129" i="176"/>
  <c r="AC130" i="176"/>
  <c r="AD130" i="176"/>
  <c r="AC131" i="176"/>
  <c r="AD131" i="176"/>
  <c r="AC132" i="176"/>
  <c r="AC133" i="176"/>
  <c r="AD133" i="176"/>
  <c r="AD134" i="176"/>
  <c r="AB135" i="176"/>
  <c r="AD135" i="176"/>
  <c r="AC136" i="176"/>
  <c r="AD136" i="176"/>
  <c r="AD137" i="176"/>
  <c r="AB138" i="176"/>
  <c r="AD138" i="176"/>
  <c r="AC139" i="176"/>
  <c r="AD139" i="176"/>
  <c r="AC140" i="176"/>
  <c r="AD140" i="176"/>
  <c r="AC141" i="176"/>
  <c r="AD141" i="176"/>
  <c r="AB142" i="176"/>
  <c r="D86" i="177" s="1"/>
  <c r="AC142" i="176"/>
  <c r="E86" i="177" s="1"/>
  <c r="AD142" i="176"/>
  <c r="F86" i="177" s="1"/>
  <c r="AB143" i="176"/>
  <c r="AC143" i="176"/>
  <c r="AC144" i="176"/>
  <c r="AD144" i="176"/>
  <c r="AB145" i="176"/>
  <c r="AC145" i="176"/>
  <c r="AC146" i="176"/>
  <c r="AD146" i="176"/>
  <c r="AC147" i="176"/>
  <c r="AD147" i="176"/>
  <c r="AB148" i="176"/>
  <c r="AC148" i="176"/>
  <c r="AD148" i="176"/>
  <c r="AC149" i="176"/>
  <c r="AB150" i="176"/>
  <c r="AD150" i="176"/>
  <c r="AB151" i="176"/>
  <c r="C87" i="177" s="1"/>
  <c r="AC151" i="176"/>
  <c r="AD151" i="176"/>
  <c r="AB152" i="176"/>
  <c r="AC152" i="176"/>
  <c r="AC153" i="176"/>
  <c r="AD153" i="176"/>
  <c r="AB154" i="176"/>
  <c r="AC154" i="176"/>
  <c r="AD154" i="176"/>
  <c r="AC155" i="176"/>
  <c r="AB156" i="176"/>
  <c r="D87" i="177" s="1"/>
  <c r="AC156" i="176"/>
  <c r="E87" i="177" s="1"/>
  <c r="AD156" i="176"/>
  <c r="F87" i="177" s="1"/>
  <c r="AC157" i="176"/>
  <c r="AD157" i="176"/>
  <c r="AB158" i="176"/>
  <c r="AC158" i="176"/>
  <c r="AC159" i="176"/>
  <c r="AD159" i="176"/>
  <c r="AB160" i="176"/>
  <c r="AC160" i="176"/>
  <c r="AD160" i="176"/>
  <c r="AB161" i="176"/>
  <c r="AC161" i="176"/>
  <c r="AD161" i="176"/>
  <c r="AB162" i="176"/>
  <c r="AC162" i="176"/>
  <c r="AD162" i="176"/>
  <c r="AD163" i="176"/>
  <c r="AB164" i="176"/>
  <c r="AC164" i="176"/>
  <c r="AD164" i="176"/>
  <c r="AB165" i="176"/>
  <c r="C88" i="177" s="1"/>
  <c r="AC165" i="176"/>
  <c r="AD165" i="176"/>
  <c r="AB166" i="176"/>
  <c r="AC166" i="176"/>
  <c r="AD166" i="176"/>
  <c r="AB167" i="176"/>
  <c r="AC167" i="176"/>
  <c r="AD167" i="176"/>
  <c r="AB168" i="176"/>
  <c r="AC168" i="176"/>
  <c r="AD168" i="176"/>
  <c r="AB169" i="176"/>
  <c r="AC169" i="176"/>
  <c r="AD169" i="176"/>
  <c r="AB170" i="176"/>
  <c r="D88" i="177" s="1"/>
  <c r="AC170" i="176"/>
  <c r="E88" i="177" s="1"/>
  <c r="AD170" i="176"/>
  <c r="F88" i="177" s="1"/>
  <c r="AB171" i="176"/>
  <c r="AC171" i="176"/>
  <c r="AD171" i="176"/>
  <c r="AB172" i="176"/>
  <c r="AC172" i="176"/>
  <c r="AD172" i="176"/>
  <c r="AB173" i="176"/>
  <c r="AC173" i="176"/>
  <c r="AC174" i="176"/>
  <c r="AD174" i="176"/>
  <c r="AB175" i="176"/>
  <c r="AC175" i="176"/>
  <c r="AD175" i="176"/>
  <c r="AB176" i="176"/>
  <c r="AC176" i="176"/>
  <c r="AD176" i="176"/>
  <c r="AB177" i="176"/>
  <c r="AC177" i="176"/>
  <c r="AD177" i="176"/>
  <c r="AC178" i="176"/>
  <c r="AD178" i="176"/>
  <c r="AB179" i="176"/>
  <c r="C89" i="177" s="1"/>
  <c r="AC179" i="176"/>
  <c r="AD179" i="176"/>
  <c r="AB180" i="176"/>
  <c r="AC180" i="176"/>
  <c r="AD180" i="176"/>
  <c r="AB181" i="176"/>
  <c r="AC181" i="176"/>
  <c r="AB182" i="176"/>
  <c r="AC182" i="176"/>
  <c r="AD182" i="176"/>
  <c r="AB183" i="176"/>
  <c r="AC183" i="176"/>
  <c r="AD183" i="176"/>
  <c r="AB184" i="176"/>
  <c r="D89" i="177" s="1"/>
  <c r="AB186" i="176"/>
  <c r="AD186" i="176"/>
  <c r="AB187" i="176"/>
  <c r="AB188" i="176"/>
  <c r="AD188" i="176"/>
  <c r="AB189" i="176"/>
  <c r="AB190" i="176"/>
  <c r="AD190" i="176"/>
  <c r="AB191" i="176"/>
  <c r="AD191" i="176"/>
  <c r="AB192" i="176"/>
  <c r="AD192" i="176"/>
  <c r="AB193" i="176"/>
  <c r="C96" i="177" s="1"/>
  <c r="AC193" i="176"/>
  <c r="AD193" i="176"/>
  <c r="AB194" i="176"/>
  <c r="AD194" i="176"/>
  <c r="AB195" i="176"/>
  <c r="AD195" i="176"/>
  <c r="AB196" i="176"/>
  <c r="AD196" i="176"/>
  <c r="AB197" i="176"/>
  <c r="AD197" i="176"/>
  <c r="AB198" i="176"/>
  <c r="D96" i="177" s="1"/>
  <c r="AC198" i="176"/>
  <c r="E96" i="177" s="1"/>
  <c r="AD198" i="176"/>
  <c r="F96" i="177" s="1"/>
  <c r="AB199" i="176"/>
  <c r="AD199" i="176"/>
  <c r="AB200" i="176"/>
  <c r="AD200" i="176"/>
  <c r="AB201" i="176"/>
  <c r="AC201" i="176"/>
  <c r="AD201" i="176"/>
  <c r="AB202" i="176"/>
  <c r="AD202" i="176"/>
  <c r="AB203" i="176"/>
  <c r="AD203" i="176"/>
  <c r="AB204" i="176"/>
  <c r="AD204" i="176"/>
  <c r="AB205" i="176"/>
  <c r="AD205" i="176"/>
  <c r="AB206" i="176"/>
  <c r="AD206" i="176"/>
  <c r="AB207" i="176"/>
  <c r="C97" i="177" s="1"/>
  <c r="AD207" i="176"/>
  <c r="AB208" i="176"/>
  <c r="AD208" i="176"/>
  <c r="AB209" i="176"/>
  <c r="AD209" i="176"/>
  <c r="AB210" i="176"/>
  <c r="AD210" i="176"/>
  <c r="AB211" i="176"/>
  <c r="AD211" i="176"/>
  <c r="AB212" i="176"/>
  <c r="D97" i="177" s="1"/>
  <c r="AD212" i="176"/>
  <c r="F97" i="177" s="1"/>
  <c r="AB213" i="176"/>
  <c r="AD213" i="176"/>
  <c r="AB214" i="176"/>
  <c r="AD214" i="176"/>
  <c r="AB215" i="176"/>
  <c r="AD215" i="176"/>
  <c r="AB216" i="176"/>
  <c r="AD216" i="176"/>
  <c r="AB217" i="176"/>
  <c r="AC217" i="176"/>
  <c r="AD217" i="176"/>
  <c r="AB218" i="176"/>
  <c r="AD218" i="176"/>
  <c r="AB219" i="176"/>
  <c r="AD219" i="176"/>
  <c r="AB220" i="176"/>
  <c r="AD220" i="176"/>
  <c r="AB221" i="176"/>
  <c r="C90" i="177" s="1"/>
  <c r="AD221" i="176"/>
  <c r="AB222" i="176"/>
  <c r="AD222" i="176"/>
  <c r="AB223" i="176"/>
  <c r="AD223" i="176"/>
  <c r="AB224" i="176"/>
  <c r="AC224" i="176"/>
  <c r="AD224" i="176"/>
  <c r="AB225" i="176"/>
  <c r="AD225" i="176"/>
  <c r="AB226" i="176"/>
  <c r="D90" i="177" s="1"/>
  <c r="AD226" i="176"/>
  <c r="F90" i="177" s="1"/>
  <c r="AB227" i="176"/>
  <c r="AD227" i="176"/>
  <c r="AB228" i="176"/>
  <c r="AD228" i="176"/>
  <c r="AB229" i="176"/>
  <c r="AD229" i="176"/>
  <c r="AB230" i="176"/>
  <c r="AD230" i="176"/>
  <c r="AB231" i="176"/>
  <c r="AD231" i="176"/>
  <c r="AB232" i="176"/>
  <c r="AD232" i="176"/>
  <c r="AB233" i="176"/>
  <c r="AD233" i="176"/>
  <c r="AB234" i="176"/>
  <c r="AD234" i="176"/>
  <c r="AB235" i="176"/>
  <c r="C91" i="177" s="1"/>
  <c r="AD235" i="176"/>
  <c r="AB236" i="176"/>
  <c r="AD236" i="176"/>
  <c r="AB237" i="176"/>
  <c r="AD237" i="176"/>
  <c r="AB238" i="176"/>
  <c r="AD238" i="176"/>
  <c r="AB239" i="176"/>
  <c r="AD239" i="176"/>
  <c r="AB240" i="176"/>
  <c r="D91" i="177" s="1"/>
  <c r="AD240" i="176"/>
  <c r="F91" i="177" s="1"/>
  <c r="AB241" i="176"/>
  <c r="AD241" i="176"/>
  <c r="AB242" i="176"/>
  <c r="AD242" i="176"/>
  <c r="AB243" i="176"/>
  <c r="AD243" i="176"/>
  <c r="AB244" i="176"/>
  <c r="AD244" i="176"/>
  <c r="AB245" i="176"/>
  <c r="AD245" i="176"/>
  <c r="AB246" i="176"/>
  <c r="AD246" i="176"/>
  <c r="AB247" i="176"/>
  <c r="AD247" i="176"/>
  <c r="AB248" i="176"/>
  <c r="AD248" i="176"/>
  <c r="AB249" i="176"/>
  <c r="C92" i="177" s="1"/>
  <c r="AD249" i="176"/>
  <c r="AB250" i="176"/>
  <c r="AD250" i="176"/>
  <c r="AB251" i="176"/>
  <c r="AC251" i="176"/>
  <c r="AD251" i="176"/>
  <c r="AB252" i="176"/>
  <c r="AD252" i="176"/>
  <c r="AB253" i="176"/>
  <c r="AD253" i="176"/>
  <c r="AB254" i="176"/>
  <c r="D92" i="177" s="1"/>
  <c r="AD254" i="176"/>
  <c r="F92" i="177" s="1"/>
  <c r="AB255" i="176"/>
  <c r="AD255" i="176"/>
  <c r="AB256" i="176"/>
  <c r="AD256" i="176"/>
  <c r="AB257" i="176"/>
  <c r="AD257" i="176"/>
  <c r="AB258" i="176"/>
  <c r="AD258" i="176"/>
  <c r="AB259" i="176"/>
  <c r="AD259" i="176"/>
  <c r="AB260" i="176"/>
  <c r="AC260" i="176"/>
  <c r="AD260" i="176"/>
  <c r="AB261" i="176"/>
  <c r="AD261" i="176"/>
  <c r="AB262" i="176"/>
  <c r="AD262" i="176"/>
  <c r="AB263" i="176"/>
  <c r="C93" i="177" s="1"/>
  <c r="AC263" i="176"/>
  <c r="AD263" i="176"/>
  <c r="AB264" i="176"/>
  <c r="AD264" i="176"/>
  <c r="AB265" i="176"/>
  <c r="AD265" i="176"/>
  <c r="AB266" i="176"/>
  <c r="AD266" i="176"/>
  <c r="AB267" i="176"/>
  <c r="AD267" i="176"/>
  <c r="AB268" i="176"/>
  <c r="D93" i="177" s="1"/>
  <c r="AD268" i="176"/>
  <c r="F93" i="177" s="1"/>
  <c r="AB269" i="176"/>
  <c r="AD269" i="176"/>
  <c r="AB270" i="176"/>
  <c r="AD270" i="176"/>
  <c r="AB271" i="176"/>
  <c r="AD271" i="176"/>
  <c r="AB272" i="176"/>
  <c r="AC272" i="176"/>
  <c r="AD272" i="176"/>
  <c r="AB273" i="176"/>
  <c r="AD273" i="176"/>
  <c r="AB274" i="176"/>
  <c r="AD274" i="176"/>
  <c r="AB283" i="176"/>
  <c r="AC283" i="176"/>
  <c r="AD283" i="176"/>
  <c r="AB284" i="176"/>
  <c r="AD284" i="176"/>
  <c r="AB285" i="176"/>
  <c r="AD285" i="176"/>
  <c r="AD286" i="176"/>
  <c r="AB287" i="176"/>
  <c r="AD287" i="176"/>
  <c r="AB288" i="176"/>
  <c r="AD288" i="176"/>
  <c r="X61" i="176"/>
  <c r="X64" i="176"/>
  <c r="X66" i="176"/>
  <c r="X74" i="176"/>
  <c r="X77" i="176"/>
  <c r="X80" i="176"/>
  <c r="X81" i="176"/>
  <c r="X82" i="176"/>
  <c r="X83" i="176"/>
  <c r="X88" i="176"/>
  <c r="X92" i="176"/>
  <c r="X93" i="176"/>
  <c r="X94" i="176"/>
  <c r="X96" i="176"/>
  <c r="X98" i="176"/>
  <c r="X100" i="176"/>
  <c r="X101" i="176"/>
  <c r="X104" i="176"/>
  <c r="X105" i="176"/>
  <c r="X106" i="176"/>
  <c r="X109" i="176"/>
  <c r="X141" i="176"/>
  <c r="X157" i="176"/>
  <c r="X167" i="176"/>
  <c r="X174" i="176"/>
  <c r="X185" i="176"/>
  <c r="X186" i="176"/>
  <c r="X187" i="176"/>
  <c r="X188" i="176"/>
  <c r="X189" i="176"/>
  <c r="X190" i="176"/>
  <c r="X191" i="176"/>
  <c r="X192" i="176"/>
  <c r="X193" i="176"/>
  <c r="X194" i="176"/>
  <c r="X195" i="176"/>
  <c r="X196" i="176"/>
  <c r="X197" i="176"/>
  <c r="X198" i="176"/>
  <c r="X199" i="176"/>
  <c r="X200" i="176"/>
  <c r="X201" i="176"/>
  <c r="X202" i="176"/>
  <c r="X203" i="176"/>
  <c r="X204" i="176"/>
  <c r="X205" i="176"/>
  <c r="X206" i="176"/>
  <c r="X207" i="176"/>
  <c r="X208" i="176"/>
  <c r="X209" i="176"/>
  <c r="X210" i="176"/>
  <c r="X211" i="176"/>
  <c r="X212" i="176"/>
  <c r="X213" i="176"/>
  <c r="X214" i="176"/>
  <c r="X215" i="176"/>
  <c r="X216" i="176"/>
  <c r="X217" i="176"/>
  <c r="X218" i="176"/>
  <c r="X219" i="176"/>
  <c r="X220" i="176"/>
  <c r="X221" i="176"/>
  <c r="X222" i="176"/>
  <c r="X223" i="176"/>
  <c r="X224" i="176"/>
  <c r="X225" i="176"/>
  <c r="X226" i="176"/>
  <c r="X227" i="176"/>
  <c r="X228" i="176"/>
  <c r="X229" i="176"/>
  <c r="X231" i="176"/>
  <c r="X232" i="176"/>
  <c r="X233" i="176"/>
  <c r="X234" i="176"/>
  <c r="X235" i="176"/>
  <c r="X236" i="176"/>
  <c r="X237" i="176"/>
  <c r="X238" i="176"/>
  <c r="X239" i="176"/>
  <c r="X240" i="176"/>
  <c r="X241" i="176"/>
  <c r="X242" i="176"/>
  <c r="X243" i="176"/>
  <c r="X244" i="176"/>
  <c r="X245" i="176"/>
  <c r="X246" i="176"/>
  <c r="X247" i="176"/>
  <c r="X248" i="176"/>
  <c r="X249" i="176"/>
  <c r="X250" i="176"/>
  <c r="X251" i="176"/>
  <c r="X252" i="176"/>
  <c r="X253" i="176"/>
  <c r="X254" i="176"/>
  <c r="X255" i="176"/>
  <c r="X256" i="176"/>
  <c r="X257" i="176"/>
  <c r="X258" i="176"/>
  <c r="X259" i="176"/>
  <c r="X260" i="176"/>
  <c r="X261" i="176"/>
  <c r="X262" i="176"/>
  <c r="X263" i="176"/>
  <c r="X264" i="176"/>
  <c r="X265" i="176"/>
  <c r="X266" i="176"/>
  <c r="X267" i="176"/>
  <c r="X268" i="176"/>
  <c r="X269" i="176"/>
  <c r="X270" i="176"/>
  <c r="X271" i="176"/>
  <c r="X272" i="176"/>
  <c r="X273" i="176"/>
  <c r="X274" i="176"/>
  <c r="X283" i="176"/>
  <c r="X284" i="176"/>
  <c r="X285" i="176"/>
  <c r="X286" i="176"/>
  <c r="X287" i="176"/>
  <c r="X288" i="176"/>
  <c r="S60" i="176"/>
  <c r="S61" i="176"/>
  <c r="S63" i="176"/>
  <c r="S77" i="176"/>
  <c r="S81" i="176"/>
  <c r="S83" i="176"/>
  <c r="S87" i="176"/>
  <c r="S89" i="176"/>
  <c r="S91" i="176"/>
  <c r="S93" i="176"/>
  <c r="S94" i="176"/>
  <c r="S98" i="176"/>
  <c r="S99" i="176"/>
  <c r="S102" i="176"/>
  <c r="S103" i="176"/>
  <c r="S104" i="176"/>
  <c r="S107" i="176"/>
  <c r="S108" i="176"/>
  <c r="S113" i="176"/>
  <c r="S147" i="176"/>
  <c r="S154" i="176"/>
  <c r="S162" i="176"/>
  <c r="S177" i="176"/>
  <c r="S183" i="176"/>
  <c r="S185" i="176"/>
  <c r="S186" i="176"/>
  <c r="S187" i="176"/>
  <c r="S188" i="176"/>
  <c r="S189" i="176"/>
  <c r="S190" i="176"/>
  <c r="S191" i="176"/>
  <c r="S192" i="176"/>
  <c r="S193" i="176"/>
  <c r="S194" i="176"/>
  <c r="S195" i="176"/>
  <c r="S196" i="176"/>
  <c r="S197" i="176"/>
  <c r="S198" i="176"/>
  <c r="S199" i="176"/>
  <c r="S200" i="176"/>
  <c r="S201" i="176"/>
  <c r="S202" i="176"/>
  <c r="S203" i="176"/>
  <c r="S204" i="176"/>
  <c r="S205" i="176"/>
  <c r="S206" i="176"/>
  <c r="S207" i="176"/>
  <c r="S208" i="176"/>
  <c r="S209" i="176"/>
  <c r="S210" i="176"/>
  <c r="S211" i="176"/>
  <c r="S212" i="176"/>
  <c r="S213" i="176"/>
  <c r="S214" i="176"/>
  <c r="S215" i="176"/>
  <c r="S216" i="176"/>
  <c r="S217" i="176"/>
  <c r="S218" i="176"/>
  <c r="S219" i="176"/>
  <c r="S220" i="176"/>
  <c r="S221" i="176"/>
  <c r="S222" i="176"/>
  <c r="S223" i="176"/>
  <c r="S225" i="176"/>
  <c r="S226" i="176"/>
  <c r="S227" i="176"/>
  <c r="S228" i="176"/>
  <c r="S229" i="176"/>
  <c r="S230" i="176"/>
  <c r="S231" i="176"/>
  <c r="S232" i="176"/>
  <c r="S233" i="176"/>
  <c r="S234" i="176"/>
  <c r="S235" i="176"/>
  <c r="S236" i="176"/>
  <c r="S237" i="176"/>
  <c r="S238" i="176"/>
  <c r="S239" i="176"/>
  <c r="S240" i="176"/>
  <c r="S241" i="176"/>
  <c r="S242" i="176"/>
  <c r="S243" i="176"/>
  <c r="S244" i="176"/>
  <c r="S245" i="176"/>
  <c r="S246" i="176"/>
  <c r="S247" i="176"/>
  <c r="S248" i="176"/>
  <c r="S249" i="176"/>
  <c r="S250" i="176"/>
  <c r="S251" i="176"/>
  <c r="S252" i="176"/>
  <c r="S253" i="176"/>
  <c r="S254" i="176"/>
  <c r="S255" i="176"/>
  <c r="S256" i="176"/>
  <c r="S257" i="176"/>
  <c r="S258" i="176"/>
  <c r="S259" i="176"/>
  <c r="S260" i="176"/>
  <c r="S261" i="176"/>
  <c r="S262" i="176"/>
  <c r="S263" i="176"/>
  <c r="S264" i="176"/>
  <c r="S265" i="176"/>
  <c r="S266" i="176"/>
  <c r="S267" i="176"/>
  <c r="S268" i="176"/>
  <c r="S269" i="176"/>
  <c r="S270" i="176"/>
  <c r="S271" i="176"/>
  <c r="S272" i="176"/>
  <c r="S273" i="176"/>
  <c r="S274" i="176"/>
  <c r="S283" i="176"/>
  <c r="S284" i="176"/>
  <c r="S285" i="176"/>
  <c r="S286" i="176"/>
  <c r="S287" i="176"/>
  <c r="S288" i="176"/>
  <c r="G55" i="176"/>
  <c r="G82" i="176"/>
  <c r="G95" i="176"/>
  <c r="H95" i="176"/>
  <c r="G108" i="176"/>
  <c r="H115" i="176"/>
  <c r="H117" i="176"/>
  <c r="H121" i="176"/>
  <c r="H130" i="176"/>
  <c r="H134" i="176"/>
  <c r="H135" i="176"/>
  <c r="H145" i="176"/>
  <c r="H148" i="176"/>
  <c r="H149" i="176"/>
  <c r="H158" i="176"/>
  <c r="H160" i="176"/>
  <c r="H163" i="176"/>
  <c r="H164" i="176"/>
  <c r="H171" i="176"/>
  <c r="H173" i="176"/>
  <c r="H174" i="176"/>
  <c r="H175" i="176"/>
  <c r="H176" i="176"/>
  <c r="H177" i="176"/>
  <c r="H179" i="176"/>
  <c r="H185" i="176"/>
  <c r="H186" i="176"/>
  <c r="H187" i="176"/>
  <c r="G188" i="176"/>
  <c r="H188" i="176"/>
  <c r="H189" i="176"/>
  <c r="H190" i="176"/>
  <c r="H191" i="176"/>
  <c r="H192" i="176"/>
  <c r="H194" i="176"/>
  <c r="H195" i="176"/>
  <c r="H196" i="176"/>
  <c r="H197" i="176"/>
  <c r="H198" i="176"/>
  <c r="H199" i="176"/>
  <c r="H200" i="176"/>
  <c r="G201" i="176"/>
  <c r="H201" i="176"/>
  <c r="H202" i="176"/>
  <c r="H203" i="176"/>
  <c r="H204" i="176"/>
  <c r="H205" i="176"/>
  <c r="H206" i="176"/>
  <c r="H207" i="176"/>
  <c r="H208" i="176"/>
  <c r="H209" i="176"/>
  <c r="H210" i="176"/>
  <c r="H211" i="176"/>
  <c r="H212" i="176"/>
  <c r="H213" i="176"/>
  <c r="H214" i="176"/>
  <c r="G215" i="176"/>
  <c r="H215" i="176"/>
  <c r="H216" i="176"/>
  <c r="H217" i="176"/>
  <c r="H218" i="176"/>
  <c r="H219" i="176"/>
  <c r="H220" i="176"/>
  <c r="H221" i="176"/>
  <c r="H227" i="176"/>
  <c r="G228" i="176"/>
  <c r="H228" i="176"/>
  <c r="H229" i="176"/>
  <c r="H230" i="176"/>
  <c r="H231" i="176"/>
  <c r="H232" i="176"/>
  <c r="H233" i="176"/>
  <c r="H234" i="176"/>
  <c r="H235" i="176"/>
  <c r="G241" i="176"/>
  <c r="H241" i="176"/>
  <c r="H242" i="176"/>
  <c r="H243" i="176"/>
  <c r="H244" i="176"/>
  <c r="H245" i="176"/>
  <c r="H246" i="176"/>
  <c r="H247" i="176"/>
  <c r="H248" i="176"/>
  <c r="H249" i="176"/>
  <c r="G255" i="176"/>
  <c r="H255" i="176"/>
  <c r="H256" i="176"/>
  <c r="H257" i="176"/>
  <c r="H258" i="176"/>
  <c r="H259" i="176"/>
  <c r="H260" i="176"/>
  <c r="H261" i="176"/>
  <c r="H262" i="176"/>
  <c r="H263" i="176"/>
  <c r="H269" i="176"/>
  <c r="H270" i="176"/>
  <c r="H271" i="176"/>
  <c r="H272" i="176"/>
  <c r="H273" i="176"/>
  <c r="H274" i="176"/>
  <c r="H283" i="176"/>
  <c r="H284" i="176"/>
  <c r="H285" i="176"/>
  <c r="H286" i="176"/>
  <c r="H287" i="176"/>
  <c r="H288" i="176"/>
  <c r="U186" i="176"/>
  <c r="U218" i="176"/>
  <c r="W203" i="176"/>
  <c r="U140" i="176"/>
  <c r="W287" i="176"/>
  <c r="W285" i="176"/>
  <c r="W283" i="176"/>
  <c r="W273" i="176"/>
  <c r="W271" i="176"/>
  <c r="W269" i="176"/>
  <c r="W267" i="176"/>
  <c r="W265" i="176"/>
  <c r="W263" i="176"/>
  <c r="W261" i="176"/>
  <c r="W259" i="176"/>
  <c r="W257" i="176"/>
  <c r="W255" i="176"/>
  <c r="U253" i="176"/>
  <c r="U251" i="176"/>
  <c r="U249" i="176"/>
  <c r="U247" i="176"/>
  <c r="W243" i="176"/>
  <c r="W241" i="176"/>
  <c r="W240" i="176"/>
  <c r="W238" i="176"/>
  <c r="W236" i="176"/>
  <c r="W234" i="176"/>
  <c r="W232" i="176"/>
  <c r="W230" i="176"/>
  <c r="W228" i="176"/>
  <c r="U226" i="176"/>
  <c r="U224" i="176"/>
  <c r="U222" i="176"/>
  <c r="U191" i="176"/>
  <c r="U189" i="176"/>
  <c r="U187" i="176"/>
  <c r="W184" i="176"/>
  <c r="W182" i="176"/>
  <c r="W180" i="176"/>
  <c r="W176" i="176"/>
  <c r="W174" i="176"/>
  <c r="U168" i="176"/>
  <c r="U166" i="176"/>
  <c r="U162" i="176"/>
  <c r="U160" i="176"/>
  <c r="W120" i="176"/>
  <c r="U216" i="176"/>
  <c r="W201" i="176"/>
  <c r="W198" i="176"/>
  <c r="U134" i="176"/>
  <c r="W113" i="176"/>
  <c r="U259" i="176"/>
  <c r="U236" i="176"/>
  <c r="W223" i="176"/>
  <c r="U180" i="176"/>
  <c r="W165" i="176"/>
  <c r="W159" i="176"/>
  <c r="W127" i="176"/>
  <c r="W125" i="176"/>
  <c r="W123" i="176"/>
  <c r="W74" i="176"/>
  <c r="W68" i="176"/>
  <c r="U245" i="176"/>
  <c r="W209" i="176"/>
  <c r="W194" i="176"/>
  <c r="U122" i="176"/>
  <c r="W105" i="176"/>
  <c r="U283" i="176"/>
  <c r="U263" i="176"/>
  <c r="W250" i="176"/>
  <c r="U232" i="176"/>
  <c r="U184" i="176"/>
  <c r="W169" i="176"/>
  <c r="W288" i="176"/>
  <c r="W219" i="176"/>
  <c r="W217" i="176"/>
  <c r="W215" i="176"/>
  <c r="W213" i="176"/>
  <c r="U211" i="176"/>
  <c r="U209" i="176"/>
  <c r="U203" i="176"/>
  <c r="U201" i="176"/>
  <c r="U199" i="176"/>
  <c r="U198" i="176"/>
  <c r="U194" i="176"/>
  <c r="W156" i="176"/>
  <c r="W154" i="176"/>
  <c r="W152" i="176"/>
  <c r="W150" i="176"/>
  <c r="W146" i="176"/>
  <c r="W144" i="176"/>
  <c r="W139" i="176"/>
  <c r="W137" i="176"/>
  <c r="W131" i="176"/>
  <c r="W129" i="176"/>
  <c r="W121" i="176"/>
  <c r="W100" i="176"/>
  <c r="W98" i="176"/>
  <c r="W86" i="176"/>
  <c r="Z86" i="176" s="1"/>
  <c r="W192" i="176"/>
  <c r="U138" i="176"/>
  <c r="W101" i="176"/>
  <c r="U273" i="176"/>
  <c r="U261" i="176"/>
  <c r="W248" i="176"/>
  <c r="W246" i="176"/>
  <c r="U234" i="176"/>
  <c r="W221" i="176"/>
  <c r="W161" i="176"/>
  <c r="W286" i="176"/>
  <c r="W284" i="176"/>
  <c r="W274" i="176"/>
  <c r="W272" i="176"/>
  <c r="W270" i="176"/>
  <c r="W268" i="176"/>
  <c r="W266" i="176"/>
  <c r="W264" i="176"/>
  <c r="W262" i="176"/>
  <c r="W260" i="176"/>
  <c r="W258" i="176"/>
  <c r="W256" i="176"/>
  <c r="U254" i="176"/>
  <c r="U252" i="176"/>
  <c r="U250" i="176"/>
  <c r="U248" i="176"/>
  <c r="W244" i="176"/>
  <c r="W242" i="176"/>
  <c r="W239" i="176"/>
  <c r="W237" i="176"/>
  <c r="W235" i="176"/>
  <c r="W233" i="176"/>
  <c r="W231" i="176"/>
  <c r="W229" i="176"/>
  <c r="W227" i="176"/>
  <c r="U225" i="176"/>
  <c r="U223" i="176"/>
  <c r="U221" i="176"/>
  <c r="U192" i="176"/>
  <c r="W183" i="176"/>
  <c r="W181" i="176"/>
  <c r="W179" i="176"/>
  <c r="W177" i="176"/>
  <c r="W175" i="176"/>
  <c r="W173" i="176"/>
  <c r="U169" i="176"/>
  <c r="U167" i="176"/>
  <c r="U165" i="176"/>
  <c r="U163" i="176"/>
  <c r="U159" i="176"/>
  <c r="U157" i="176"/>
  <c r="W119" i="176"/>
  <c r="W117" i="176"/>
  <c r="W211" i="176"/>
  <c r="W199" i="176"/>
  <c r="W196" i="176"/>
  <c r="U185" i="176"/>
  <c r="U149" i="176"/>
  <c r="U257" i="176"/>
  <c r="U241" i="176"/>
  <c r="U238" i="176"/>
  <c r="W225" i="176"/>
  <c r="U182" i="176"/>
  <c r="U246" i="176"/>
  <c r="U219" i="176"/>
  <c r="U217" i="176"/>
  <c r="U215" i="176"/>
  <c r="U213" i="176"/>
  <c r="W212" i="176"/>
  <c r="W210" i="176"/>
  <c r="W208" i="176"/>
  <c r="W206" i="176"/>
  <c r="W204" i="176"/>
  <c r="W202" i="176"/>
  <c r="W200" i="176"/>
  <c r="W197" i="176"/>
  <c r="W195" i="176"/>
  <c r="W193" i="176"/>
  <c r="W171" i="176"/>
  <c r="U150" i="176"/>
  <c r="U146" i="176"/>
  <c r="U141" i="176"/>
  <c r="U139" i="176"/>
  <c r="V137" i="176"/>
  <c r="U129" i="176"/>
  <c r="W115" i="176"/>
  <c r="W114" i="176"/>
  <c r="W112" i="176"/>
  <c r="W110" i="176"/>
  <c r="U92" i="176"/>
  <c r="W205" i="176"/>
  <c r="U142" i="176"/>
  <c r="W107" i="176"/>
  <c r="U287" i="176"/>
  <c r="W252" i="176"/>
  <c r="U243" i="176"/>
  <c r="U240" i="176"/>
  <c r="U230" i="176"/>
  <c r="U176" i="176"/>
  <c r="W157" i="176"/>
  <c r="U286" i="176"/>
  <c r="U284" i="176"/>
  <c r="U274" i="176"/>
  <c r="U272" i="176"/>
  <c r="U270" i="176"/>
  <c r="U268" i="176"/>
  <c r="U266" i="176"/>
  <c r="U264" i="176"/>
  <c r="V264" i="176"/>
  <c r="U262" i="176"/>
  <c r="U260" i="176"/>
  <c r="U256" i="176"/>
  <c r="W253" i="176"/>
  <c r="W251" i="176"/>
  <c r="W249" i="176"/>
  <c r="W247" i="176"/>
  <c r="U244" i="176"/>
  <c r="U239" i="176"/>
  <c r="U233" i="176"/>
  <c r="U231" i="176"/>
  <c r="U229" i="176"/>
  <c r="U227" i="176"/>
  <c r="W226" i="176"/>
  <c r="W224" i="176"/>
  <c r="W222" i="176"/>
  <c r="W220" i="176"/>
  <c r="W191" i="176"/>
  <c r="W189" i="176"/>
  <c r="W187" i="176"/>
  <c r="U181" i="176"/>
  <c r="U179" i="176"/>
  <c r="U175" i="176"/>
  <c r="U173" i="176"/>
  <c r="W170" i="176"/>
  <c r="W168" i="176"/>
  <c r="W166" i="176"/>
  <c r="W164" i="176"/>
  <c r="W162" i="176"/>
  <c r="W160" i="176"/>
  <c r="W158" i="176"/>
  <c r="W128" i="176"/>
  <c r="W126" i="176"/>
  <c r="W124" i="176"/>
  <c r="W122" i="176"/>
  <c r="W73" i="176"/>
  <c r="W71" i="176"/>
  <c r="W207" i="176"/>
  <c r="W109" i="176"/>
  <c r="U265" i="176"/>
  <c r="U255" i="176"/>
  <c r="W254" i="176"/>
  <c r="W190" i="176"/>
  <c r="U178" i="176"/>
  <c r="W163" i="176"/>
  <c r="W245" i="176"/>
  <c r="W218" i="176"/>
  <c r="W216" i="176"/>
  <c r="W214" i="176"/>
  <c r="U212" i="176"/>
  <c r="U208" i="176"/>
  <c r="U204" i="176"/>
  <c r="U202" i="176"/>
  <c r="U200" i="176"/>
  <c r="U197" i="176"/>
  <c r="U195" i="176"/>
  <c r="U193" i="176"/>
  <c r="W185" i="176"/>
  <c r="U171" i="176"/>
  <c r="W155" i="176"/>
  <c r="W153" i="176"/>
  <c r="W151" i="176"/>
  <c r="W149" i="176"/>
  <c r="W147" i="176"/>
  <c r="W145" i="176"/>
  <c r="W143" i="176"/>
  <c r="W142" i="176"/>
  <c r="W136" i="176"/>
  <c r="W134" i="176"/>
  <c r="W132" i="176"/>
  <c r="W130" i="176"/>
  <c r="W97" i="176"/>
  <c r="W87" i="176"/>
  <c r="V184" i="176"/>
  <c r="V182" i="176"/>
  <c r="V180" i="176"/>
  <c r="V178" i="176"/>
  <c r="V176" i="176"/>
  <c r="V172" i="176"/>
  <c r="V284" i="176"/>
  <c r="V268" i="176"/>
  <c r="V266" i="176"/>
  <c r="V235" i="176"/>
  <c r="V198" i="176"/>
  <c r="V188" i="176"/>
  <c r="V169" i="176"/>
  <c r="V167" i="176"/>
  <c r="V165" i="176"/>
  <c r="V163" i="176"/>
  <c r="V161" i="176"/>
  <c r="V159" i="176"/>
  <c r="V157" i="176"/>
  <c r="V141" i="176"/>
  <c r="V139" i="176"/>
  <c r="V135" i="176"/>
  <c r="V133" i="176"/>
  <c r="V267" i="176"/>
  <c r="V265" i="176"/>
  <c r="V257" i="176"/>
  <c r="V104" i="176"/>
  <c r="V102" i="176"/>
  <c r="V122" i="176"/>
  <c r="V155" i="176"/>
  <c r="V151" i="176"/>
  <c r="V149" i="176"/>
  <c r="V145" i="176"/>
  <c r="V130" i="176"/>
  <c r="M158" i="176"/>
  <c r="V170" i="176"/>
  <c r="V168" i="176"/>
  <c r="V166" i="176"/>
  <c r="V164" i="176"/>
  <c r="V160" i="176"/>
  <c r="V158" i="176"/>
  <c r="V142" i="176"/>
  <c r="V140" i="176"/>
  <c r="V138" i="176"/>
  <c r="V134" i="176"/>
  <c r="V114" i="176"/>
  <c r="L157" i="176"/>
  <c r="L174" i="176"/>
  <c r="P174" i="176" s="1"/>
  <c r="L234" i="176"/>
  <c r="L148" i="176"/>
  <c r="L162" i="176"/>
  <c r="L258" i="176"/>
  <c r="L134" i="176"/>
  <c r="M165" i="176"/>
  <c r="M179" i="176"/>
  <c r="L217" i="176"/>
  <c r="V120" i="176"/>
  <c r="V118" i="176"/>
  <c r="M205" i="176"/>
  <c r="M229" i="176"/>
  <c r="M260" i="176"/>
  <c r="M178" i="176"/>
  <c r="M198" i="176"/>
  <c r="V238" i="176"/>
  <c r="V156" i="176"/>
  <c r="V152" i="176"/>
  <c r="V131" i="176"/>
  <c r="V129" i="176"/>
  <c r="V127" i="176"/>
  <c r="V123" i="176"/>
  <c r="V111" i="176"/>
  <c r="M131" i="176"/>
  <c r="M147" i="176"/>
  <c r="V208" i="176"/>
  <c r="V183" i="176"/>
  <c r="V181" i="176"/>
  <c r="V179" i="176"/>
  <c r="V177" i="176"/>
  <c r="V175" i="176"/>
  <c r="V173" i="176"/>
  <c r="V150" i="176"/>
  <c r="V148" i="176"/>
  <c r="V146" i="176"/>
  <c r="V144" i="176"/>
  <c r="V93" i="176"/>
  <c r="L133" i="176"/>
  <c r="L146" i="176"/>
  <c r="L172" i="176"/>
  <c r="M175" i="176"/>
  <c r="V254" i="176"/>
  <c r="V248" i="176"/>
  <c r="V171" i="176"/>
  <c r="V83" i="176"/>
  <c r="M246" i="176"/>
  <c r="I196" i="177"/>
  <c r="G200" i="176"/>
  <c r="G199" i="176"/>
  <c r="G195" i="176"/>
  <c r="G193" i="176"/>
  <c r="G191" i="176"/>
  <c r="G75" i="176"/>
  <c r="G198" i="176"/>
  <c r="G206" i="176"/>
  <c r="G192" i="176"/>
  <c r="G288" i="176"/>
  <c r="G286" i="176"/>
  <c r="G284" i="176"/>
  <c r="G274" i="176"/>
  <c r="G272" i="176"/>
  <c r="G270" i="176"/>
  <c r="G262" i="176"/>
  <c r="G260" i="176"/>
  <c r="G258" i="176"/>
  <c r="G256" i="176"/>
  <c r="G249" i="176"/>
  <c r="G247" i="176"/>
  <c r="G245" i="176"/>
  <c r="G243" i="176"/>
  <c r="G234" i="176"/>
  <c r="G232" i="176"/>
  <c r="G230" i="176"/>
  <c r="G221" i="176"/>
  <c r="G219" i="176"/>
  <c r="G217" i="176"/>
  <c r="G104" i="176"/>
  <c r="G213" i="176"/>
  <c r="G189" i="176"/>
  <c r="G202" i="176"/>
  <c r="G196" i="176"/>
  <c r="G83" i="176"/>
  <c r="G79" i="176"/>
  <c r="G208" i="176"/>
  <c r="G187" i="176"/>
  <c r="G194" i="176"/>
  <c r="G287" i="176"/>
  <c r="G285" i="176"/>
  <c r="G283" i="176"/>
  <c r="G273" i="176"/>
  <c r="G271" i="176"/>
  <c r="G269" i="176"/>
  <c r="G263" i="176"/>
  <c r="G261" i="176"/>
  <c r="G259" i="176"/>
  <c r="G257" i="176"/>
  <c r="G248" i="176"/>
  <c r="G246" i="176"/>
  <c r="G244" i="176"/>
  <c r="G242" i="176"/>
  <c r="G235" i="176"/>
  <c r="G233" i="176"/>
  <c r="G231" i="176"/>
  <c r="G229" i="176"/>
  <c r="G227" i="176"/>
  <c r="G220" i="176"/>
  <c r="G218" i="176"/>
  <c r="G216" i="176"/>
  <c r="G172" i="176"/>
  <c r="G107" i="176"/>
  <c r="G105" i="176"/>
  <c r="G103" i="176"/>
  <c r="G64" i="176"/>
  <c r="G210" i="176"/>
  <c r="G185" i="176"/>
  <c r="G214" i="176"/>
  <c r="G211" i="176"/>
  <c r="G190" i="176"/>
  <c r="G159" i="176"/>
  <c r="G101" i="176"/>
  <c r="G212" i="176"/>
  <c r="G204" i="176"/>
  <c r="G209" i="176"/>
  <c r="G207" i="176"/>
  <c r="G205" i="176"/>
  <c r="G203" i="176"/>
  <c r="G197" i="176"/>
  <c r="G186" i="176"/>
  <c r="G94" i="176"/>
  <c r="G90" i="176"/>
  <c r="G88" i="176"/>
  <c r="G86" i="176"/>
  <c r="G84" i="176"/>
  <c r="G80" i="176"/>
  <c r="G78" i="176"/>
  <c r="U190" i="176"/>
  <c r="U285" i="176"/>
  <c r="U164" i="176"/>
  <c r="U258" i="176"/>
  <c r="U205" i="176"/>
  <c r="U288" i="176"/>
  <c r="U220" i="176"/>
  <c r="U131" i="176"/>
  <c r="U118" i="176"/>
  <c r="U235" i="176"/>
  <c r="U214" i="176"/>
  <c r="U210" i="176"/>
  <c r="U206" i="176"/>
  <c r="U148" i="176"/>
  <c r="U125" i="176"/>
  <c r="U123" i="176"/>
  <c r="U114" i="176"/>
  <c r="U237" i="176"/>
  <c r="U130" i="176"/>
  <c r="U119" i="176"/>
  <c r="U112" i="176"/>
  <c r="U271" i="176"/>
  <c r="U269" i="176"/>
  <c r="U267" i="176"/>
  <c r="U242" i="176"/>
  <c r="U228" i="176"/>
  <c r="U207" i="176"/>
  <c r="U147" i="176"/>
  <c r="U172" i="176"/>
  <c r="U170" i="176"/>
  <c r="U161" i="176"/>
  <c r="U154" i="176"/>
  <c r="U135" i="176"/>
  <c r="A290" i="176"/>
  <c r="D290" i="176" s="1"/>
  <c r="A289" i="176"/>
  <c r="D289" i="176" s="1"/>
  <c r="A275" i="176"/>
  <c r="D275" i="176" s="1"/>
  <c r="A276" i="176"/>
  <c r="D276" i="176" s="1"/>
  <c r="A291" i="176"/>
  <c r="D291" i="176" s="1"/>
  <c r="A277" i="176"/>
  <c r="D277" i="176" s="1"/>
  <c r="A278" i="176"/>
  <c r="D278" i="176" s="1"/>
  <c r="A292" i="176"/>
  <c r="D292" i="176" s="1"/>
  <c r="A293" i="176"/>
  <c r="D293" i="176" s="1"/>
  <c r="A279" i="176"/>
  <c r="D279" i="176" s="1"/>
  <c r="A294" i="176"/>
  <c r="D294" i="176" s="1"/>
  <c r="A295" i="176"/>
  <c r="D295" i="176" s="1"/>
  <c r="A296" i="176"/>
  <c r="D296" i="176" s="1"/>
  <c r="B60" i="102"/>
  <c r="B108" i="101"/>
  <c r="B76" i="105"/>
  <c r="E83" i="105" s="1"/>
  <c r="D24" i="112"/>
  <c r="B59" i="112"/>
  <c r="E70" i="112" s="1"/>
  <c r="B72" i="106"/>
  <c r="B150" i="99"/>
  <c r="A8" i="41"/>
  <c r="A9" i="41"/>
  <c r="A10" i="41"/>
  <c r="A11" i="41"/>
  <c r="A12" i="41"/>
  <c r="A13" i="41"/>
  <c r="A22" i="41"/>
  <c r="A23" i="41"/>
  <c r="A24" i="41"/>
  <c r="A25" i="41"/>
  <c r="A26" i="41"/>
  <c r="A27" i="41"/>
  <c r="A36" i="41"/>
  <c r="A37" i="41"/>
  <c r="A38" i="41"/>
  <c r="A39" i="41"/>
  <c r="A40" i="41"/>
  <c r="A41" i="41"/>
  <c r="A50" i="41"/>
  <c r="A51" i="41"/>
  <c r="A52" i="41"/>
  <c r="A53" i="41"/>
  <c r="A54" i="41"/>
  <c r="A55" i="41"/>
  <c r="A64" i="41"/>
  <c r="A65" i="41"/>
  <c r="A66" i="41"/>
  <c r="A67" i="41"/>
  <c r="A68" i="41"/>
  <c r="A69" i="41"/>
  <c r="A78" i="41"/>
  <c r="A79" i="41"/>
  <c r="A80" i="41"/>
  <c r="A81" i="41"/>
  <c r="A82" i="41"/>
  <c r="A83" i="41"/>
  <c r="A92" i="41"/>
  <c r="A101" i="41"/>
  <c r="A102" i="41"/>
  <c r="A103" i="41"/>
  <c r="A104" i="41"/>
  <c r="A105" i="41"/>
  <c r="A106" i="41"/>
  <c r="A115" i="41"/>
  <c r="A116" i="41"/>
  <c r="A117" i="41"/>
  <c r="A118" i="41"/>
  <c r="A119" i="41"/>
  <c r="A120" i="41"/>
  <c r="A129" i="41"/>
  <c r="A130" i="41"/>
  <c r="A131" i="41"/>
  <c r="A132" i="41"/>
  <c r="A133" i="41"/>
  <c r="A134" i="41"/>
  <c r="A143" i="41"/>
  <c r="A144" i="41"/>
  <c r="A145" i="41"/>
  <c r="A146" i="41"/>
  <c r="A147" i="41"/>
  <c r="A148" i="41"/>
  <c r="A157" i="41"/>
  <c r="A158" i="41"/>
  <c r="A159" i="41"/>
  <c r="A160" i="41"/>
  <c r="A161" i="41"/>
  <c r="A162" i="41"/>
  <c r="A171" i="41"/>
  <c r="A172" i="41"/>
  <c r="A173" i="41"/>
  <c r="A174" i="41"/>
  <c r="A175" i="41"/>
  <c r="A176" i="41"/>
  <c r="A185" i="41"/>
  <c r="A186" i="41"/>
  <c r="A187" i="41"/>
  <c r="A188" i="41"/>
  <c r="A189" i="41"/>
  <c r="A190" i="41"/>
  <c r="A199" i="41"/>
  <c r="A200" i="41"/>
  <c r="A201" i="41"/>
  <c r="A202" i="41"/>
  <c r="A203" i="41"/>
  <c r="A204" i="41"/>
  <c r="A213" i="41"/>
  <c r="A214" i="41"/>
  <c r="A215" i="41"/>
  <c r="A216" i="41"/>
  <c r="A217" i="41"/>
  <c r="A218" i="41"/>
  <c r="A227" i="41"/>
  <c r="A228" i="41"/>
  <c r="A229" i="41"/>
  <c r="A230" i="41"/>
  <c r="A231" i="41"/>
  <c r="A232" i="41"/>
  <c r="A241" i="41"/>
  <c r="A242" i="41"/>
  <c r="A243" i="41"/>
  <c r="A244" i="41"/>
  <c r="A245" i="41"/>
  <c r="A246" i="41"/>
  <c r="A255" i="41"/>
  <c r="A256" i="41"/>
  <c r="A257" i="41"/>
  <c r="A258" i="41"/>
  <c r="A259" i="41"/>
  <c r="A260" i="41"/>
  <c r="A269" i="41"/>
  <c r="A270" i="41"/>
  <c r="A271" i="41"/>
  <c r="A272" i="41"/>
  <c r="A273" i="41"/>
  <c r="A274" i="41"/>
  <c r="A283" i="41"/>
  <c r="A284" i="41"/>
  <c r="A285" i="41"/>
  <c r="A286" i="41"/>
  <c r="A287" i="41"/>
  <c r="A288" i="41"/>
  <c r="C46" i="102"/>
  <c r="F93" i="101"/>
  <c r="F87" i="101"/>
  <c r="F88" i="101"/>
  <c r="E93" i="101"/>
  <c r="E88" i="101"/>
  <c r="E87" i="101"/>
  <c r="E86" i="101"/>
  <c r="D93" i="101"/>
  <c r="C91" i="101"/>
  <c r="D90" i="101"/>
  <c r="E90" i="101" s="1"/>
  <c r="D88" i="101"/>
  <c r="D87" i="101"/>
  <c r="E72" i="101"/>
  <c r="F27" i="112"/>
  <c r="C93" i="101"/>
  <c r="C89" i="101"/>
  <c r="W289" i="41" a="1"/>
  <c r="W289" i="41" s="1"/>
  <c r="AD289" i="176" s="1"/>
  <c r="V289" i="41" a="1"/>
  <c r="V289" i="41" s="1"/>
  <c r="AC289" i="176" s="1"/>
  <c r="U289" i="41" a="1"/>
  <c r="U289" i="41" s="1"/>
  <c r="AB289" i="176" s="1"/>
  <c r="S289" i="41" a="1"/>
  <c r="S289" i="41" s="1"/>
  <c r="X289" i="176" s="1"/>
  <c r="I289" i="41" a="1"/>
  <c r="I289" i="41" s="1"/>
  <c r="L289" i="176" s="1"/>
  <c r="R289" i="41" a="1"/>
  <c r="R289" i="41" s="1"/>
  <c r="W289" i="176" s="1"/>
  <c r="G289" i="41" a="1"/>
  <c r="G289" i="41" s="1"/>
  <c r="H289" i="176" s="1"/>
  <c r="Q289" i="41" a="1"/>
  <c r="Q289" i="41" s="1"/>
  <c r="V289" i="176" s="1"/>
  <c r="F289" i="41" a="1"/>
  <c r="F289" i="41" s="1"/>
  <c r="G289" i="176" s="1"/>
  <c r="P289" i="41" a="1"/>
  <c r="P289" i="41" s="1"/>
  <c r="U289" i="176" s="1"/>
  <c r="W275" i="41" a="1"/>
  <c r="W275" i="41" s="1"/>
  <c r="AD275" i="176" s="1"/>
  <c r="Q275" i="41" a="1"/>
  <c r="Q275" i="41" s="1"/>
  <c r="V275" i="176" s="1"/>
  <c r="V275" i="41" a="1"/>
  <c r="V275" i="41" s="1"/>
  <c r="AC275" i="176" s="1"/>
  <c r="E80" i="113"/>
  <c r="A289" i="41"/>
  <c r="F72" i="101"/>
  <c r="D21" i="105"/>
  <c r="C21" i="99"/>
  <c r="Q77" i="176"/>
  <c r="G192" i="177" s="1"/>
  <c r="E107" i="135"/>
  <c r="E103" i="135"/>
  <c r="E106" i="135"/>
  <c r="Q274" i="176"/>
  <c r="Q145" i="176"/>
  <c r="Q89" i="176"/>
  <c r="E193" i="177" s="1"/>
  <c r="Q132" i="176"/>
  <c r="Q192" i="176"/>
  <c r="Q107" i="176"/>
  <c r="Q13" i="176"/>
  <c r="Q248" i="176"/>
  <c r="Q41" i="176"/>
  <c r="F26" i="110"/>
  <c r="Q285" i="176"/>
  <c r="K289" i="41" a="1"/>
  <c r="K289" i="41" s="1"/>
  <c r="N289" i="176" s="1"/>
  <c r="L289" i="41" a="1"/>
  <c r="L289" i="41" s="1"/>
  <c r="O289" i="176" s="1"/>
  <c r="Q263" i="176"/>
  <c r="Q212" i="176"/>
  <c r="G195" i="177" s="1"/>
  <c r="Q229" i="176"/>
  <c r="Q143" i="176"/>
  <c r="Q151" i="176"/>
  <c r="Q207" i="176"/>
  <c r="Q67" i="176"/>
  <c r="Q115" i="176"/>
  <c r="Q14" i="176"/>
  <c r="F26" i="112"/>
  <c r="A280" i="176"/>
  <c r="D280" i="176" s="1"/>
  <c r="A281" i="176"/>
  <c r="D281" i="176" s="1"/>
  <c r="A282" i="176"/>
  <c r="D282" i="176" s="1"/>
  <c r="E77" i="177"/>
  <c r="F77" i="177"/>
  <c r="F80" i="177"/>
  <c r="F21" i="137"/>
  <c r="G23" i="137"/>
  <c r="H22" i="137"/>
  <c r="G29" i="137"/>
  <c r="K39" i="201"/>
  <c r="H24" i="137"/>
  <c r="K48" i="201"/>
  <c r="K42" i="201"/>
  <c r="C30" i="137"/>
  <c r="B16" i="137"/>
  <c r="H21" i="137"/>
  <c r="K43" i="201"/>
  <c r="H30" i="137"/>
  <c r="G30" i="137"/>
  <c r="C20" i="137"/>
  <c r="K41" i="201"/>
  <c r="G24" i="137"/>
  <c r="B20" i="137"/>
  <c r="B24" i="137"/>
  <c r="H15" i="137"/>
  <c r="K49" i="201"/>
  <c r="K46" i="201"/>
  <c r="G16" i="137"/>
  <c r="K35" i="201"/>
  <c r="G27" i="137"/>
  <c r="E21" i="113" l="1"/>
  <c r="I99" i="177"/>
  <c r="J98" i="177" s="1"/>
  <c r="N275" i="41" a="1"/>
  <c r="N275" i="41" s="1"/>
  <c r="S275" i="176" s="1"/>
  <c r="P275" i="41" a="1"/>
  <c r="P275" i="41" s="1"/>
  <c r="U275" i="176" s="1"/>
  <c r="E275" i="41" a="1"/>
  <c r="E275" i="41" s="1"/>
  <c r="F275" i="176" s="1"/>
  <c r="U275" i="41" a="1"/>
  <c r="U275" i="41" s="1"/>
  <c r="AB275" i="176" s="1"/>
  <c r="I275" i="41" a="1"/>
  <c r="I275" i="41" s="1"/>
  <c r="L275" i="176" s="1"/>
  <c r="F275" i="41" a="1"/>
  <c r="F275" i="41" s="1"/>
  <c r="G275" i="176" s="1"/>
  <c r="L275" i="41" a="1"/>
  <c r="L275" i="41" s="1"/>
  <c r="O275" i="176" s="1"/>
  <c r="A275" i="41"/>
  <c r="R275" i="41" a="1"/>
  <c r="R275" i="41" s="1"/>
  <c r="W275" i="176" s="1"/>
  <c r="G275" i="41" a="1"/>
  <c r="G275" i="41" s="1"/>
  <c r="H275" i="176" s="1"/>
  <c r="S275" i="41" a="1"/>
  <c r="S275" i="41" s="1"/>
  <c r="X275" i="176" s="1"/>
  <c r="Q288" i="176"/>
  <c r="E21" i="101"/>
  <c r="C21" i="101"/>
  <c r="E83" i="113"/>
  <c r="E75" i="113" s="1"/>
  <c r="E143" i="110"/>
  <c r="E138" i="110"/>
  <c r="E134" i="110" s="1"/>
  <c r="K275" i="41" a="1"/>
  <c r="K275" i="41" s="1"/>
  <c r="N275" i="176" s="1"/>
  <c r="Q275" i="176" s="1"/>
  <c r="E139" i="110"/>
  <c r="Q271" i="176"/>
  <c r="Q269" i="176"/>
  <c r="Q241" i="176"/>
  <c r="Q230" i="176"/>
  <c r="Q215" i="176"/>
  <c r="Q197" i="176"/>
  <c r="F194" i="177" s="1"/>
  <c r="Q195" i="176"/>
  <c r="D194" i="177" s="1"/>
  <c r="Q193" i="176"/>
  <c r="Q178" i="176"/>
  <c r="Q161" i="176"/>
  <c r="Q159" i="176"/>
  <c r="Q157" i="176"/>
  <c r="Q148" i="176"/>
  <c r="Q135" i="176"/>
  <c r="Q129" i="176"/>
  <c r="Q103" i="176"/>
  <c r="Q92" i="176"/>
  <c r="J150" i="176"/>
  <c r="B276" i="175"/>
  <c r="A276" i="175" s="1"/>
  <c r="Y152" i="176"/>
  <c r="C36" i="177" s="1"/>
  <c r="P228" i="176"/>
  <c r="C31" i="99"/>
  <c r="C32" i="99"/>
  <c r="C24" i="112"/>
  <c r="C32" i="102"/>
  <c r="C52" i="95"/>
  <c r="C32" i="101"/>
  <c r="C31" i="102"/>
  <c r="C32" i="113"/>
  <c r="C32" i="106"/>
  <c r="E70" i="102"/>
  <c r="E67" i="102"/>
  <c r="Z238" i="176"/>
  <c r="E65" i="177" s="1"/>
  <c r="E68" i="203"/>
  <c r="E60" i="203" s="1"/>
  <c r="Z63" i="176"/>
  <c r="G55" i="177" s="1"/>
  <c r="Y107" i="176"/>
  <c r="J162" i="176"/>
  <c r="C49" i="201"/>
  <c r="C36" i="201"/>
  <c r="C41" i="201"/>
  <c r="C34" i="201"/>
  <c r="E34" i="201" s="1"/>
  <c r="F48" i="201"/>
  <c r="F38" i="201"/>
  <c r="H38" i="201" s="1"/>
  <c r="C47" i="201"/>
  <c r="E47" i="201" s="1"/>
  <c r="C42" i="201"/>
  <c r="E42" i="201" s="1"/>
  <c r="C45" i="201"/>
  <c r="Q287" i="176"/>
  <c r="Q283" i="176"/>
  <c r="Q259" i="176"/>
  <c r="Q255" i="176"/>
  <c r="Q246" i="176"/>
  <c r="Q242" i="176"/>
  <c r="Q233" i="176"/>
  <c r="Q220" i="176"/>
  <c r="Q200" i="176"/>
  <c r="Q188" i="176"/>
  <c r="Q179" i="176"/>
  <c r="Q175" i="176"/>
  <c r="Q171" i="176"/>
  <c r="Q136" i="176"/>
  <c r="F40" i="201"/>
  <c r="F42" i="201"/>
  <c r="F45" i="201"/>
  <c r="C46" i="201"/>
  <c r="C35" i="201"/>
  <c r="F41" i="201"/>
  <c r="F46" i="201"/>
  <c r="C38" i="201"/>
  <c r="F35" i="201"/>
  <c r="F50" i="201"/>
  <c r="C48" i="201"/>
  <c r="F47" i="201"/>
  <c r="F43" i="201"/>
  <c r="C40" i="201"/>
  <c r="F39" i="201"/>
  <c r="C50" i="201"/>
  <c r="F49" i="201"/>
  <c r="F36" i="201"/>
  <c r="F34" i="201"/>
  <c r="C39" i="201"/>
  <c r="C43" i="201"/>
  <c r="Z116" i="176"/>
  <c r="E83" i="106"/>
  <c r="E82" i="106"/>
  <c r="E71" i="102"/>
  <c r="E87" i="95"/>
  <c r="E88" i="95"/>
  <c r="E83" i="95"/>
  <c r="E84" i="95"/>
  <c r="E78" i="106"/>
  <c r="E79" i="106"/>
  <c r="Z175" i="176"/>
  <c r="P229" i="176"/>
  <c r="D26" i="99"/>
  <c r="A289" i="175"/>
  <c r="B290" i="175"/>
  <c r="A290" i="175" s="1"/>
  <c r="Z67" i="176"/>
  <c r="D289" i="41" a="1"/>
  <c r="D289" i="41" s="1"/>
  <c r="E289" i="176" s="1"/>
  <c r="J289" i="41" a="1"/>
  <c r="J289" i="41" s="1"/>
  <c r="M289" i="176" s="1"/>
  <c r="P289" i="176" s="1"/>
  <c r="N289" i="41" a="1"/>
  <c r="N289" i="41" s="1"/>
  <c r="S289" i="176" s="1"/>
  <c r="Y93" i="176"/>
  <c r="C21" i="95"/>
  <c r="Z13" i="176"/>
  <c r="P273" i="176"/>
  <c r="Z213" i="176"/>
  <c r="P30" i="176"/>
  <c r="P91" i="176"/>
  <c r="G168" i="177" s="1"/>
  <c r="P133" i="176"/>
  <c r="Z288" i="176"/>
  <c r="P117" i="176"/>
  <c r="P131" i="176"/>
  <c r="P241" i="176"/>
  <c r="P284" i="176"/>
  <c r="P12" i="176"/>
  <c r="Y12" i="176"/>
  <c r="Y22" i="176"/>
  <c r="Y26" i="176"/>
  <c r="Y38" i="176"/>
  <c r="Z49" i="176"/>
  <c r="G54" i="177" s="1"/>
  <c r="Z54" i="176"/>
  <c r="Z62" i="176"/>
  <c r="F55" i="177" s="1"/>
  <c r="P89" i="176"/>
  <c r="E168" i="177" s="1"/>
  <c r="P108" i="176"/>
  <c r="Q286" i="176"/>
  <c r="Q284" i="176"/>
  <c r="Q273" i="176"/>
  <c r="Q262" i="176"/>
  <c r="Q260" i="176"/>
  <c r="Q258" i="176"/>
  <c r="Q256" i="176"/>
  <c r="Q249" i="176"/>
  <c r="Q247" i="176"/>
  <c r="Q245" i="176"/>
  <c r="Q243" i="176"/>
  <c r="Q234" i="176"/>
  <c r="Q232" i="176"/>
  <c r="Q228" i="176"/>
  <c r="Q221" i="176"/>
  <c r="Q219" i="176"/>
  <c r="Q217" i="176"/>
  <c r="Q213" i="176"/>
  <c r="Q211" i="176"/>
  <c r="F195" i="177" s="1"/>
  <c r="Q209" i="176"/>
  <c r="D195" i="177" s="1"/>
  <c r="Q205" i="176"/>
  <c r="Q203" i="176"/>
  <c r="Q201" i="176"/>
  <c r="Q199" i="176"/>
  <c r="Q191" i="176"/>
  <c r="Q189" i="176"/>
  <c r="Q187" i="176"/>
  <c r="Q185" i="176"/>
  <c r="Q176" i="176"/>
  <c r="Q174" i="176"/>
  <c r="Q172" i="176"/>
  <c r="Q165" i="176"/>
  <c r="Q150" i="176"/>
  <c r="Q146" i="176"/>
  <c r="Q144" i="176"/>
  <c r="Q137" i="176"/>
  <c r="Q133" i="176"/>
  <c r="Q131" i="176"/>
  <c r="Q122" i="176"/>
  <c r="Q120" i="176"/>
  <c r="Q116" i="176"/>
  <c r="Q109" i="176"/>
  <c r="Q105" i="176"/>
  <c r="Q101" i="176"/>
  <c r="Q94" i="176"/>
  <c r="Q90" i="176"/>
  <c r="F193" i="177" s="1"/>
  <c r="Q88" i="176"/>
  <c r="D193" i="177" s="1"/>
  <c r="Q86" i="176"/>
  <c r="Q84" i="176"/>
  <c r="Q80" i="176"/>
  <c r="Q76" i="176"/>
  <c r="F192" i="177" s="1"/>
  <c r="Q74" i="176"/>
  <c r="D192" i="177" s="1"/>
  <c r="Q70" i="176"/>
  <c r="Q68" i="176"/>
  <c r="Q66" i="176"/>
  <c r="Q64" i="176"/>
  <c r="Q57" i="176"/>
  <c r="Q53" i="176"/>
  <c r="Q51" i="176"/>
  <c r="Q44" i="176"/>
  <c r="Q42" i="176"/>
  <c r="Q38" i="176"/>
  <c r="Q29" i="176"/>
  <c r="Q25" i="176"/>
  <c r="Q16" i="176"/>
  <c r="Q12" i="176"/>
  <c r="Q8" i="176"/>
  <c r="D275" i="41" a="1"/>
  <c r="D275" i="41" s="1"/>
  <c r="E275" i="176" s="1"/>
  <c r="B290" i="41"/>
  <c r="E290" i="41" s="1" a="1"/>
  <c r="E290" i="41" s="1"/>
  <c r="F290" i="176" s="1"/>
  <c r="I151" i="176"/>
  <c r="Y33" i="176"/>
  <c r="E28" i="177" s="1"/>
  <c r="Y132" i="176"/>
  <c r="Z230" i="176"/>
  <c r="P92" i="176"/>
  <c r="P82" i="176"/>
  <c r="J62" i="176"/>
  <c r="F129" i="177" s="1"/>
  <c r="Z181" i="176"/>
  <c r="D63" i="177" s="1"/>
  <c r="J177" i="176"/>
  <c r="J243" i="176"/>
  <c r="P188" i="176"/>
  <c r="P233" i="176"/>
  <c r="P263" i="176"/>
  <c r="Y171" i="176"/>
  <c r="Y200" i="176"/>
  <c r="Z108" i="176"/>
  <c r="Z193" i="176"/>
  <c r="Z201" i="176"/>
  <c r="Y186" i="176"/>
  <c r="P79" i="176"/>
  <c r="Z90" i="176"/>
  <c r="F69" i="177" s="1"/>
  <c r="Y103" i="176"/>
  <c r="Y102" i="176"/>
  <c r="Z172" i="176"/>
  <c r="Z232" i="176"/>
  <c r="J200" i="176"/>
  <c r="Y18" i="176"/>
  <c r="D26" i="177" s="1"/>
  <c r="P37" i="176"/>
  <c r="P39" i="176"/>
  <c r="J43" i="176"/>
  <c r="Z45" i="176"/>
  <c r="C54" i="177" s="1"/>
  <c r="N7" i="175"/>
  <c r="N7" i="41"/>
  <c r="S7" i="176"/>
  <c r="Y231" i="176"/>
  <c r="Y256" i="176"/>
  <c r="D89" i="101"/>
  <c r="Z184" i="176"/>
  <c r="G63" i="177" s="1"/>
  <c r="Z34" i="176"/>
  <c r="F53" i="177" s="1"/>
  <c r="Z35" i="176"/>
  <c r="G53" i="177" s="1"/>
  <c r="Z37" i="176"/>
  <c r="P86" i="176"/>
  <c r="Z112" i="176"/>
  <c r="E58" i="177" s="1"/>
  <c r="Y55" i="176"/>
  <c r="J159" i="176"/>
  <c r="Z265" i="176"/>
  <c r="D67" i="177" s="1"/>
  <c r="Y125" i="176"/>
  <c r="D34" i="177" s="1"/>
  <c r="Y180" i="176"/>
  <c r="C38" i="177" s="1"/>
  <c r="Z94" i="176"/>
  <c r="P44" i="176"/>
  <c r="Z111" i="176"/>
  <c r="D58" i="177" s="1"/>
  <c r="Z143" i="176"/>
  <c r="Y51" i="176"/>
  <c r="Z85" i="176"/>
  <c r="Y70" i="176"/>
  <c r="P71" i="176"/>
  <c r="E289" i="41" a="1"/>
  <c r="E289" i="41" s="1"/>
  <c r="F289" i="176" s="1"/>
  <c r="Y42" i="176"/>
  <c r="J116" i="176"/>
  <c r="J85" i="176"/>
  <c r="Z68" i="176"/>
  <c r="P209" i="176"/>
  <c r="D170" i="177" s="1"/>
  <c r="Z12" i="176"/>
  <c r="Y167" i="176"/>
  <c r="D37" i="177" s="1"/>
  <c r="J58" i="176"/>
  <c r="P221" i="176"/>
  <c r="Y113" i="176"/>
  <c r="F33" i="177" s="1"/>
  <c r="P212" i="176"/>
  <c r="G170" i="177" s="1"/>
  <c r="Z207" i="176"/>
  <c r="Y112" i="176"/>
  <c r="E33" i="177" s="1"/>
  <c r="Y214" i="176"/>
  <c r="J78" i="176"/>
  <c r="J83" i="176"/>
  <c r="J67" i="176"/>
  <c r="J173" i="176"/>
  <c r="J234" i="176"/>
  <c r="J262" i="176"/>
  <c r="Y142" i="176"/>
  <c r="G35" i="177" s="1"/>
  <c r="P93" i="176"/>
  <c r="Y287" i="176"/>
  <c r="Y244" i="176"/>
  <c r="Y209" i="176"/>
  <c r="D46" i="177" s="1"/>
  <c r="Z128" i="176"/>
  <c r="G59" i="177" s="1"/>
  <c r="Y266" i="176"/>
  <c r="E42" i="177" s="1"/>
  <c r="Y274" i="176"/>
  <c r="P84" i="176"/>
  <c r="Z136" i="176"/>
  <c r="Z254" i="176"/>
  <c r="G66" i="177" s="1"/>
  <c r="Z189" i="176"/>
  <c r="Z245" i="176"/>
  <c r="Z180" i="176"/>
  <c r="C63" i="177" s="1"/>
  <c r="P88" i="176"/>
  <c r="D168" i="177" s="1"/>
  <c r="P158" i="176"/>
  <c r="P247" i="176"/>
  <c r="J27" i="176"/>
  <c r="J39" i="176"/>
  <c r="J50" i="176"/>
  <c r="Q49" i="176"/>
  <c r="G178" i="177" s="1"/>
  <c r="J149" i="176"/>
  <c r="J164" i="176"/>
  <c r="P197" i="176"/>
  <c r="F169" i="177" s="1"/>
  <c r="P42" i="176"/>
  <c r="Y17" i="176"/>
  <c r="C26" i="177" s="1"/>
  <c r="J92" i="176"/>
  <c r="J202" i="176"/>
  <c r="Y236" i="176"/>
  <c r="C40" i="177" s="1"/>
  <c r="Z57" i="176"/>
  <c r="Z212" i="176"/>
  <c r="G71" i="177" s="1"/>
  <c r="Y43" i="176"/>
  <c r="Z231" i="176"/>
  <c r="Z42" i="176"/>
  <c r="Z269" i="176"/>
  <c r="J261" i="176"/>
  <c r="P68" i="176"/>
  <c r="Y193" i="176"/>
  <c r="Y202" i="176"/>
  <c r="Y260" i="176"/>
  <c r="Z196" i="176"/>
  <c r="E70" i="177" s="1"/>
  <c r="Z192" i="176"/>
  <c r="Z241" i="176"/>
  <c r="M21" i="177"/>
  <c r="M20" i="177"/>
  <c r="P187" i="176"/>
  <c r="J9" i="176"/>
  <c r="J12" i="176"/>
  <c r="Z52" i="176"/>
  <c r="Z53" i="176"/>
  <c r="J81" i="176"/>
  <c r="Y154" i="176"/>
  <c r="E36" i="177" s="1"/>
  <c r="Y237" i="176"/>
  <c r="D40" i="177" s="1"/>
  <c r="Y285" i="176"/>
  <c r="J218" i="176"/>
  <c r="J271" i="176"/>
  <c r="J287" i="176"/>
  <c r="J196" i="176"/>
  <c r="E144" i="177" s="1"/>
  <c r="P191" i="176"/>
  <c r="P231" i="176"/>
  <c r="P269" i="176"/>
  <c r="P200" i="176"/>
  <c r="Y160" i="176"/>
  <c r="Y223" i="176"/>
  <c r="D39" i="177" s="1"/>
  <c r="Z127" i="176"/>
  <c r="F59" i="177" s="1"/>
  <c r="J235" i="176"/>
  <c r="J121" i="176"/>
  <c r="J55" i="176"/>
  <c r="P41" i="176"/>
  <c r="P215" i="176"/>
  <c r="P218" i="176"/>
  <c r="P75" i="176"/>
  <c r="E167" i="177" s="1"/>
  <c r="J130" i="176"/>
  <c r="Z78" i="176"/>
  <c r="Y215" i="176"/>
  <c r="Y105" i="176"/>
  <c r="J41" i="176"/>
  <c r="P107" i="176"/>
  <c r="P217" i="176"/>
  <c r="P220" i="176"/>
  <c r="Y211" i="176"/>
  <c r="F46" i="177" s="1"/>
  <c r="Z88" i="176"/>
  <c r="D69" i="177" s="1"/>
  <c r="Z66" i="176"/>
  <c r="J249" i="176"/>
  <c r="P261" i="176"/>
  <c r="P206" i="176"/>
  <c r="P260" i="176"/>
  <c r="P195" i="176"/>
  <c r="D169" i="177" s="1"/>
  <c r="P230" i="176"/>
  <c r="Z76" i="176"/>
  <c r="F68" i="177" s="1"/>
  <c r="Z223" i="176"/>
  <c r="D64" i="177" s="1"/>
  <c r="Z215" i="176"/>
  <c r="Z118" i="176"/>
  <c r="Z110" i="176"/>
  <c r="C58" i="177" s="1"/>
  <c r="J66" i="176"/>
  <c r="J105" i="176"/>
  <c r="J263" i="176"/>
  <c r="J274" i="176"/>
  <c r="J123" i="176"/>
  <c r="P246" i="176"/>
  <c r="P198" i="176"/>
  <c r="G169" i="177" s="1"/>
  <c r="P258" i="176"/>
  <c r="P234" i="176"/>
  <c r="Z31" i="176"/>
  <c r="C53" i="177" s="1"/>
  <c r="Y197" i="176"/>
  <c r="F45" i="177" s="1"/>
  <c r="Z237" i="176"/>
  <c r="D65" i="177" s="1"/>
  <c r="J255" i="176"/>
  <c r="J227" i="176"/>
  <c r="J215" i="176"/>
  <c r="J188" i="176"/>
  <c r="J108" i="176"/>
  <c r="J38" i="176"/>
  <c r="J72" i="176"/>
  <c r="P81" i="176"/>
  <c r="P177" i="176"/>
  <c r="P185" i="176"/>
  <c r="P189" i="176"/>
  <c r="Z39" i="176"/>
  <c r="I169" i="176"/>
  <c r="F112" i="177" s="1"/>
  <c r="D28" i="105"/>
  <c r="E161" i="99"/>
  <c r="E160" i="99"/>
  <c r="J207" i="176"/>
  <c r="Z51" i="176"/>
  <c r="Z197" i="176"/>
  <c r="F70" i="177" s="1"/>
  <c r="Z225" i="176"/>
  <c r="F64" i="177" s="1"/>
  <c r="Y221" i="176"/>
  <c r="Z246" i="176"/>
  <c r="Z72" i="176"/>
  <c r="J117" i="176"/>
  <c r="J199" i="176"/>
  <c r="Y164" i="176"/>
  <c r="J233" i="176"/>
  <c r="J270" i="176"/>
  <c r="Y145" i="176"/>
  <c r="Z242" i="176"/>
  <c r="Y95" i="176"/>
  <c r="J86" i="176"/>
  <c r="Z262" i="176"/>
  <c r="J120" i="176"/>
  <c r="J288" i="176"/>
  <c r="J73" i="176"/>
  <c r="C142" i="177" s="1"/>
  <c r="P90" i="176"/>
  <c r="F168" i="177" s="1"/>
  <c r="Y238" i="176"/>
  <c r="E40" i="177" s="1"/>
  <c r="Y272" i="176"/>
  <c r="Y66" i="176"/>
  <c r="Z284" i="176"/>
  <c r="Z268" i="176"/>
  <c r="G67" i="177" s="1"/>
  <c r="Z79" i="176"/>
  <c r="Z17" i="176"/>
  <c r="C51" i="177" s="1"/>
  <c r="Z82" i="176"/>
  <c r="J186" i="176"/>
  <c r="J70" i="176"/>
  <c r="P70" i="176"/>
  <c r="Y240" i="176"/>
  <c r="G40" i="177" s="1"/>
  <c r="Y201" i="176"/>
  <c r="Z132" i="176"/>
  <c r="Z270" i="176"/>
  <c r="Z100" i="176"/>
  <c r="G57" i="177" s="1"/>
  <c r="Z156" i="176"/>
  <c r="G61" i="177" s="1"/>
  <c r="P242" i="176"/>
  <c r="P285" i="176"/>
  <c r="Y44" i="176"/>
  <c r="Y39" i="176"/>
  <c r="Y86" i="176"/>
  <c r="J91" i="176"/>
  <c r="G143" i="177" s="1"/>
  <c r="Y181" i="176"/>
  <c r="D38" i="177" s="1"/>
  <c r="P29" i="176"/>
  <c r="P286" i="176"/>
  <c r="Y79" i="176"/>
  <c r="P36" i="176"/>
  <c r="Y190" i="176"/>
  <c r="Z142" i="176"/>
  <c r="G60" i="177" s="1"/>
  <c r="Z190" i="176"/>
  <c r="Y229" i="176"/>
  <c r="Z229" i="176"/>
  <c r="Y199" i="176"/>
  <c r="Z219" i="176"/>
  <c r="Y9" i="176"/>
  <c r="P67" i="176"/>
  <c r="J223" i="176"/>
  <c r="D138" i="177" s="1"/>
  <c r="J61" i="176"/>
  <c r="E129" i="177" s="1"/>
  <c r="E65" i="203"/>
  <c r="I145" i="176"/>
  <c r="I125" i="176"/>
  <c r="D109" i="177" s="1"/>
  <c r="P138" i="176"/>
  <c r="C159" i="177" s="1"/>
  <c r="Q61" i="176"/>
  <c r="E179" i="177" s="1"/>
  <c r="I285" i="176"/>
  <c r="I113" i="176"/>
  <c r="F108" i="177" s="1"/>
  <c r="I61" i="176"/>
  <c r="E105" i="177" s="1"/>
  <c r="P109" i="176"/>
  <c r="P175" i="176"/>
  <c r="P235" i="176"/>
  <c r="P244" i="176"/>
  <c r="P283" i="176"/>
  <c r="Z25" i="176"/>
  <c r="J52" i="176"/>
  <c r="E69" i="203"/>
  <c r="B276" i="41"/>
  <c r="P139" i="176"/>
  <c r="D159" i="177" s="1"/>
  <c r="Q97" i="176"/>
  <c r="D181" i="177" s="1"/>
  <c r="Z272" i="176"/>
  <c r="Z264" i="176"/>
  <c r="C67" i="177" s="1"/>
  <c r="Z59" i="176"/>
  <c r="C55" i="177" s="1"/>
  <c r="Y30" i="176"/>
  <c r="Y123" i="176"/>
  <c r="Y288" i="176"/>
  <c r="J136" i="176"/>
  <c r="J176" i="176"/>
  <c r="J246" i="176"/>
  <c r="P216" i="176"/>
  <c r="P172" i="176"/>
  <c r="P270" i="176"/>
  <c r="Y36" i="176"/>
  <c r="Z58" i="176"/>
  <c r="J95" i="176"/>
  <c r="P9" i="176"/>
  <c r="Q100" i="176"/>
  <c r="G181" i="177" s="1"/>
  <c r="J100" i="176"/>
  <c r="G131" i="177" s="1"/>
  <c r="I234" i="176"/>
  <c r="I166" i="176"/>
  <c r="C112" i="177" s="1"/>
  <c r="I152" i="176"/>
  <c r="C111" i="177" s="1"/>
  <c r="I148" i="176"/>
  <c r="I134" i="176"/>
  <c r="I126" i="176"/>
  <c r="E109" i="177" s="1"/>
  <c r="I83" i="176"/>
  <c r="Y143" i="176"/>
  <c r="Y67" i="176"/>
  <c r="Y49" i="176"/>
  <c r="G29" i="177" s="1"/>
  <c r="Y121" i="176"/>
  <c r="J146" i="176"/>
  <c r="J230" i="176"/>
  <c r="P146" i="176"/>
  <c r="P259" i="176"/>
  <c r="P57" i="176"/>
  <c r="Y222" i="176"/>
  <c r="C39" i="177" s="1"/>
  <c r="Y232" i="176"/>
  <c r="P219" i="176"/>
  <c r="Y168" i="176"/>
  <c r="E37" i="177" s="1"/>
  <c r="Y155" i="176"/>
  <c r="F36" i="177" s="1"/>
  <c r="P73" i="176"/>
  <c r="C167" i="177" s="1"/>
  <c r="Y163" i="176"/>
  <c r="Y184" i="176"/>
  <c r="G38" i="177" s="1"/>
  <c r="Z130" i="176"/>
  <c r="Y87" i="176"/>
  <c r="C44" i="177" s="1"/>
  <c r="Z191" i="176"/>
  <c r="Y176" i="176"/>
  <c r="Z115" i="176"/>
  <c r="Z167" i="176"/>
  <c r="D62" i="177" s="1"/>
  <c r="Z199" i="176"/>
  <c r="Z233" i="176"/>
  <c r="Y261" i="176"/>
  <c r="Z70" i="176"/>
  <c r="Y85" i="176"/>
  <c r="Z174" i="176"/>
  <c r="Y191" i="176"/>
  <c r="Z236" i="176"/>
  <c r="C65" i="177" s="1"/>
  <c r="P26" i="176"/>
  <c r="J133" i="176"/>
  <c r="J104" i="176"/>
  <c r="Y156" i="176"/>
  <c r="G36" i="177" s="1"/>
  <c r="J22" i="176"/>
  <c r="Z84" i="176"/>
  <c r="P159" i="176"/>
  <c r="P267" i="176"/>
  <c r="F166" i="177" s="1"/>
  <c r="J181" i="176"/>
  <c r="D137" i="177" s="1"/>
  <c r="P168" i="176"/>
  <c r="E161" i="177" s="1"/>
  <c r="Z150" i="176"/>
  <c r="Z203" i="176"/>
  <c r="Z224" i="176"/>
  <c r="E64" i="177" s="1"/>
  <c r="Z151" i="176"/>
  <c r="Z23" i="176"/>
  <c r="Z46" i="176"/>
  <c r="D54" i="177" s="1"/>
  <c r="Y61" i="176"/>
  <c r="E30" i="177" s="1"/>
  <c r="Y148" i="176"/>
  <c r="J134" i="176"/>
  <c r="J165" i="176"/>
  <c r="J174" i="176"/>
  <c r="J231" i="176"/>
  <c r="J259" i="176"/>
  <c r="J208" i="176"/>
  <c r="C145" i="177" s="1"/>
  <c r="J56" i="176"/>
  <c r="J65" i="176"/>
  <c r="P85" i="176"/>
  <c r="Y179" i="176"/>
  <c r="Y111" i="176"/>
  <c r="D33" i="177" s="1"/>
  <c r="Y225" i="176"/>
  <c r="F39" i="177" s="1"/>
  <c r="Y251" i="176"/>
  <c r="D41" i="177" s="1"/>
  <c r="Y157" i="176"/>
  <c r="Y188" i="176"/>
  <c r="Y196" i="176"/>
  <c r="E45" i="177" s="1"/>
  <c r="Y203" i="176"/>
  <c r="Y207" i="176"/>
  <c r="Z91" i="176"/>
  <c r="G69" i="177" s="1"/>
  <c r="Z99" i="176"/>
  <c r="F57" i="177" s="1"/>
  <c r="Y182" i="176"/>
  <c r="E38" i="177" s="1"/>
  <c r="Y46" i="176"/>
  <c r="D29" i="177" s="1"/>
  <c r="Y96" i="176"/>
  <c r="C32" i="177" s="1"/>
  <c r="Y37" i="176"/>
  <c r="Y267" i="176"/>
  <c r="F42" i="177" s="1"/>
  <c r="Y119" i="176"/>
  <c r="Y71" i="176"/>
  <c r="Y81" i="176"/>
  <c r="Y206" i="176"/>
  <c r="Y118" i="176"/>
  <c r="J93" i="176"/>
  <c r="J189" i="176"/>
  <c r="J137" i="176"/>
  <c r="J219" i="176"/>
  <c r="J284" i="176"/>
  <c r="P232" i="176"/>
  <c r="Y250" i="176"/>
  <c r="C41" i="177" s="1"/>
  <c r="Y91" i="176"/>
  <c r="G44" i="177" s="1"/>
  <c r="Y210" i="176"/>
  <c r="E46" i="177" s="1"/>
  <c r="Y131" i="176"/>
  <c r="Y212" i="176"/>
  <c r="G46" i="177" s="1"/>
  <c r="Y228" i="176"/>
  <c r="Y57" i="176"/>
  <c r="Y82" i="176"/>
  <c r="P210" i="176"/>
  <c r="E170" i="177" s="1"/>
  <c r="Y54" i="176"/>
  <c r="Y258" i="176"/>
  <c r="Y151" i="176"/>
  <c r="Y128" i="176"/>
  <c r="G34" i="177" s="1"/>
  <c r="Y64" i="176"/>
  <c r="Y53" i="176"/>
  <c r="Z134" i="176"/>
  <c r="Y208" i="176"/>
  <c r="C46" i="177" s="1"/>
  <c r="Z60" i="176"/>
  <c r="D55" i="177" s="1"/>
  <c r="Y177" i="176"/>
  <c r="Z187" i="176"/>
  <c r="Z253" i="176"/>
  <c r="F66" i="177" s="1"/>
  <c r="Y264" i="176"/>
  <c r="C42" i="177" s="1"/>
  <c r="Y213" i="176"/>
  <c r="P58" i="176"/>
  <c r="P255" i="176"/>
  <c r="P257" i="176"/>
  <c r="P288" i="176"/>
  <c r="Z30" i="176"/>
  <c r="Z147" i="176"/>
  <c r="Z155" i="176"/>
  <c r="F61" i="177" s="1"/>
  <c r="Y195" i="176"/>
  <c r="D45" i="177" s="1"/>
  <c r="Y204" i="176"/>
  <c r="Z216" i="176"/>
  <c r="Z109" i="176"/>
  <c r="Z71" i="176"/>
  <c r="Z122" i="176"/>
  <c r="Z166" i="176"/>
  <c r="C62" i="177" s="1"/>
  <c r="Z220" i="176"/>
  <c r="Y239" i="176"/>
  <c r="F40" i="177" s="1"/>
  <c r="Z251" i="176"/>
  <c r="D66" i="177" s="1"/>
  <c r="Y262" i="176"/>
  <c r="Z188" i="176"/>
  <c r="Z252" i="176"/>
  <c r="E66" i="177" s="1"/>
  <c r="Z107" i="176"/>
  <c r="Z55" i="176"/>
  <c r="Z171" i="176"/>
  <c r="Z200" i="176"/>
  <c r="Z208" i="176"/>
  <c r="C71" i="177" s="1"/>
  <c r="Y257" i="176"/>
  <c r="Z211" i="176"/>
  <c r="F71" i="177" s="1"/>
  <c r="Y76" i="176"/>
  <c r="F43" i="177" s="1"/>
  <c r="Y169" i="176"/>
  <c r="F37" i="177" s="1"/>
  <c r="Z179" i="176"/>
  <c r="Y192" i="176"/>
  <c r="Z227" i="176"/>
  <c r="Z244" i="176"/>
  <c r="Y273" i="176"/>
  <c r="Y138" i="176"/>
  <c r="C35" i="177" s="1"/>
  <c r="Y58" i="176"/>
  <c r="Z98" i="176"/>
  <c r="E57" i="177" s="1"/>
  <c r="Z146" i="176"/>
  <c r="Z154" i="176"/>
  <c r="E61" i="177" s="1"/>
  <c r="Y122" i="176"/>
  <c r="Z159" i="176"/>
  <c r="Y216" i="176"/>
  <c r="Y166" i="176"/>
  <c r="C37" i="177" s="1"/>
  <c r="J242" i="176"/>
  <c r="J69" i="176"/>
  <c r="Z221" i="176"/>
  <c r="Z56" i="176"/>
  <c r="P50" i="176"/>
  <c r="J138" i="176"/>
  <c r="C134" i="177" s="1"/>
  <c r="P48" i="176"/>
  <c r="F153" i="177" s="1"/>
  <c r="P46" i="176"/>
  <c r="D153" i="177" s="1"/>
  <c r="Q35" i="176"/>
  <c r="G177" i="177" s="1"/>
  <c r="Q32" i="176"/>
  <c r="D177" i="177" s="1"/>
  <c r="J154" i="176"/>
  <c r="E135" i="177" s="1"/>
  <c r="I79" i="176"/>
  <c r="Q204" i="176"/>
  <c r="P62" i="176"/>
  <c r="F154" i="177" s="1"/>
  <c r="J33" i="176"/>
  <c r="E127" i="177" s="1"/>
  <c r="I266" i="176"/>
  <c r="E117" i="177" s="1"/>
  <c r="I236" i="176"/>
  <c r="C115" i="177" s="1"/>
  <c r="I176" i="176"/>
  <c r="Y80" i="176"/>
  <c r="Y185" i="176"/>
  <c r="Y224" i="176"/>
  <c r="E39" i="177" s="1"/>
  <c r="Y140" i="176"/>
  <c r="E35" i="177" s="1"/>
  <c r="J115" i="176"/>
  <c r="Y144" i="176"/>
  <c r="Y149" i="176"/>
  <c r="Y159" i="176"/>
  <c r="Y245" i="176"/>
  <c r="J160" i="176"/>
  <c r="Y60" i="176"/>
  <c r="D30" i="177" s="1"/>
  <c r="Y130" i="176"/>
  <c r="Y88" i="176"/>
  <c r="D44" i="177" s="1"/>
  <c r="Y205" i="176"/>
  <c r="J88" i="176"/>
  <c r="D143" i="177" s="1"/>
  <c r="J211" i="176"/>
  <c r="F145" i="177" s="1"/>
  <c r="J185" i="176"/>
  <c r="J68" i="176"/>
  <c r="J283" i="176"/>
  <c r="J87" i="176"/>
  <c r="C143" i="177" s="1"/>
  <c r="J129" i="176"/>
  <c r="J44" i="176"/>
  <c r="J191" i="176"/>
  <c r="Y230" i="176"/>
  <c r="Y158" i="176"/>
  <c r="Y74" i="176"/>
  <c r="D43" i="177" s="1"/>
  <c r="Z95" i="176"/>
  <c r="Z257" i="176"/>
  <c r="Z273" i="176"/>
  <c r="J285" i="176"/>
  <c r="J241" i="176"/>
  <c r="J201" i="176"/>
  <c r="J175" i="176"/>
  <c r="J148" i="176"/>
  <c r="J135" i="176"/>
  <c r="Z170" i="176"/>
  <c r="G62" i="177" s="1"/>
  <c r="Z89" i="176"/>
  <c r="E69" i="177" s="1"/>
  <c r="Z83" i="176"/>
  <c r="P51" i="176"/>
  <c r="P74" i="176"/>
  <c r="D167" i="177" s="1"/>
  <c r="P95" i="176"/>
  <c r="P119" i="176"/>
  <c r="P121" i="176"/>
  <c r="P135" i="176"/>
  <c r="P144" i="176"/>
  <c r="P147" i="176"/>
  <c r="P163" i="176"/>
  <c r="P173" i="176"/>
  <c r="P193" i="176"/>
  <c r="P211" i="176"/>
  <c r="F170" i="177" s="1"/>
  <c r="J40" i="176"/>
  <c r="Q267" i="176"/>
  <c r="F191" i="177" s="1"/>
  <c r="J267" i="176"/>
  <c r="F141" i="177" s="1"/>
  <c r="P181" i="176"/>
  <c r="D162" i="177" s="1"/>
  <c r="J169" i="176"/>
  <c r="F136" i="177" s="1"/>
  <c r="P114" i="176"/>
  <c r="G157" i="177" s="1"/>
  <c r="P61" i="176"/>
  <c r="E154" i="177" s="1"/>
  <c r="P49" i="176"/>
  <c r="G153" i="177" s="1"/>
  <c r="Q45" i="176"/>
  <c r="C178" i="177" s="1"/>
  <c r="I273" i="176"/>
  <c r="I271" i="176"/>
  <c r="I269" i="176"/>
  <c r="I262" i="176"/>
  <c r="I244" i="176"/>
  <c r="I242" i="176"/>
  <c r="I228" i="176"/>
  <c r="I222" i="176"/>
  <c r="C114" i="177" s="1"/>
  <c r="I189" i="176"/>
  <c r="I185" i="176"/>
  <c r="I175" i="176"/>
  <c r="I173" i="176"/>
  <c r="I139" i="176"/>
  <c r="D110" i="177" s="1"/>
  <c r="I100" i="176"/>
  <c r="G107" i="177" s="1"/>
  <c r="J51" i="176"/>
  <c r="J80" i="176"/>
  <c r="J132" i="176"/>
  <c r="J163" i="176"/>
  <c r="J214" i="176"/>
  <c r="J210" i="176"/>
  <c r="E145" i="177" s="1"/>
  <c r="J179" i="176"/>
  <c r="Z163" i="176"/>
  <c r="Z164" i="176"/>
  <c r="Z249" i="176"/>
  <c r="Y89" i="176"/>
  <c r="E44" i="177" s="1"/>
  <c r="Z104" i="176"/>
  <c r="Y141" i="176"/>
  <c r="F35" i="177" s="1"/>
  <c r="Y217" i="176"/>
  <c r="Y241" i="176"/>
  <c r="Z103" i="176"/>
  <c r="Z135" i="176"/>
  <c r="Y65" i="176"/>
  <c r="Z228" i="176"/>
  <c r="Y218" i="176"/>
  <c r="P43" i="176"/>
  <c r="P69" i="176"/>
  <c r="P72" i="176"/>
  <c r="P145" i="176"/>
  <c r="P161" i="176"/>
  <c r="P8" i="176"/>
  <c r="J11" i="176"/>
  <c r="Z21" i="176"/>
  <c r="G51" i="177" s="1"/>
  <c r="Z22" i="176"/>
  <c r="Y23" i="176"/>
  <c r="J26" i="176"/>
  <c r="J36" i="176"/>
  <c r="I265" i="176"/>
  <c r="D117" i="177" s="1"/>
  <c r="I247" i="176"/>
  <c r="I108" i="176"/>
  <c r="I86" i="176"/>
  <c r="I57" i="176"/>
  <c r="I16" i="176"/>
  <c r="I9" i="176"/>
  <c r="Z92" i="176"/>
  <c r="P53" i="176"/>
  <c r="P249" i="176"/>
  <c r="P256" i="176"/>
  <c r="P262" i="176"/>
  <c r="P272" i="176"/>
  <c r="P287" i="176"/>
  <c r="Z9" i="176"/>
  <c r="Y11" i="176"/>
  <c r="P23" i="176"/>
  <c r="Z29" i="176"/>
  <c r="Z139" i="176"/>
  <c r="D60" i="177" s="1"/>
  <c r="Z131" i="176"/>
  <c r="Y178" i="176"/>
  <c r="Y284" i="176"/>
  <c r="Y219" i="176"/>
  <c r="P83" i="176"/>
  <c r="Y75" i="176"/>
  <c r="E43" i="177" s="1"/>
  <c r="Y227" i="176"/>
  <c r="Y110" i="176"/>
  <c r="C33" i="177" s="1"/>
  <c r="Y286" i="176"/>
  <c r="Y289" i="176"/>
  <c r="Z289" i="176"/>
  <c r="Y271" i="176"/>
  <c r="Y94" i="176"/>
  <c r="J258" i="176"/>
  <c r="J192" i="176"/>
  <c r="Y124" i="176"/>
  <c r="C34" i="177" s="1"/>
  <c r="Y59" i="176"/>
  <c r="C30" i="177" s="1"/>
  <c r="Z87" i="176"/>
  <c r="C69" i="177" s="1"/>
  <c r="Y115" i="176"/>
  <c r="Z274" i="176"/>
  <c r="Z250" i="176"/>
  <c r="C66" i="177" s="1"/>
  <c r="Y249" i="176"/>
  <c r="J217" i="176"/>
  <c r="Q289" i="176"/>
  <c r="Y120" i="176"/>
  <c r="P157" i="176"/>
  <c r="Y246" i="176"/>
  <c r="Y255" i="176"/>
  <c r="Y117" i="176"/>
  <c r="Z205" i="176"/>
  <c r="Y133" i="176"/>
  <c r="Z177" i="176"/>
  <c r="Y52" i="176"/>
  <c r="Z96" i="176"/>
  <c r="C57" i="177" s="1"/>
  <c r="Z152" i="176"/>
  <c r="C61" i="177" s="1"/>
  <c r="Z120" i="176"/>
  <c r="Y162" i="176"/>
  <c r="Y189" i="176"/>
  <c r="Z234" i="176"/>
  <c r="J260" i="176"/>
  <c r="J109" i="176"/>
  <c r="J106" i="176"/>
  <c r="J79" i="176"/>
  <c r="Z248" i="176"/>
  <c r="P54" i="176"/>
  <c r="P78" i="176"/>
  <c r="P102" i="176"/>
  <c r="P104" i="176"/>
  <c r="P205" i="176"/>
  <c r="P202" i="176"/>
  <c r="P208" i="176"/>
  <c r="C170" i="177" s="1"/>
  <c r="P179" i="176"/>
  <c r="Z11" i="176"/>
  <c r="Y27" i="176"/>
  <c r="Y135" i="176"/>
  <c r="Y170" i="176"/>
  <c r="G37" i="177" s="1"/>
  <c r="Y242" i="176"/>
  <c r="Y47" i="176"/>
  <c r="E29" i="177" s="1"/>
  <c r="Y69" i="176"/>
  <c r="Y114" i="176"/>
  <c r="G33" i="177" s="1"/>
  <c r="Y8" i="176"/>
  <c r="Y77" i="176"/>
  <c r="G43" i="177" s="1"/>
  <c r="Y99" i="176"/>
  <c r="F32" i="177" s="1"/>
  <c r="Y235" i="176"/>
  <c r="Y68" i="176"/>
  <c r="Y109" i="176"/>
  <c r="Y220" i="176"/>
  <c r="J84" i="176"/>
  <c r="J203" i="176"/>
  <c r="J37" i="176"/>
  <c r="J64" i="176"/>
  <c r="J107" i="176"/>
  <c r="J172" i="176"/>
  <c r="J229" i="176"/>
  <c r="J257" i="176"/>
  <c r="J54" i="176"/>
  <c r="J221" i="176"/>
  <c r="J286" i="176"/>
  <c r="P130" i="176"/>
  <c r="P115" i="176"/>
  <c r="Y73" i="176"/>
  <c r="C43" i="177" s="1"/>
  <c r="P192" i="176"/>
  <c r="P165" i="176"/>
  <c r="P162" i="176"/>
  <c r="Y56" i="176"/>
  <c r="Y136" i="176"/>
  <c r="Y100" i="176"/>
  <c r="G32" i="177" s="1"/>
  <c r="Z40" i="176"/>
  <c r="Y108" i="176"/>
  <c r="Z162" i="176"/>
  <c r="Z102" i="176"/>
  <c r="Y139" i="176"/>
  <c r="D35" i="177" s="1"/>
  <c r="Z195" i="176"/>
  <c r="D70" i="177" s="1"/>
  <c r="Z204" i="176"/>
  <c r="Z119" i="176"/>
  <c r="Z258" i="176"/>
  <c r="Z266" i="176"/>
  <c r="E67" i="177" s="1"/>
  <c r="Z148" i="176"/>
  <c r="Z123" i="176"/>
  <c r="Z176" i="176"/>
  <c r="Z261" i="176"/>
  <c r="Z285" i="176"/>
  <c r="J272" i="176"/>
  <c r="M19" i="177"/>
  <c r="M18" i="177"/>
  <c r="M16" i="177"/>
  <c r="M15" i="177"/>
  <c r="M14" i="177"/>
  <c r="M13" i="177"/>
  <c r="M11" i="177"/>
  <c r="Z283" i="176"/>
  <c r="Z267" i="176"/>
  <c r="F67" i="177" s="1"/>
  <c r="Z243" i="176"/>
  <c r="Z239" i="176"/>
  <c r="F65" i="177" s="1"/>
  <c r="Z222" i="176"/>
  <c r="C64" i="177" s="1"/>
  <c r="Z214" i="176"/>
  <c r="Z210" i="176"/>
  <c r="E71" i="177" s="1"/>
  <c r="Z202" i="176"/>
  <c r="Z198" i="176"/>
  <c r="G70" i="177" s="1"/>
  <c r="Z186" i="176"/>
  <c r="Z182" i="176"/>
  <c r="E63" i="177" s="1"/>
  <c r="Z173" i="176"/>
  <c r="Z137" i="176"/>
  <c r="Z129" i="176"/>
  <c r="Z125" i="176"/>
  <c r="D59" i="177" s="1"/>
  <c r="Z105" i="176"/>
  <c r="Z101" i="176"/>
  <c r="Z93" i="176"/>
  <c r="P65" i="176"/>
  <c r="P103" i="176"/>
  <c r="P116" i="176"/>
  <c r="P123" i="176"/>
  <c r="Z19" i="176"/>
  <c r="E51" i="177" s="1"/>
  <c r="P271" i="176"/>
  <c r="J10" i="176"/>
  <c r="J16" i="176"/>
  <c r="Z18" i="176"/>
  <c r="D51" i="177" s="1"/>
  <c r="Y21" i="176"/>
  <c r="G26" i="177" s="1"/>
  <c r="P77" i="176"/>
  <c r="G167" i="177" s="1"/>
  <c r="P10" i="176"/>
  <c r="Z20" i="176"/>
  <c r="F51" i="177" s="1"/>
  <c r="J23" i="176"/>
  <c r="P27" i="176"/>
  <c r="Y40" i="176"/>
  <c r="Z41" i="176"/>
  <c r="Y50" i="176"/>
  <c r="J224" i="176"/>
  <c r="E138" i="177" s="1"/>
  <c r="Q170" i="176"/>
  <c r="G186" i="177" s="1"/>
  <c r="Q28" i="176"/>
  <c r="Q254" i="176"/>
  <c r="G190" i="177" s="1"/>
  <c r="P224" i="176"/>
  <c r="E163" i="177" s="1"/>
  <c r="Q222" i="176"/>
  <c r="C188" i="177" s="1"/>
  <c r="P222" i="176"/>
  <c r="C163" i="177" s="1"/>
  <c r="J222" i="176"/>
  <c r="C138" i="177" s="1"/>
  <c r="Q180" i="176"/>
  <c r="C187" i="177" s="1"/>
  <c r="P154" i="176"/>
  <c r="E160" i="177" s="1"/>
  <c r="Q139" i="176"/>
  <c r="D184" i="177" s="1"/>
  <c r="Q96" i="176"/>
  <c r="C181" i="177" s="1"/>
  <c r="J96" i="176"/>
  <c r="C131" i="177" s="1"/>
  <c r="J63" i="176"/>
  <c r="G129" i="177" s="1"/>
  <c r="I258" i="176"/>
  <c r="J252" i="176"/>
  <c r="E140" i="177" s="1"/>
  <c r="J240" i="176"/>
  <c r="G139" i="177" s="1"/>
  <c r="Q236" i="176"/>
  <c r="C189" i="177" s="1"/>
  <c r="P236" i="176"/>
  <c r="C164" i="177" s="1"/>
  <c r="P223" i="176"/>
  <c r="D163" i="177" s="1"/>
  <c r="Q168" i="176"/>
  <c r="E186" i="177" s="1"/>
  <c r="Q154" i="176"/>
  <c r="E185" i="177" s="1"/>
  <c r="J111" i="176"/>
  <c r="D132" i="177" s="1"/>
  <c r="Q99" i="176"/>
  <c r="F181" i="177" s="1"/>
  <c r="P128" i="176"/>
  <c r="G158" i="177" s="1"/>
  <c r="P126" i="176"/>
  <c r="E158" i="177" s="1"/>
  <c r="P124" i="176"/>
  <c r="C158" i="177" s="1"/>
  <c r="P268" i="176"/>
  <c r="G166" i="177" s="1"/>
  <c r="J239" i="176"/>
  <c r="F139" i="177" s="1"/>
  <c r="P237" i="176"/>
  <c r="D164" i="177" s="1"/>
  <c r="Q183" i="176"/>
  <c r="F187" i="177" s="1"/>
  <c r="J168" i="176"/>
  <c r="E136" i="177" s="1"/>
  <c r="J141" i="176"/>
  <c r="F134" i="177" s="1"/>
  <c r="J98" i="176"/>
  <c r="E131" i="177" s="1"/>
  <c r="J49" i="176"/>
  <c r="G128" i="177" s="1"/>
  <c r="P47" i="176"/>
  <c r="E153" i="177" s="1"/>
  <c r="I98" i="176"/>
  <c r="E107" i="177" s="1"/>
  <c r="I91" i="176"/>
  <c r="G119" i="177" s="1"/>
  <c r="I74" i="176"/>
  <c r="D118" i="177" s="1"/>
  <c r="I65" i="176"/>
  <c r="I251" i="176"/>
  <c r="D116" i="177" s="1"/>
  <c r="I246" i="176"/>
  <c r="I239" i="176"/>
  <c r="F115" i="177" s="1"/>
  <c r="I230" i="176"/>
  <c r="I219" i="176"/>
  <c r="I210" i="176"/>
  <c r="E121" i="177" s="1"/>
  <c r="I193" i="176"/>
  <c r="I170" i="176"/>
  <c r="G112" i="177" s="1"/>
  <c r="I161" i="176"/>
  <c r="I130" i="176"/>
  <c r="I111" i="176"/>
  <c r="D108" i="177" s="1"/>
  <c r="I76" i="176"/>
  <c r="F118" i="177" s="1"/>
  <c r="I75" i="176"/>
  <c r="E118" i="177" s="1"/>
  <c r="I66" i="176"/>
  <c r="I60" i="176"/>
  <c r="D105" i="177" s="1"/>
  <c r="I56" i="176"/>
  <c r="I52" i="176"/>
  <c r="I48" i="176"/>
  <c r="F104" i="177" s="1"/>
  <c r="I106" i="176"/>
  <c r="J47" i="176"/>
  <c r="E128" i="177" s="1"/>
  <c r="P35" i="176"/>
  <c r="G152" i="177" s="1"/>
  <c r="I238" i="176"/>
  <c r="E115" i="177" s="1"/>
  <c r="I231" i="176"/>
  <c r="I214" i="176"/>
  <c r="I198" i="176"/>
  <c r="G120" i="177" s="1"/>
  <c r="I186" i="176"/>
  <c r="I142" i="176"/>
  <c r="G110" i="177" s="1"/>
  <c r="I133" i="176"/>
  <c r="I131" i="176"/>
  <c r="I117" i="176"/>
  <c r="I116" i="176"/>
  <c r="I92" i="176"/>
  <c r="I90" i="176"/>
  <c r="F119" i="177" s="1"/>
  <c r="I87" i="176"/>
  <c r="C119" i="177" s="1"/>
  <c r="I68" i="176"/>
  <c r="I45" i="176"/>
  <c r="C104" i="177" s="1"/>
  <c r="I43" i="176"/>
  <c r="I41" i="176"/>
  <c r="I39" i="176"/>
  <c r="I37" i="176"/>
  <c r="I35" i="176"/>
  <c r="G103" i="177" s="1"/>
  <c r="I33" i="176"/>
  <c r="E103" i="177" s="1"/>
  <c r="I31" i="176"/>
  <c r="C103" i="177" s="1"/>
  <c r="I29" i="176"/>
  <c r="I27" i="176"/>
  <c r="I25" i="176"/>
  <c r="I23" i="176"/>
  <c r="Y126" i="176"/>
  <c r="E34" i="177" s="1"/>
  <c r="J197" i="176"/>
  <c r="F144" i="177" s="1"/>
  <c r="J204" i="176"/>
  <c r="J89" i="176"/>
  <c r="E143" i="177" s="1"/>
  <c r="J193" i="176"/>
  <c r="Y173" i="176"/>
  <c r="Y104" i="176"/>
  <c r="Y161" i="176"/>
  <c r="Y165" i="176"/>
  <c r="J273" i="176"/>
  <c r="J256" i="176"/>
  <c r="J248" i="176"/>
  <c r="J228" i="176"/>
  <c r="J209" i="176"/>
  <c r="D145" i="177" s="1"/>
  <c r="J198" i="176"/>
  <c r="G144" i="177" s="1"/>
  <c r="J194" i="176"/>
  <c r="C144" i="177" s="1"/>
  <c r="J161" i="176"/>
  <c r="J158" i="176"/>
  <c r="J144" i="176"/>
  <c r="J122" i="176"/>
  <c r="J119" i="176"/>
  <c r="J102" i="176"/>
  <c r="J82" i="176"/>
  <c r="P134" i="176"/>
  <c r="P214" i="176"/>
  <c r="Z15" i="176"/>
  <c r="Y24" i="176"/>
  <c r="Z24" i="176"/>
  <c r="Y25" i="176"/>
  <c r="P28" i="176"/>
  <c r="Y32" i="176"/>
  <c r="D28" i="177" s="1"/>
  <c r="J53" i="176"/>
  <c r="Y187" i="176"/>
  <c r="Z263" i="176"/>
  <c r="Z194" i="176"/>
  <c r="C70" i="177" s="1"/>
  <c r="Z161" i="176"/>
  <c r="Z149" i="176"/>
  <c r="Z133" i="176"/>
  <c r="Z43" i="176"/>
  <c r="P80" i="176"/>
  <c r="P22" i="176"/>
  <c r="P25" i="176"/>
  <c r="J28" i="176"/>
  <c r="Y29" i="176"/>
  <c r="Y31" i="176"/>
  <c r="C28" i="177" s="1"/>
  <c r="Z36" i="176"/>
  <c r="Z77" i="176"/>
  <c r="G68" i="177" s="1"/>
  <c r="J289" i="176"/>
  <c r="Y48" i="176"/>
  <c r="F29" i="177" s="1"/>
  <c r="Y269" i="176"/>
  <c r="Y84" i="176"/>
  <c r="Y116" i="176"/>
  <c r="Y92" i="176"/>
  <c r="Y45" i="176"/>
  <c r="C29" i="177" s="1"/>
  <c r="Y194" i="176"/>
  <c r="C45" i="177" s="1"/>
  <c r="Y172" i="176"/>
  <c r="Z69" i="176"/>
  <c r="Z47" i="176"/>
  <c r="E54" i="177" s="1"/>
  <c r="P56" i="176"/>
  <c r="M5" i="177"/>
  <c r="Z26" i="176"/>
  <c r="Z27" i="176"/>
  <c r="J29" i="176"/>
  <c r="P38" i="176"/>
  <c r="M8" i="177"/>
  <c r="Y275" i="176"/>
  <c r="P275" i="176"/>
  <c r="Y106" i="176"/>
  <c r="J101" i="176"/>
  <c r="J147" i="176"/>
  <c r="J151" i="176"/>
  <c r="J118" i="176"/>
  <c r="Y63" i="176"/>
  <c r="G30" i="177" s="1"/>
  <c r="Y226" i="176"/>
  <c r="G39" i="177" s="1"/>
  <c r="Y72" i="176"/>
  <c r="Y268" i="176"/>
  <c r="G42" i="177" s="1"/>
  <c r="Y78" i="176"/>
  <c r="Z185" i="176"/>
  <c r="Y270" i="176"/>
  <c r="Z286" i="176"/>
  <c r="Y234" i="176"/>
  <c r="Z64" i="176"/>
  <c r="J75" i="176"/>
  <c r="E142" i="177" s="1"/>
  <c r="J71" i="176"/>
  <c r="Z61" i="176"/>
  <c r="E55" i="177" s="1"/>
  <c r="P94" i="176"/>
  <c r="P118" i="176"/>
  <c r="P120" i="176"/>
  <c r="P122" i="176"/>
  <c r="P136" i="176"/>
  <c r="P143" i="176"/>
  <c r="P150" i="176"/>
  <c r="P176" i="176"/>
  <c r="P186" i="176"/>
  <c r="P190" i="176"/>
  <c r="P213" i="176"/>
  <c r="P227" i="176"/>
  <c r="P243" i="176"/>
  <c r="P274" i="176"/>
  <c r="Z10" i="176"/>
  <c r="Y14" i="176"/>
  <c r="Y16" i="176"/>
  <c r="Z28" i="176"/>
  <c r="Y90" i="176"/>
  <c r="F44" i="177" s="1"/>
  <c r="Z140" i="176"/>
  <c r="E60" i="177" s="1"/>
  <c r="Y265" i="176"/>
  <c r="D42" i="177" s="1"/>
  <c r="Z124" i="176"/>
  <c r="C59" i="177" s="1"/>
  <c r="Z160" i="176"/>
  <c r="Z168" i="176"/>
  <c r="E62" i="177" s="1"/>
  <c r="Y243" i="176"/>
  <c r="Z80" i="176"/>
  <c r="Y129" i="176"/>
  <c r="Y150" i="176"/>
  <c r="Z235" i="176"/>
  <c r="Y254" i="176"/>
  <c r="G41" i="177" s="1"/>
  <c r="Y198" i="176"/>
  <c r="G45" i="177" s="1"/>
  <c r="Z217" i="176"/>
  <c r="J245" i="176"/>
  <c r="J206" i="176"/>
  <c r="J195" i="176"/>
  <c r="D144" i="177" s="1"/>
  <c r="J145" i="176"/>
  <c r="J103" i="176"/>
  <c r="J42" i="176"/>
  <c r="Z256" i="176"/>
  <c r="Z240" i="176"/>
  <c r="G65" i="177" s="1"/>
  <c r="Z183" i="176"/>
  <c r="F63" i="177" s="1"/>
  <c r="Z126" i="176"/>
  <c r="E59" i="177" s="1"/>
  <c r="Z114" i="176"/>
  <c r="G58" i="177" s="1"/>
  <c r="Z106" i="176"/>
  <c r="P105" i="176"/>
  <c r="P129" i="176"/>
  <c r="P160" i="176"/>
  <c r="P194" i="176"/>
  <c r="C169" i="177" s="1"/>
  <c r="P199" i="176"/>
  <c r="Z8" i="176"/>
  <c r="P11" i="176"/>
  <c r="Y35" i="176"/>
  <c r="G28" i="177" s="1"/>
  <c r="Y41" i="176"/>
  <c r="Z44" i="176"/>
  <c r="P52" i="176"/>
  <c r="Z32" i="176"/>
  <c r="D53" i="177" s="1"/>
  <c r="Y34" i="176"/>
  <c r="F28" i="177" s="1"/>
  <c r="P64" i="176"/>
  <c r="P40" i="176"/>
  <c r="Y147" i="176"/>
  <c r="Y101" i="176"/>
  <c r="Y97" i="176"/>
  <c r="D32" i="177" s="1"/>
  <c r="Z75" i="176"/>
  <c r="E68" i="177" s="1"/>
  <c r="J57" i="176"/>
  <c r="J76" i="176"/>
  <c r="F142" i="177" s="1"/>
  <c r="J212" i="176"/>
  <c r="G145" i="177" s="1"/>
  <c r="J74" i="176"/>
  <c r="D142" i="177" s="1"/>
  <c r="J247" i="176"/>
  <c r="Y83" i="176"/>
  <c r="Y248" i="176"/>
  <c r="P248" i="176"/>
  <c r="P204" i="176"/>
  <c r="P55" i="176"/>
  <c r="Y127" i="176"/>
  <c r="F34" i="177" s="1"/>
  <c r="P101" i="176"/>
  <c r="P245" i="176"/>
  <c r="P106" i="176"/>
  <c r="P148" i="176"/>
  <c r="Y153" i="176"/>
  <c r="D36" i="177" s="1"/>
  <c r="Y98" i="176"/>
  <c r="E32" i="177" s="1"/>
  <c r="Z138" i="176"/>
  <c r="C60" i="177" s="1"/>
  <c r="Z158" i="176"/>
  <c r="Y175" i="176"/>
  <c r="Y183" i="176"/>
  <c r="F38" i="177" s="1"/>
  <c r="Y233" i="176"/>
  <c r="Z48" i="176"/>
  <c r="F54" i="177" s="1"/>
  <c r="Y137" i="176"/>
  <c r="Y146" i="176"/>
  <c r="Y252" i="176"/>
  <c r="E41" i="177" s="1"/>
  <c r="Z260" i="176"/>
  <c r="Z121" i="176"/>
  <c r="Z144" i="176"/>
  <c r="Z169" i="176"/>
  <c r="F62" i="177" s="1"/>
  <c r="Y263" i="176"/>
  <c r="Z209" i="176"/>
  <c r="D71" i="177" s="1"/>
  <c r="Y62" i="176"/>
  <c r="F30" i="177" s="1"/>
  <c r="Z74" i="176"/>
  <c r="D68" i="177" s="1"/>
  <c r="Z165" i="176"/>
  <c r="Y259" i="176"/>
  <c r="Y134" i="176"/>
  <c r="Y253" i="176"/>
  <c r="F41" i="177" s="1"/>
  <c r="Z50" i="176"/>
  <c r="P132" i="176"/>
  <c r="P137" i="176"/>
  <c r="P201" i="176"/>
  <c r="P203" i="176"/>
  <c r="P207" i="176"/>
  <c r="J13" i="176"/>
  <c r="J14" i="176"/>
  <c r="Z14" i="176"/>
  <c r="J15" i="176"/>
  <c r="Y28" i="176"/>
  <c r="J143" i="176"/>
  <c r="Y174" i="176"/>
  <c r="Q223" i="176"/>
  <c r="D188" i="177" s="1"/>
  <c r="Q110" i="176"/>
  <c r="C182" i="177" s="1"/>
  <c r="J46" i="176"/>
  <c r="D128" i="177" s="1"/>
  <c r="P76" i="176"/>
  <c r="F167" i="177" s="1"/>
  <c r="J110" i="176"/>
  <c r="C132" i="177" s="1"/>
  <c r="Q62" i="176"/>
  <c r="F179" i="177" s="1"/>
  <c r="J114" i="176"/>
  <c r="G132" i="177" s="1"/>
  <c r="J112" i="176"/>
  <c r="E132" i="177" s="1"/>
  <c r="P31" i="176"/>
  <c r="C152" i="177" s="1"/>
  <c r="J17" i="176"/>
  <c r="C125" i="177" s="1"/>
  <c r="P265" i="176"/>
  <c r="D166" i="177" s="1"/>
  <c r="Q252" i="176"/>
  <c r="E190" i="177" s="1"/>
  <c r="P250" i="176"/>
  <c r="C165" i="177" s="1"/>
  <c r="J250" i="176"/>
  <c r="C140" i="177" s="1"/>
  <c r="Q240" i="176"/>
  <c r="G189" i="177" s="1"/>
  <c r="J236" i="176"/>
  <c r="C139" i="177" s="1"/>
  <c r="Q226" i="176"/>
  <c r="G188" i="177" s="1"/>
  <c r="P226" i="176"/>
  <c r="G163" i="177" s="1"/>
  <c r="J226" i="176"/>
  <c r="G138" i="177" s="1"/>
  <c r="Q167" i="176"/>
  <c r="D186" i="177" s="1"/>
  <c r="J142" i="176"/>
  <c r="G134" i="177" s="1"/>
  <c r="P63" i="176"/>
  <c r="G154" i="177" s="1"/>
  <c r="P60" i="176"/>
  <c r="D154" i="177" s="1"/>
  <c r="J59" i="176"/>
  <c r="C129" i="177" s="1"/>
  <c r="P45" i="176"/>
  <c r="C153" i="177" s="1"/>
  <c r="Q31" i="176"/>
  <c r="C177" i="177" s="1"/>
  <c r="Q163" i="176"/>
  <c r="Q23" i="176"/>
  <c r="Q268" i="176"/>
  <c r="G191" i="177" s="1"/>
  <c r="P266" i="176"/>
  <c r="E166" i="177" s="1"/>
  <c r="Q265" i="176"/>
  <c r="D191" i="177" s="1"/>
  <c r="P264" i="176"/>
  <c r="C166" i="177" s="1"/>
  <c r="P252" i="176"/>
  <c r="E165" i="177" s="1"/>
  <c r="Q251" i="176"/>
  <c r="D190" i="177" s="1"/>
  <c r="P251" i="176"/>
  <c r="D165" i="177" s="1"/>
  <c r="J251" i="176"/>
  <c r="D140" i="177" s="1"/>
  <c r="P240" i="176"/>
  <c r="G164" i="177" s="1"/>
  <c r="Q239" i="176"/>
  <c r="F189" i="177" s="1"/>
  <c r="P239" i="176"/>
  <c r="F164" i="177" s="1"/>
  <c r="Q238" i="176"/>
  <c r="E189" i="177" s="1"/>
  <c r="P238" i="176"/>
  <c r="E164" i="177" s="1"/>
  <c r="J238" i="176"/>
  <c r="E139" i="177" s="1"/>
  <c r="Q225" i="176"/>
  <c r="F188" i="177" s="1"/>
  <c r="J225" i="176"/>
  <c r="F138" i="177" s="1"/>
  <c r="J184" i="176"/>
  <c r="G137" i="177" s="1"/>
  <c r="Q182" i="176"/>
  <c r="E187" i="177" s="1"/>
  <c r="P182" i="176"/>
  <c r="E162" i="177" s="1"/>
  <c r="J180" i="176"/>
  <c r="C137" i="177" s="1"/>
  <c r="P166" i="176"/>
  <c r="C161" i="177" s="1"/>
  <c r="J166" i="176"/>
  <c r="C136" i="177" s="1"/>
  <c r="J156" i="176"/>
  <c r="G135" i="177" s="1"/>
  <c r="J152" i="176"/>
  <c r="C135" i="177" s="1"/>
  <c r="P142" i="176"/>
  <c r="G159" i="177" s="1"/>
  <c r="Q114" i="176"/>
  <c r="G182" i="177" s="1"/>
  <c r="P110" i="176"/>
  <c r="C157" i="177" s="1"/>
  <c r="I283" i="176"/>
  <c r="J266" i="176"/>
  <c r="E141" i="177" s="1"/>
  <c r="J254" i="176"/>
  <c r="G140" i="177" s="1"/>
  <c r="J253" i="176"/>
  <c r="F140" i="177" s="1"/>
  <c r="J237" i="176"/>
  <c r="D139" i="177" s="1"/>
  <c r="P184" i="176"/>
  <c r="G162" i="177" s="1"/>
  <c r="P183" i="176"/>
  <c r="F162" i="177" s="1"/>
  <c r="J170" i="176"/>
  <c r="G136" i="177" s="1"/>
  <c r="Q166" i="176"/>
  <c r="C186" i="177" s="1"/>
  <c r="P152" i="176"/>
  <c r="C160" i="177" s="1"/>
  <c r="Q142" i="176"/>
  <c r="G184" i="177" s="1"/>
  <c r="Q140" i="176"/>
  <c r="E184" i="177" s="1"/>
  <c r="Q113" i="176"/>
  <c r="F182" i="177" s="1"/>
  <c r="P113" i="176"/>
  <c r="F157" i="177" s="1"/>
  <c r="J113" i="176"/>
  <c r="F132" i="177" s="1"/>
  <c r="P112" i="176"/>
  <c r="E157" i="177" s="1"/>
  <c r="P99" i="176"/>
  <c r="F156" i="177" s="1"/>
  <c r="Q47" i="176"/>
  <c r="E178" i="177" s="1"/>
  <c r="J35" i="176"/>
  <c r="G127" i="177" s="1"/>
  <c r="J31" i="176"/>
  <c r="C127" i="177" s="1"/>
  <c r="I287" i="176"/>
  <c r="I200" i="176"/>
  <c r="I197" i="176"/>
  <c r="F120" i="177" s="1"/>
  <c r="I168" i="176"/>
  <c r="E112" i="177" s="1"/>
  <c r="I156" i="176"/>
  <c r="G111" i="177" s="1"/>
  <c r="I233" i="176"/>
  <c r="I204" i="176"/>
  <c r="I201" i="176"/>
  <c r="I188" i="176"/>
  <c r="I180" i="176"/>
  <c r="C113" i="177" s="1"/>
  <c r="Q128" i="176"/>
  <c r="G183" i="177" s="1"/>
  <c r="Q124" i="176"/>
  <c r="C183" i="177" s="1"/>
  <c r="J125" i="176"/>
  <c r="D133" i="177" s="1"/>
  <c r="I263" i="176"/>
  <c r="I261" i="176"/>
  <c r="I259" i="176"/>
  <c r="I257" i="176"/>
  <c r="I255" i="176"/>
  <c r="I209" i="176"/>
  <c r="D121" i="177" s="1"/>
  <c r="I206" i="176"/>
  <c r="I205" i="176"/>
  <c r="I202" i="176"/>
  <c r="I195" i="176"/>
  <c r="D120" i="177" s="1"/>
  <c r="I191" i="176"/>
  <c r="I184" i="176"/>
  <c r="G113" i="177" s="1"/>
  <c r="I181" i="176"/>
  <c r="D113" i="177" s="1"/>
  <c r="I177" i="176"/>
  <c r="I164" i="176"/>
  <c r="I159" i="176"/>
  <c r="P34" i="176"/>
  <c r="F152" i="177" s="1"/>
  <c r="P33" i="176"/>
  <c r="E152" i="177" s="1"/>
  <c r="Q125" i="176"/>
  <c r="D183" i="177" s="1"/>
  <c r="P127" i="176"/>
  <c r="F158" i="177" s="1"/>
  <c r="P125" i="176"/>
  <c r="D158" i="177" s="1"/>
  <c r="J126" i="176"/>
  <c r="E133" i="177" s="1"/>
  <c r="I284" i="176"/>
  <c r="I275" i="176"/>
  <c r="I274" i="176"/>
  <c r="I270" i="176"/>
  <c r="I267" i="176"/>
  <c r="F117" i="177" s="1"/>
  <c r="I252" i="176"/>
  <c r="E116" i="177" s="1"/>
  <c r="I249" i="176"/>
  <c r="I245" i="176"/>
  <c r="I243" i="176"/>
  <c r="I240" i="176"/>
  <c r="G115" i="177" s="1"/>
  <c r="I235" i="176"/>
  <c r="I232" i="176"/>
  <c r="I223" i="176"/>
  <c r="D114" i="177" s="1"/>
  <c r="I220" i="176"/>
  <c r="I213" i="176"/>
  <c r="I192" i="176"/>
  <c r="I182" i="176"/>
  <c r="E113" i="177" s="1"/>
  <c r="I172" i="176"/>
  <c r="I160" i="176"/>
  <c r="I187" i="176"/>
  <c r="I178" i="176"/>
  <c r="I171" i="176"/>
  <c r="I162" i="176"/>
  <c r="I157" i="176"/>
  <c r="I155" i="176"/>
  <c r="F111" i="177" s="1"/>
  <c r="I149" i="176"/>
  <c r="I146" i="176"/>
  <c r="I122" i="176"/>
  <c r="I119" i="176"/>
  <c r="I114" i="176"/>
  <c r="G108" i="177" s="1"/>
  <c r="I110" i="176"/>
  <c r="C108" i="177" s="1"/>
  <c r="I109" i="176"/>
  <c r="I104" i="176"/>
  <c r="I102" i="176"/>
  <c r="I101" i="176"/>
  <c r="I96" i="176"/>
  <c r="C107" i="177" s="1"/>
  <c r="I94" i="176"/>
  <c r="I93" i="176"/>
  <c r="I84" i="176"/>
  <c r="I78" i="176"/>
  <c r="I72" i="176"/>
  <c r="I58" i="176"/>
  <c r="I54" i="176"/>
  <c r="I50" i="176"/>
  <c r="I212" i="176"/>
  <c r="G121" i="177" s="1"/>
  <c r="I121" i="176"/>
  <c r="I103" i="176"/>
  <c r="I95" i="176"/>
  <c r="I80" i="176"/>
  <c r="I64" i="176"/>
  <c r="I136" i="176"/>
  <c r="I123" i="176"/>
  <c r="I8" i="176"/>
  <c r="I137" i="176"/>
  <c r="I129" i="176"/>
  <c r="I128" i="176"/>
  <c r="G109" i="177" s="1"/>
  <c r="I107" i="176"/>
  <c r="I99" i="176"/>
  <c r="F107" i="177" s="1"/>
  <c r="I82" i="176"/>
  <c r="I81" i="176"/>
  <c r="I70" i="176"/>
  <c r="I44" i="176"/>
  <c r="I40" i="176"/>
  <c r="I36" i="176"/>
  <c r="I32" i="176"/>
  <c r="D103" i="177" s="1"/>
  <c r="I28" i="176"/>
  <c r="I24" i="176"/>
  <c r="I13" i="176"/>
  <c r="M17" i="177"/>
  <c r="M12" i="177"/>
  <c r="M9" i="177"/>
  <c r="J24" i="176"/>
  <c r="J216" i="176"/>
  <c r="J269" i="176"/>
  <c r="Z81" i="176"/>
  <c r="Z275" i="176"/>
  <c r="J94" i="176"/>
  <c r="J205" i="176"/>
  <c r="J244" i="176"/>
  <c r="J171" i="176"/>
  <c r="Z38" i="176"/>
  <c r="Z218" i="176"/>
  <c r="Z206" i="176"/>
  <c r="Z117" i="176"/>
  <c r="Y283" i="176"/>
  <c r="Z259" i="176"/>
  <c r="P178" i="176"/>
  <c r="Y20" i="176"/>
  <c r="F26" i="177" s="1"/>
  <c r="P24" i="176"/>
  <c r="J275" i="176"/>
  <c r="J190" i="176"/>
  <c r="J220" i="176"/>
  <c r="J187" i="176"/>
  <c r="J213" i="176"/>
  <c r="J232" i="176"/>
  <c r="P66" i="176"/>
  <c r="Z97" i="176"/>
  <c r="D57" i="177" s="1"/>
  <c r="Z247" i="176"/>
  <c r="Y247" i="176"/>
  <c r="P15" i="176"/>
  <c r="P171" i="176"/>
  <c r="P14" i="176"/>
  <c r="Y19" i="176"/>
  <c r="E26" i="177" s="1"/>
  <c r="Z33" i="176"/>
  <c r="E53" i="177" s="1"/>
  <c r="P87" i="176"/>
  <c r="C168" i="177" s="1"/>
  <c r="Z65" i="176"/>
  <c r="J90" i="176"/>
  <c r="F143" i="177" s="1"/>
  <c r="J30" i="176"/>
  <c r="J178" i="176"/>
  <c r="J8" i="176"/>
  <c r="J131" i="176"/>
  <c r="Z145" i="176"/>
  <c r="Z153" i="176"/>
  <c r="D61" i="177" s="1"/>
  <c r="Z73" i="176"/>
  <c r="C68" i="177" s="1"/>
  <c r="Z226" i="176"/>
  <c r="G64" i="177" s="1"/>
  <c r="Z157" i="176"/>
  <c r="Z141" i="176"/>
  <c r="F60" i="177" s="1"/>
  <c r="Z113" i="176"/>
  <c r="F58" i="177" s="1"/>
  <c r="Z178" i="176"/>
  <c r="Z255" i="176"/>
  <c r="Z271" i="176"/>
  <c r="Z287" i="176"/>
  <c r="P151" i="176"/>
  <c r="P164" i="176"/>
  <c r="P196" i="176"/>
  <c r="E169" i="177" s="1"/>
  <c r="Y10" i="176"/>
  <c r="P13" i="176"/>
  <c r="Y13" i="176"/>
  <c r="Y15" i="176"/>
  <c r="P16" i="176"/>
  <c r="Z16" i="176"/>
  <c r="J25" i="176"/>
  <c r="J157" i="176"/>
  <c r="Q118" i="176"/>
  <c r="Q56" i="176"/>
  <c r="J268" i="176"/>
  <c r="G141" i="177" s="1"/>
  <c r="Q266" i="176"/>
  <c r="E191" i="177" s="1"/>
  <c r="J265" i="176"/>
  <c r="D141" i="177" s="1"/>
  <c r="Q253" i="176"/>
  <c r="F190" i="177" s="1"/>
  <c r="Q237" i="176"/>
  <c r="D189" i="177" s="1"/>
  <c r="Q224" i="176"/>
  <c r="E188" i="177" s="1"/>
  <c r="J182" i="176"/>
  <c r="E137" i="177" s="1"/>
  <c r="Q21" i="176"/>
  <c r="G175" i="177" s="1"/>
  <c r="P21" i="176"/>
  <c r="G150" i="177" s="1"/>
  <c r="J21" i="176"/>
  <c r="G125" i="177" s="1"/>
  <c r="Q20" i="176"/>
  <c r="F175" i="177" s="1"/>
  <c r="P20" i="176"/>
  <c r="F150" i="177" s="1"/>
  <c r="J20" i="176"/>
  <c r="F125" i="177" s="1"/>
  <c r="Q19" i="176"/>
  <c r="E175" i="177" s="1"/>
  <c r="P19" i="176"/>
  <c r="E150" i="177" s="1"/>
  <c r="J19" i="176"/>
  <c r="E125" i="177" s="1"/>
  <c r="Q18" i="176"/>
  <c r="D175" i="177" s="1"/>
  <c r="P18" i="176"/>
  <c r="D150" i="177" s="1"/>
  <c r="J18" i="176"/>
  <c r="D125" i="177" s="1"/>
  <c r="Q17" i="176"/>
  <c r="P17" i="176"/>
  <c r="C150" i="177" s="1"/>
  <c r="Q264" i="176"/>
  <c r="C191" i="177" s="1"/>
  <c r="P180" i="176"/>
  <c r="C162" i="177" s="1"/>
  <c r="Q169" i="176"/>
  <c r="F186" i="177" s="1"/>
  <c r="P169" i="176"/>
  <c r="F161" i="177" s="1"/>
  <c r="J264" i="176"/>
  <c r="C141" i="177" s="1"/>
  <c r="P254" i="176"/>
  <c r="G165" i="177" s="1"/>
  <c r="P253" i="176"/>
  <c r="F165" i="177" s="1"/>
  <c r="Q250" i="176"/>
  <c r="C190" i="177" s="1"/>
  <c r="P225" i="176"/>
  <c r="F163" i="177" s="1"/>
  <c r="Q184" i="176"/>
  <c r="G187" i="177" s="1"/>
  <c r="Q181" i="176"/>
  <c r="D187" i="177" s="1"/>
  <c r="P170" i="176"/>
  <c r="G161" i="177" s="1"/>
  <c r="P156" i="176"/>
  <c r="G160" i="177" s="1"/>
  <c r="Q152" i="176"/>
  <c r="C185" i="177" s="1"/>
  <c r="J140" i="176"/>
  <c r="E134" i="177" s="1"/>
  <c r="J139" i="176"/>
  <c r="D134" i="177" s="1"/>
  <c r="Q112" i="176"/>
  <c r="E182" i="177" s="1"/>
  <c r="P111" i="176"/>
  <c r="D157" i="177" s="1"/>
  <c r="P98" i="176"/>
  <c r="E156" i="177" s="1"/>
  <c r="J97" i="176"/>
  <c r="D131" i="177" s="1"/>
  <c r="Q156" i="176"/>
  <c r="G185" i="177" s="1"/>
  <c r="P140" i="176"/>
  <c r="E159" i="177" s="1"/>
  <c r="Q138" i="176"/>
  <c r="C184" i="177" s="1"/>
  <c r="Q111" i="176"/>
  <c r="D182" i="177" s="1"/>
  <c r="P100" i="176"/>
  <c r="G156" i="177" s="1"/>
  <c r="J99" i="176"/>
  <c r="F131" i="177" s="1"/>
  <c r="Q98" i="176"/>
  <c r="E181" i="177" s="1"/>
  <c r="P97" i="176"/>
  <c r="D156" i="177" s="1"/>
  <c r="P96" i="176"/>
  <c r="C156" i="177" s="1"/>
  <c r="J183" i="176"/>
  <c r="F137" i="177" s="1"/>
  <c r="P167" i="176"/>
  <c r="D161" i="177" s="1"/>
  <c r="J167" i="176"/>
  <c r="D136" i="177" s="1"/>
  <c r="Q155" i="176"/>
  <c r="F185" i="177" s="1"/>
  <c r="P155" i="176"/>
  <c r="F160" i="177" s="1"/>
  <c r="J155" i="176"/>
  <c r="F135" i="177" s="1"/>
  <c r="Q153" i="176"/>
  <c r="D185" i="177" s="1"/>
  <c r="P153" i="176"/>
  <c r="D160" i="177" s="1"/>
  <c r="J153" i="176"/>
  <c r="D135" i="177" s="1"/>
  <c r="Q141" i="176"/>
  <c r="F184" i="177" s="1"/>
  <c r="P141" i="176"/>
  <c r="F159" i="177" s="1"/>
  <c r="Q60" i="176"/>
  <c r="D179" i="177" s="1"/>
  <c r="Q48" i="176"/>
  <c r="F178" i="177" s="1"/>
  <c r="J48" i="176"/>
  <c r="F128" i="177" s="1"/>
  <c r="J34" i="176"/>
  <c r="F127" i="177" s="1"/>
  <c r="Q33" i="176"/>
  <c r="E177" i="177" s="1"/>
  <c r="P32" i="176"/>
  <c r="D152" i="177" s="1"/>
  <c r="Q126" i="176"/>
  <c r="E183" i="177" s="1"/>
  <c r="J127" i="176"/>
  <c r="F133" i="177" s="1"/>
  <c r="P59" i="176"/>
  <c r="C154" i="177" s="1"/>
  <c r="J45" i="176"/>
  <c r="C128" i="177" s="1"/>
  <c r="Q127" i="176"/>
  <c r="F183" i="177" s="1"/>
  <c r="J128" i="176"/>
  <c r="G133" i="177" s="1"/>
  <c r="J124" i="176"/>
  <c r="C133" i="177" s="1"/>
  <c r="I288" i="176"/>
  <c r="I286" i="176"/>
  <c r="I272" i="176"/>
  <c r="I268" i="176"/>
  <c r="G117" i="177" s="1"/>
  <c r="J60" i="176"/>
  <c r="D129" i="177" s="1"/>
  <c r="Q59" i="176"/>
  <c r="C179" i="177" s="1"/>
  <c r="Q46" i="176"/>
  <c r="D178" i="177" s="1"/>
  <c r="Q34" i="176"/>
  <c r="F177" i="177" s="1"/>
  <c r="Q63" i="176"/>
  <c r="G179" i="177" s="1"/>
  <c r="J32" i="176"/>
  <c r="D127" i="177" s="1"/>
  <c r="I264" i="176"/>
  <c r="C117" i="177" s="1"/>
  <c r="I260" i="176"/>
  <c r="I248" i="176"/>
  <c r="I227" i="176"/>
  <c r="I224" i="176"/>
  <c r="E114" i="177" s="1"/>
  <c r="I218" i="176"/>
  <c r="I217" i="176"/>
  <c r="I254" i="176"/>
  <c r="G116" i="177" s="1"/>
  <c r="I253" i="176"/>
  <c r="F116" i="177" s="1"/>
  <c r="I241" i="176"/>
  <c r="I221" i="176"/>
  <c r="I256" i="176"/>
  <c r="I250" i="176"/>
  <c r="C116" i="177" s="1"/>
  <c r="I226" i="176"/>
  <c r="G114" i="177" s="1"/>
  <c r="I225" i="176"/>
  <c r="F114" i="177" s="1"/>
  <c r="I216" i="176"/>
  <c r="I237" i="176"/>
  <c r="D115" i="177" s="1"/>
  <c r="I229" i="176"/>
  <c r="I211" i="176"/>
  <c r="F121" i="177" s="1"/>
  <c r="I194" i="176"/>
  <c r="C120" i="177" s="1"/>
  <c r="I199" i="176"/>
  <c r="I190" i="176"/>
  <c r="I183" i="176"/>
  <c r="F113" i="177" s="1"/>
  <c r="I174" i="176"/>
  <c r="I167" i="176"/>
  <c r="D112" i="177" s="1"/>
  <c r="I158" i="176"/>
  <c r="I153" i="176"/>
  <c r="D111" i="177" s="1"/>
  <c r="I150" i="176"/>
  <c r="I144" i="176"/>
  <c r="I143" i="176"/>
  <c r="I140" i="176"/>
  <c r="E110" i="177" s="1"/>
  <c r="I138" i="176"/>
  <c r="C110" i="177" s="1"/>
  <c r="I203" i="176"/>
  <c r="I196" i="176"/>
  <c r="E120" i="177" s="1"/>
  <c r="I179" i="176"/>
  <c r="I165" i="176"/>
  <c r="I163" i="176"/>
  <c r="I154" i="176"/>
  <c r="E111" i="177" s="1"/>
  <c r="I147" i="176"/>
  <c r="I141" i="176"/>
  <c r="F110" i="177" s="1"/>
  <c r="I215" i="176"/>
  <c r="I208" i="176"/>
  <c r="C121" i="177" s="1"/>
  <c r="I207" i="176"/>
  <c r="I77" i="176"/>
  <c r="G118" i="177" s="1"/>
  <c r="I135" i="176"/>
  <c r="I118" i="176"/>
  <c r="I89" i="176"/>
  <c r="E119" i="177" s="1"/>
  <c r="I132" i="176"/>
  <c r="I115" i="176"/>
  <c r="I105" i="176"/>
  <c r="I97" i="176"/>
  <c r="D107" i="177" s="1"/>
  <c r="I85" i="176"/>
  <c r="I127" i="176"/>
  <c r="F109" i="177" s="1"/>
  <c r="I120" i="176"/>
  <c r="I112" i="176"/>
  <c r="E108" i="177" s="1"/>
  <c r="I88" i="176"/>
  <c r="D119" i="177" s="1"/>
  <c r="I73" i="176"/>
  <c r="C118" i="177" s="1"/>
  <c r="I59" i="176"/>
  <c r="C105" i="177" s="1"/>
  <c r="I49" i="176"/>
  <c r="G104" i="177" s="1"/>
  <c r="I10" i="176"/>
  <c r="I124" i="176"/>
  <c r="C109" i="177" s="1"/>
  <c r="I71" i="176"/>
  <c r="I63" i="176"/>
  <c r="G105" i="177" s="1"/>
  <c r="I62" i="176"/>
  <c r="F105" i="177" s="1"/>
  <c r="I53" i="176"/>
  <c r="I47" i="176"/>
  <c r="E104" i="177" s="1"/>
  <c r="I46" i="176"/>
  <c r="D104" i="177" s="1"/>
  <c r="I42" i="176"/>
  <c r="I38" i="176"/>
  <c r="I34" i="176"/>
  <c r="F103" i="177" s="1"/>
  <c r="I30" i="176"/>
  <c r="I26" i="176"/>
  <c r="I22" i="176"/>
  <c r="F17" i="176"/>
  <c r="I17" i="176" s="1"/>
  <c r="C101" i="177" s="1"/>
  <c r="I15" i="176"/>
  <c r="I12" i="176"/>
  <c r="I11" i="176"/>
  <c r="I69" i="176"/>
  <c r="I51" i="176"/>
  <c r="I67" i="176"/>
  <c r="I55" i="176"/>
  <c r="I14" i="176"/>
  <c r="F21" i="176"/>
  <c r="I21" i="176" s="1"/>
  <c r="G101" i="177" s="1"/>
  <c r="F20" i="176"/>
  <c r="I20" i="176" s="1"/>
  <c r="F101" i="177" s="1"/>
  <c r="F19" i="176"/>
  <c r="I19" i="176" s="1"/>
  <c r="E101" i="177" s="1"/>
  <c r="F18" i="176"/>
  <c r="I18" i="176" s="1"/>
  <c r="D101" i="177" s="1"/>
  <c r="E21" i="95"/>
  <c r="E118" i="101"/>
  <c r="E89" i="101"/>
  <c r="D91" i="101"/>
  <c r="E119" i="101"/>
  <c r="F89" i="101"/>
  <c r="E114" i="101"/>
  <c r="E115" i="101"/>
  <c r="E91" i="101"/>
  <c r="D21" i="101"/>
  <c r="F91" i="101"/>
  <c r="C82" i="101"/>
  <c r="F25" i="101" s="1"/>
  <c r="E156" i="99"/>
  <c r="E157" i="99"/>
  <c r="E69" i="112"/>
  <c r="E65" i="112"/>
  <c r="E66" i="112"/>
  <c r="E62" i="112" s="1"/>
  <c r="E66" i="102"/>
  <c r="E21" i="102"/>
  <c r="E86" i="105"/>
  <c r="E82" i="105"/>
  <c r="E87" i="105"/>
  <c r="E79" i="105" s="1"/>
  <c r="C56" i="105"/>
  <c r="F25" i="137"/>
  <c r="F26" i="203"/>
  <c r="I22" i="177"/>
  <c r="E98" i="135"/>
  <c r="E99" i="135"/>
  <c r="F25" i="113"/>
  <c r="E84" i="113"/>
  <c r="C21" i="113"/>
  <c r="C31" i="113" s="1"/>
  <c r="C63" i="110"/>
  <c r="C23" i="137"/>
  <c r="C22" i="137"/>
  <c r="I15" i="137"/>
  <c r="G21" i="137"/>
  <c r="B30" i="137"/>
  <c r="C24" i="137"/>
  <c r="G20" i="137"/>
  <c r="K40" i="201"/>
  <c r="I30" i="137"/>
  <c r="B22" i="137"/>
  <c r="H16" i="137"/>
  <c r="B27" i="137"/>
  <c r="I20" i="137"/>
  <c r="B23" i="137"/>
  <c r="I23" i="137"/>
  <c r="H23" i="137"/>
  <c r="G22" i="137"/>
  <c r="I16" i="137"/>
  <c r="H20" i="137"/>
  <c r="I24" i="137"/>
  <c r="D20" i="137"/>
  <c r="E135" i="110" l="1"/>
  <c r="B57" i="201"/>
  <c r="E62" i="102"/>
  <c r="E74" i="106"/>
  <c r="E79" i="95"/>
  <c r="B277" i="175"/>
  <c r="E63" i="102"/>
  <c r="H36" i="177"/>
  <c r="D67" i="207" s="1"/>
  <c r="C23" i="207" s="1"/>
  <c r="C21" i="207" s="1"/>
  <c r="B66" i="201"/>
  <c r="G66" i="201" s="1"/>
  <c r="C31" i="101"/>
  <c r="I289" i="176"/>
  <c r="C31" i="106"/>
  <c r="B62" i="201"/>
  <c r="B65" i="201"/>
  <c r="B71" i="201"/>
  <c r="B58" i="201"/>
  <c r="C32" i="112"/>
  <c r="B291" i="41"/>
  <c r="I291" i="41" s="1" a="1"/>
  <c r="I291" i="41" s="1"/>
  <c r="L291" i="176" s="1"/>
  <c r="B291" i="175"/>
  <c r="E80" i="95"/>
  <c r="E152" i="99"/>
  <c r="H55" i="177"/>
  <c r="D120" i="101" s="1"/>
  <c r="F120" i="101" s="1"/>
  <c r="G120" i="101" s="1"/>
  <c r="E61" i="203"/>
  <c r="D23" i="110"/>
  <c r="D21" i="110" s="1"/>
  <c r="E75" i="106"/>
  <c r="E39" i="201"/>
  <c r="H34" i="201"/>
  <c r="H39" i="201"/>
  <c r="H47" i="201"/>
  <c r="H50" i="201"/>
  <c r="H35" i="201"/>
  <c r="H46" i="201"/>
  <c r="E35" i="201"/>
  <c r="H45" i="201"/>
  <c r="E45" i="201"/>
  <c r="H48" i="201"/>
  <c r="E41" i="201"/>
  <c r="E36" i="201"/>
  <c r="E43" i="201"/>
  <c r="H36" i="201"/>
  <c r="H49" i="201"/>
  <c r="E40" i="201"/>
  <c r="H43" i="201"/>
  <c r="E48" i="201"/>
  <c r="E38" i="201"/>
  <c r="H41" i="201"/>
  <c r="E46" i="201"/>
  <c r="H42" i="201"/>
  <c r="H40" i="201"/>
  <c r="H37" i="177"/>
  <c r="D104" i="135" s="1"/>
  <c r="C22" i="135" s="1"/>
  <c r="H33" i="177"/>
  <c r="D85" i="95" s="1"/>
  <c r="F85" i="95" s="1"/>
  <c r="G85" i="95" s="1"/>
  <c r="D290" i="41" a="1"/>
  <c r="D290" i="41" s="1"/>
  <c r="E290" i="176" s="1"/>
  <c r="I290" i="176" s="1"/>
  <c r="W290" i="41" a="1"/>
  <c r="W290" i="41" s="1"/>
  <c r="AD290" i="176" s="1"/>
  <c r="S290" i="41" a="1"/>
  <c r="S290" i="41" s="1"/>
  <c r="X290" i="176" s="1"/>
  <c r="Q290" i="41" a="1"/>
  <c r="Q290" i="41" s="1"/>
  <c r="V290" i="176" s="1"/>
  <c r="V290" i="41" a="1"/>
  <c r="V290" i="41" s="1"/>
  <c r="AC290" i="176" s="1"/>
  <c r="I290" i="41" a="1"/>
  <c r="I290" i="41" s="1"/>
  <c r="L290" i="176" s="1"/>
  <c r="U290" i="41" a="1"/>
  <c r="U290" i="41" s="1"/>
  <c r="AB290" i="176" s="1"/>
  <c r="R290" i="41" a="1"/>
  <c r="R290" i="41" s="1"/>
  <c r="W290" i="176" s="1"/>
  <c r="P290" i="41" a="1"/>
  <c r="P290" i="41" s="1"/>
  <c r="U290" i="176" s="1"/>
  <c r="L290" i="41" a="1"/>
  <c r="L290" i="41" s="1"/>
  <c r="O290" i="176" s="1"/>
  <c r="F290" i="41" a="1"/>
  <c r="F290" i="41" s="1"/>
  <c r="G290" i="176" s="1"/>
  <c r="K290" i="41" a="1"/>
  <c r="K290" i="41" s="1"/>
  <c r="N290" i="176" s="1"/>
  <c r="A290" i="41"/>
  <c r="J290" i="41" a="1"/>
  <c r="J290" i="41" s="1"/>
  <c r="M290" i="176" s="1"/>
  <c r="G290" i="41" a="1"/>
  <c r="G290" i="41" s="1"/>
  <c r="H290" i="176" s="1"/>
  <c r="N290" i="41" a="1"/>
  <c r="N290" i="41" s="1"/>
  <c r="S290" i="176" s="1"/>
  <c r="D19" i="177"/>
  <c r="E153" i="99"/>
  <c r="G11" i="177"/>
  <c r="E16" i="177"/>
  <c r="C18" i="177"/>
  <c r="H62" i="177"/>
  <c r="D108" i="135" s="1"/>
  <c r="F108" i="135" s="1"/>
  <c r="G108" i="135" s="1"/>
  <c r="H40" i="177"/>
  <c r="D67" i="112" s="1"/>
  <c r="F67" i="112" s="1"/>
  <c r="H38" i="177"/>
  <c r="D66" i="208" s="1"/>
  <c r="F66" i="208" s="1"/>
  <c r="G66" i="208" s="1"/>
  <c r="F9" i="177"/>
  <c r="C8" i="177"/>
  <c r="H64" i="177"/>
  <c r="D72" i="102" s="1"/>
  <c r="F72" i="102" s="1"/>
  <c r="G72" i="102" s="1"/>
  <c r="H57" i="177"/>
  <c r="H53" i="177"/>
  <c r="E8" i="177"/>
  <c r="E15" i="177"/>
  <c r="H61" i="177"/>
  <c r="D71" i="207" s="1"/>
  <c r="C24" i="207" s="1"/>
  <c r="G12" i="177"/>
  <c r="G19" i="177"/>
  <c r="C19" i="177"/>
  <c r="B292" i="41"/>
  <c r="J107" i="177"/>
  <c r="H158" i="177"/>
  <c r="D139" i="110" s="1"/>
  <c r="F139" i="110" s="1"/>
  <c r="D12" i="177"/>
  <c r="H66" i="177"/>
  <c r="D85" i="113" s="1"/>
  <c r="F85" i="113" s="1"/>
  <c r="G85" i="113" s="1"/>
  <c r="F12" i="177"/>
  <c r="F19" i="177"/>
  <c r="H32" i="177"/>
  <c r="H65" i="177"/>
  <c r="D71" i="112" s="1"/>
  <c r="E9" i="177"/>
  <c r="C12" i="177"/>
  <c r="E21" i="177"/>
  <c r="J113" i="177"/>
  <c r="D17" i="177"/>
  <c r="H60" i="177"/>
  <c r="D88" i="105" s="1"/>
  <c r="F88" i="105" s="1"/>
  <c r="G88" i="105" s="1"/>
  <c r="G16" i="177"/>
  <c r="C17" i="177"/>
  <c r="C11" i="177"/>
  <c r="D28" i="113"/>
  <c r="D28" i="106"/>
  <c r="D276" i="41" a="1"/>
  <c r="D276" i="41" s="1"/>
  <c r="E276" i="176" s="1"/>
  <c r="E276" i="41" a="1"/>
  <c r="E276" i="41" s="1"/>
  <c r="F276" i="176" s="1"/>
  <c r="B277" i="41"/>
  <c r="R276" i="41" a="1"/>
  <c r="R276" i="41" s="1"/>
  <c r="W276" i="176" s="1"/>
  <c r="L276" i="41" a="1"/>
  <c r="L276" i="41" s="1"/>
  <c r="O276" i="176" s="1"/>
  <c r="N276" i="41" a="1"/>
  <c r="N276" i="41" s="1"/>
  <c r="S276" i="176" s="1"/>
  <c r="K276" i="41" a="1"/>
  <c r="K276" i="41" s="1"/>
  <c r="N276" i="176" s="1"/>
  <c r="W276" i="41" a="1"/>
  <c r="W276" i="41" s="1"/>
  <c r="AD276" i="176" s="1"/>
  <c r="J276" i="41" a="1"/>
  <c r="J276" i="41" s="1"/>
  <c r="M276" i="176" s="1"/>
  <c r="G276" i="41" a="1"/>
  <c r="G276" i="41" s="1"/>
  <c r="H276" i="176" s="1"/>
  <c r="I276" i="41" a="1"/>
  <c r="I276" i="41" s="1"/>
  <c r="L276" i="176" s="1"/>
  <c r="U276" i="41" a="1"/>
  <c r="U276" i="41" s="1"/>
  <c r="AB276" i="176" s="1"/>
  <c r="A276" i="41"/>
  <c r="V276" i="41" a="1"/>
  <c r="V276" i="41" s="1"/>
  <c r="AC276" i="176" s="1"/>
  <c r="Q276" i="41" a="1"/>
  <c r="Q276" i="41" s="1"/>
  <c r="V276" i="176" s="1"/>
  <c r="S276" i="41" a="1"/>
  <c r="S276" i="41" s="1"/>
  <c r="X276" i="176" s="1"/>
  <c r="P276" i="41" a="1"/>
  <c r="P276" i="41" s="1"/>
  <c r="U276" i="176" s="1"/>
  <c r="F276" i="41" a="1"/>
  <c r="F276" i="41" s="1"/>
  <c r="G276" i="176" s="1"/>
  <c r="G8" i="177"/>
  <c r="C7" i="177"/>
  <c r="H39" i="177"/>
  <c r="D68" i="102" s="1"/>
  <c r="F68" i="102" s="1"/>
  <c r="G68" i="102" s="1"/>
  <c r="G7" i="177"/>
  <c r="D18" i="177"/>
  <c r="F21" i="177"/>
  <c r="E12" i="177"/>
  <c r="D28" i="101"/>
  <c r="D5" i="177"/>
  <c r="G18" i="177"/>
  <c r="H183" i="177"/>
  <c r="D143" i="110" s="1"/>
  <c r="F143" i="110" s="1"/>
  <c r="G143" i="110" s="1"/>
  <c r="C13" i="177"/>
  <c r="E18" i="177"/>
  <c r="E17" i="177"/>
  <c r="E7" i="177"/>
  <c r="A277" i="175"/>
  <c r="B278" i="175"/>
  <c r="E5" i="177"/>
  <c r="F18" i="177"/>
  <c r="G20" i="177"/>
  <c r="C21" i="177"/>
  <c r="G13" i="177"/>
  <c r="F13" i="177"/>
  <c r="D16" i="177"/>
  <c r="G15" i="177"/>
  <c r="H51" i="177"/>
  <c r="D162" i="99" s="1"/>
  <c r="F162" i="99" s="1"/>
  <c r="H67" i="177"/>
  <c r="D84" i="106" s="1"/>
  <c r="F84" i="106" s="1"/>
  <c r="H109" i="177"/>
  <c r="D138" i="110" s="1"/>
  <c r="F138" i="110" s="1"/>
  <c r="G138" i="110" s="1"/>
  <c r="C15" i="177"/>
  <c r="D20" i="177"/>
  <c r="D21" i="177"/>
  <c r="H113" i="177"/>
  <c r="D64" i="208" s="1"/>
  <c r="F64" i="208" s="1"/>
  <c r="E13" i="177"/>
  <c r="D13" i="177"/>
  <c r="G14" i="177"/>
  <c r="C16" i="177"/>
  <c r="E20" i="177"/>
  <c r="H42" i="177"/>
  <c r="D80" i="106" s="1"/>
  <c r="F80" i="106" s="1"/>
  <c r="G80" i="106" s="1"/>
  <c r="E19" i="177"/>
  <c r="J114" i="177"/>
  <c r="C14" i="177"/>
  <c r="D14" i="177"/>
  <c r="H35" i="177"/>
  <c r="D84" i="105" s="1"/>
  <c r="F84" i="105" s="1"/>
  <c r="G84" i="105" s="1"/>
  <c r="H117" i="177"/>
  <c r="D78" i="106" s="1"/>
  <c r="F78" i="106" s="1"/>
  <c r="G78" i="106" s="1"/>
  <c r="J117" i="177"/>
  <c r="H114" i="177"/>
  <c r="D66" i="102" s="1"/>
  <c r="F5" i="177"/>
  <c r="F14" i="177"/>
  <c r="C20" i="177"/>
  <c r="G21" i="177"/>
  <c r="F15" i="177"/>
  <c r="E11" i="177"/>
  <c r="G17" i="177"/>
  <c r="H112" i="177"/>
  <c r="D102" i="135" s="1"/>
  <c r="F102" i="135" s="1"/>
  <c r="H115" i="177"/>
  <c r="D65" i="112" s="1"/>
  <c r="F65" i="112" s="1"/>
  <c r="G5" i="177"/>
  <c r="D8" i="177"/>
  <c r="G9" i="177"/>
  <c r="D11" i="177"/>
  <c r="E14" i="177"/>
  <c r="D15" i="177"/>
  <c r="F17" i="177"/>
  <c r="F11" i="177"/>
  <c r="H58" i="177"/>
  <c r="D89" i="95" s="1"/>
  <c r="H63" i="177"/>
  <c r="D70" i="208" s="1"/>
  <c r="J115" i="177"/>
  <c r="J116" i="177"/>
  <c r="C9" i="177"/>
  <c r="F20" i="177"/>
  <c r="F16" i="177"/>
  <c r="H105" i="177"/>
  <c r="D114" i="101" s="1"/>
  <c r="F114" i="101" s="1"/>
  <c r="G114" i="101" s="1"/>
  <c r="H111" i="177"/>
  <c r="D65" i="207" s="1"/>
  <c r="F65" i="207" s="1"/>
  <c r="D23" i="207" s="1"/>
  <c r="H116" i="177"/>
  <c r="D79" i="113" s="1"/>
  <c r="F79" i="113" s="1"/>
  <c r="D7" i="177"/>
  <c r="F8" i="177"/>
  <c r="J164" i="177"/>
  <c r="H164" i="177"/>
  <c r="D66" i="112" s="1"/>
  <c r="F66" i="112" s="1"/>
  <c r="G66" i="112" s="1"/>
  <c r="J140" i="177"/>
  <c r="H140" i="177"/>
  <c r="D83" i="113" s="1"/>
  <c r="H132" i="177"/>
  <c r="D87" i="95" s="1"/>
  <c r="F87" i="95" s="1"/>
  <c r="G87" i="95" s="1"/>
  <c r="J132" i="177"/>
  <c r="H30" i="177"/>
  <c r="D116" i="101" s="1"/>
  <c r="F116" i="101" s="1"/>
  <c r="G116" i="101" s="1"/>
  <c r="H54" i="177"/>
  <c r="D70" i="203" s="1"/>
  <c r="C24" i="203" s="1"/>
  <c r="H29" i="177"/>
  <c r="D66" i="203" s="1"/>
  <c r="F66" i="203" s="1"/>
  <c r="G66" i="203" s="1"/>
  <c r="H34" i="177"/>
  <c r="D140" i="110" s="1"/>
  <c r="C22" i="110" s="1"/>
  <c r="C21" i="110" s="1"/>
  <c r="H104" i="177"/>
  <c r="D64" i="203" s="1"/>
  <c r="F64" i="203" s="1"/>
  <c r="J158" i="177"/>
  <c r="J138" i="177"/>
  <c r="H138" i="177"/>
  <c r="D70" i="102" s="1"/>
  <c r="F70" i="102" s="1"/>
  <c r="G70" i="102" s="1"/>
  <c r="J166" i="177"/>
  <c r="H166" i="177"/>
  <c r="D79" i="106" s="1"/>
  <c r="F79" i="106" s="1"/>
  <c r="G79" i="106" s="1"/>
  <c r="H153" i="177"/>
  <c r="D65" i="203" s="1"/>
  <c r="J153" i="177"/>
  <c r="H28" i="177"/>
  <c r="J105" i="177"/>
  <c r="H139" i="177"/>
  <c r="D69" i="112" s="1"/>
  <c r="F69" i="112" s="1"/>
  <c r="G69" i="112" s="1"/>
  <c r="J139" i="177"/>
  <c r="H41" i="177"/>
  <c r="D81" i="113" s="1"/>
  <c r="H59" i="177"/>
  <c r="D144" i="110" s="1"/>
  <c r="F144" i="110" s="1"/>
  <c r="G144" i="110" s="1"/>
  <c r="H108" i="177"/>
  <c r="D83" i="95" s="1"/>
  <c r="J109" i="177"/>
  <c r="J111" i="177"/>
  <c r="J110" i="177"/>
  <c r="J112" i="177"/>
  <c r="H107" i="177"/>
  <c r="J179" i="177"/>
  <c r="H179" i="177"/>
  <c r="D119" i="101" s="1"/>
  <c r="F119" i="101" s="1"/>
  <c r="G119" i="101" s="1"/>
  <c r="H154" i="177"/>
  <c r="D115" i="101" s="1"/>
  <c r="J154" i="177"/>
  <c r="J135" i="177"/>
  <c r="H135" i="177"/>
  <c r="D69" i="207" s="1"/>
  <c r="F69" i="207" s="1"/>
  <c r="H161" i="177"/>
  <c r="D103" i="135" s="1"/>
  <c r="J161" i="177"/>
  <c r="H182" i="177"/>
  <c r="D88" i="95" s="1"/>
  <c r="F88" i="95" s="1"/>
  <c r="G88" i="95" s="1"/>
  <c r="J182" i="177"/>
  <c r="H163" i="177"/>
  <c r="D67" i="102" s="1"/>
  <c r="F67" i="102" s="1"/>
  <c r="G67" i="102" s="1"/>
  <c r="J163" i="177"/>
  <c r="J141" i="177"/>
  <c r="H141" i="177"/>
  <c r="D82" i="106" s="1"/>
  <c r="F82" i="106" s="1"/>
  <c r="G82" i="106" s="1"/>
  <c r="H191" i="177"/>
  <c r="D83" i="106" s="1"/>
  <c r="J191" i="177"/>
  <c r="J137" i="177"/>
  <c r="H137" i="177"/>
  <c r="D68" i="208" s="1"/>
  <c r="F68" i="208" s="1"/>
  <c r="H129" i="177"/>
  <c r="D118" i="101" s="1"/>
  <c r="J129" i="177"/>
  <c r="H133" i="177"/>
  <c r="D142" i="110" s="1"/>
  <c r="F142" i="110" s="1"/>
  <c r="G142" i="110" s="1"/>
  <c r="J133" i="177"/>
  <c r="J160" i="177"/>
  <c r="H160" i="177"/>
  <c r="D66" i="207" s="1"/>
  <c r="J181" i="177"/>
  <c r="H181" i="177"/>
  <c r="H184" i="177"/>
  <c r="D87" i="105" s="1"/>
  <c r="F87" i="105" s="1"/>
  <c r="J184" i="177"/>
  <c r="J157" i="177"/>
  <c r="H157" i="177"/>
  <c r="D84" i="95" s="1"/>
  <c r="J185" i="177"/>
  <c r="H185" i="177"/>
  <c r="D70" i="207" s="1"/>
  <c r="F70" i="207" s="1"/>
  <c r="G70" i="207" s="1"/>
  <c r="H190" i="177"/>
  <c r="D84" i="113" s="1"/>
  <c r="F84" i="113" s="1"/>
  <c r="G84" i="113" s="1"/>
  <c r="J190" i="177"/>
  <c r="H150" i="177"/>
  <c r="J150" i="177"/>
  <c r="J188" i="177"/>
  <c r="H188" i="177"/>
  <c r="D71" i="102" s="1"/>
  <c r="F71" i="102" s="1"/>
  <c r="H26" i="177"/>
  <c r="F7" i="177"/>
  <c r="J103" i="177"/>
  <c r="H103" i="177"/>
  <c r="H127" i="177"/>
  <c r="J127" i="177"/>
  <c r="J128" i="177"/>
  <c r="H128" i="177"/>
  <c r="D68" i="203" s="1"/>
  <c r="F68" i="203" s="1"/>
  <c r="G68" i="203" s="1"/>
  <c r="H152" i="177"/>
  <c r="J152" i="177"/>
  <c r="J136" i="177"/>
  <c r="H136" i="177"/>
  <c r="D106" i="135" s="1"/>
  <c r="J159" i="177"/>
  <c r="H159" i="177"/>
  <c r="D83" i="105" s="1"/>
  <c r="H187" i="177"/>
  <c r="D69" i="208" s="1"/>
  <c r="F69" i="208" s="1"/>
  <c r="J187" i="177"/>
  <c r="J165" i="177"/>
  <c r="H165" i="177"/>
  <c r="D80" i="113" s="1"/>
  <c r="J186" i="177"/>
  <c r="H186" i="177"/>
  <c r="D107" i="135" s="1"/>
  <c r="F107" i="135" s="1"/>
  <c r="G107" i="135" s="1"/>
  <c r="C175" i="177"/>
  <c r="C5" i="177" s="1"/>
  <c r="H189" i="177"/>
  <c r="D70" i="112" s="1"/>
  <c r="F70" i="112" s="1"/>
  <c r="G70" i="112" s="1"/>
  <c r="J189" i="177"/>
  <c r="J108" i="177"/>
  <c r="H110" i="177"/>
  <c r="D82" i="105" s="1"/>
  <c r="J104" i="177"/>
  <c r="D9" i="177"/>
  <c r="J178" i="177"/>
  <c r="H178" i="177"/>
  <c r="D69" i="203" s="1"/>
  <c r="J183" i="177"/>
  <c r="H177" i="177"/>
  <c r="J177" i="177"/>
  <c r="J156" i="177"/>
  <c r="H156" i="177"/>
  <c r="H131" i="177"/>
  <c r="J131" i="177"/>
  <c r="H134" i="177"/>
  <c r="D86" i="105" s="1"/>
  <c r="F86" i="105" s="1"/>
  <c r="G86" i="105" s="1"/>
  <c r="J134" i="177"/>
  <c r="J162" i="177"/>
  <c r="H162" i="177"/>
  <c r="D65" i="208" s="1"/>
  <c r="J125" i="177"/>
  <c r="H125" i="177"/>
  <c r="E111" i="101"/>
  <c r="E110" i="101"/>
  <c r="H101" i="177"/>
  <c r="J101" i="177"/>
  <c r="E61" i="112"/>
  <c r="E78" i="105"/>
  <c r="E76" i="113"/>
  <c r="B29" i="137"/>
  <c r="I22" i="137"/>
  <c r="K47" i="201"/>
  <c r="E21" i="110" l="1"/>
  <c r="B64" i="201"/>
  <c r="H29" i="137"/>
  <c r="D22" i="137"/>
  <c r="D23" i="137"/>
  <c r="C29" i="137"/>
  <c r="K50" i="201"/>
  <c r="D24" i="137"/>
  <c r="B31" i="137"/>
  <c r="D30" i="137"/>
  <c r="I21" i="137"/>
  <c r="C51" i="95" l="1"/>
  <c r="C53" i="95" s="1"/>
  <c r="C57" i="95" s="1"/>
  <c r="F67" i="207"/>
  <c r="G67" i="207" s="1"/>
  <c r="A291" i="41"/>
  <c r="R291" i="41" a="1"/>
  <c r="R291" i="41" s="1"/>
  <c r="W291" i="176" s="1"/>
  <c r="J291" i="41" a="1"/>
  <c r="J291" i="41" s="1"/>
  <c r="M291" i="176" s="1"/>
  <c r="C32" i="203"/>
  <c r="C28" i="203"/>
  <c r="Q291" i="41" a="1"/>
  <c r="Q291" i="41" s="1"/>
  <c r="V291" i="176" s="1"/>
  <c r="N291" i="41" a="1"/>
  <c r="N291" i="41" s="1"/>
  <c r="S291" i="176" s="1"/>
  <c r="L291" i="41" a="1"/>
  <c r="L291" i="41" s="1"/>
  <c r="O291" i="176" s="1"/>
  <c r="U291" i="41" a="1"/>
  <c r="U291" i="41" s="1"/>
  <c r="AB291" i="176" s="1"/>
  <c r="C78" i="177" s="1"/>
  <c r="D291" i="41" a="1"/>
  <c r="D291" i="41" s="1"/>
  <c r="E291" i="176" s="1"/>
  <c r="P291" i="41" a="1"/>
  <c r="P291" i="41" s="1"/>
  <c r="U291" i="176" s="1"/>
  <c r="V291" i="41" a="1"/>
  <c r="V291" i="41" s="1"/>
  <c r="AC291" i="176" s="1"/>
  <c r="S291" i="41" a="1"/>
  <c r="S291" i="41" s="1"/>
  <c r="X291" i="176" s="1"/>
  <c r="Z291" i="176" s="1"/>
  <c r="G291" i="41" a="1"/>
  <c r="G291" i="41" s="1"/>
  <c r="H291" i="176" s="1"/>
  <c r="J291" i="176" s="1"/>
  <c r="E291" i="41" a="1"/>
  <c r="E291" i="41" s="1"/>
  <c r="F291" i="176" s="1"/>
  <c r="W291" i="41" a="1"/>
  <c r="W291" i="41" s="1"/>
  <c r="AD291" i="176" s="1"/>
  <c r="F291" i="41" a="1"/>
  <c r="F291" i="41" s="1"/>
  <c r="G291" i="176" s="1"/>
  <c r="K291" i="41" a="1"/>
  <c r="K291" i="41" s="1"/>
  <c r="N291" i="176" s="1"/>
  <c r="B63" i="201"/>
  <c r="J276" i="176"/>
  <c r="A291" i="175"/>
  <c r="B292" i="175"/>
  <c r="F104" i="135"/>
  <c r="G104" i="135" s="1"/>
  <c r="D23" i="135"/>
  <c r="D21" i="135" s="1"/>
  <c r="Y276" i="176"/>
  <c r="D63" i="112"/>
  <c r="F63" i="112" s="1"/>
  <c r="G63" i="112" s="1"/>
  <c r="G67" i="112"/>
  <c r="F135" i="110"/>
  <c r="C28" i="207"/>
  <c r="D79" i="95"/>
  <c r="G64" i="201"/>
  <c r="G65" i="201"/>
  <c r="G71" i="201"/>
  <c r="G62" i="201"/>
  <c r="G58" i="201"/>
  <c r="J5" i="177"/>
  <c r="Q290" i="176"/>
  <c r="F71" i="112"/>
  <c r="G71" i="112" s="1"/>
  <c r="C23" i="112"/>
  <c r="C21" i="112" s="1"/>
  <c r="D62" i="208"/>
  <c r="F62" i="208" s="1"/>
  <c r="G62" i="208" s="1"/>
  <c r="Z290" i="176"/>
  <c r="D100" i="135"/>
  <c r="F100" i="135" s="1"/>
  <c r="G100" i="135" s="1"/>
  <c r="J290" i="176"/>
  <c r="G139" i="110"/>
  <c r="D112" i="101"/>
  <c r="F112" i="101" s="1"/>
  <c r="G112" i="101" s="1"/>
  <c r="D63" i="207"/>
  <c r="F63" i="207" s="1"/>
  <c r="G63" i="207" s="1"/>
  <c r="F71" i="207"/>
  <c r="G71" i="207" s="1"/>
  <c r="P290" i="176"/>
  <c r="E21" i="135"/>
  <c r="Y290" i="176"/>
  <c r="G162" i="99"/>
  <c r="J12" i="177"/>
  <c r="J19" i="177"/>
  <c r="H12" i="177"/>
  <c r="D80" i="105"/>
  <c r="F80" i="105" s="1"/>
  <c r="G80" i="105" s="1"/>
  <c r="G71" i="102"/>
  <c r="P291" i="176"/>
  <c r="D111" i="101"/>
  <c r="H16" i="177"/>
  <c r="L292" i="41" a="1"/>
  <c r="L292" i="41" s="1"/>
  <c r="O292" i="176" s="1"/>
  <c r="F292" i="41" a="1"/>
  <c r="F292" i="41" s="1"/>
  <c r="G292" i="176" s="1"/>
  <c r="G292" i="41" a="1"/>
  <c r="G292" i="41" s="1"/>
  <c r="H292" i="176" s="1"/>
  <c r="D292" i="41" a="1"/>
  <c r="D292" i="41" s="1"/>
  <c r="E292" i="176" s="1"/>
  <c r="J292" i="41" a="1"/>
  <c r="J292" i="41" s="1"/>
  <c r="M292" i="176" s="1"/>
  <c r="B293" i="41"/>
  <c r="K292" i="41" a="1"/>
  <c r="K292" i="41" s="1"/>
  <c r="N292" i="176" s="1"/>
  <c r="N292" i="41" a="1"/>
  <c r="N292" i="41" s="1"/>
  <c r="S292" i="176" s="1"/>
  <c r="V292" i="41" a="1"/>
  <c r="V292" i="41" s="1"/>
  <c r="AC292" i="176" s="1"/>
  <c r="A292" i="41"/>
  <c r="W292" i="41" a="1"/>
  <c r="W292" i="41" s="1"/>
  <c r="AD292" i="176" s="1"/>
  <c r="U292" i="41" a="1"/>
  <c r="U292" i="41" s="1"/>
  <c r="AB292" i="176" s="1"/>
  <c r="R292" i="41" a="1"/>
  <c r="R292" i="41" s="1"/>
  <c r="W292" i="176" s="1"/>
  <c r="P292" i="41" a="1"/>
  <c r="P292" i="41" s="1"/>
  <c r="U292" i="176" s="1"/>
  <c r="Q292" i="41" a="1"/>
  <c r="Q292" i="41" s="1"/>
  <c r="V292" i="176" s="1"/>
  <c r="S292" i="41" a="1"/>
  <c r="S292" i="41" s="1"/>
  <c r="X292" i="176" s="1"/>
  <c r="I292" i="41" a="1"/>
  <c r="I292" i="41" s="1"/>
  <c r="L292" i="176" s="1"/>
  <c r="E292" i="41" a="1"/>
  <c r="E292" i="41" s="1"/>
  <c r="F292" i="176" s="1"/>
  <c r="G64" i="203"/>
  <c r="H9" i="177"/>
  <c r="D81" i="95"/>
  <c r="F81" i="95" s="1"/>
  <c r="G81" i="95" s="1"/>
  <c r="D62" i="102"/>
  <c r="G79" i="113"/>
  <c r="F66" i="102"/>
  <c r="F62" i="102" s="1"/>
  <c r="F83" i="95"/>
  <c r="F79" i="95" s="1"/>
  <c r="F115" i="101"/>
  <c r="G115" i="101" s="1"/>
  <c r="D110" i="101"/>
  <c r="H11" i="177"/>
  <c r="G87" i="105"/>
  <c r="F61" i="207"/>
  <c r="F60" i="203"/>
  <c r="D76" i="106"/>
  <c r="F76" i="106" s="1"/>
  <c r="G76" i="106" s="1"/>
  <c r="J8" i="177"/>
  <c r="H19" i="177"/>
  <c r="J16" i="177"/>
  <c r="J17" i="177"/>
  <c r="G65" i="207"/>
  <c r="F89" i="95"/>
  <c r="D135" i="110"/>
  <c r="J11" i="177"/>
  <c r="H18" i="177"/>
  <c r="D64" i="102"/>
  <c r="F64" i="102" s="1"/>
  <c r="G64" i="102" s="1"/>
  <c r="H15" i="177"/>
  <c r="J13" i="177"/>
  <c r="J18" i="177"/>
  <c r="I276" i="176"/>
  <c r="J14" i="177"/>
  <c r="D98" i="135"/>
  <c r="F23" i="137"/>
  <c r="H8" i="177"/>
  <c r="Q276" i="176"/>
  <c r="D61" i="112"/>
  <c r="D60" i="203"/>
  <c r="F118" i="101"/>
  <c r="G118" i="101" s="1"/>
  <c r="D78" i="105"/>
  <c r="H17" i="177"/>
  <c r="C31" i="110"/>
  <c r="C32" i="110"/>
  <c r="D61" i="207"/>
  <c r="D28" i="110"/>
  <c r="H13" i="177"/>
  <c r="H14" i="177"/>
  <c r="Z276" i="176"/>
  <c r="D60" i="208"/>
  <c r="J7" i="177"/>
  <c r="J21" i="177"/>
  <c r="G84" i="106"/>
  <c r="P276" i="176"/>
  <c r="B278" i="41"/>
  <c r="D277" i="41" a="1"/>
  <c r="D277" i="41" s="1"/>
  <c r="E277" i="176" s="1"/>
  <c r="E277" i="41" a="1"/>
  <c r="E277" i="41" s="1"/>
  <c r="F277" i="176" s="1"/>
  <c r="P277" i="41" a="1"/>
  <c r="P277" i="41" s="1"/>
  <c r="U277" i="176" s="1"/>
  <c r="U277" i="41" a="1"/>
  <c r="U277" i="41" s="1"/>
  <c r="AB277" i="176" s="1"/>
  <c r="C82" i="177" s="1"/>
  <c r="I277" i="41" a="1"/>
  <c r="I277" i="41" s="1"/>
  <c r="L277" i="176" s="1"/>
  <c r="Q277" i="41" a="1"/>
  <c r="Q277" i="41" s="1"/>
  <c r="V277" i="176" s="1"/>
  <c r="R277" i="41" a="1"/>
  <c r="R277" i="41" s="1"/>
  <c r="W277" i="176" s="1"/>
  <c r="N277" i="41" a="1"/>
  <c r="N277" i="41" s="1"/>
  <c r="S277" i="176" s="1"/>
  <c r="A277" i="41"/>
  <c r="S277" i="41" a="1"/>
  <c r="S277" i="41" s="1"/>
  <c r="X277" i="176" s="1"/>
  <c r="L277" i="41" a="1"/>
  <c r="L277" i="41" s="1"/>
  <c r="O277" i="176" s="1"/>
  <c r="W277" i="41" a="1"/>
  <c r="W277" i="41" s="1"/>
  <c r="AD277" i="176" s="1"/>
  <c r="K277" i="41" a="1"/>
  <c r="K277" i="41" s="1"/>
  <c r="N277" i="176" s="1"/>
  <c r="J277" i="41" a="1"/>
  <c r="J277" i="41" s="1"/>
  <c r="M277" i="176" s="1"/>
  <c r="F277" i="41" a="1"/>
  <c r="F277" i="41" s="1"/>
  <c r="G277" i="176" s="1"/>
  <c r="G277" i="41" a="1"/>
  <c r="G277" i="41" s="1"/>
  <c r="H277" i="176" s="1"/>
  <c r="V277" i="41" a="1"/>
  <c r="V277" i="41" s="1"/>
  <c r="AC277" i="176" s="1"/>
  <c r="F134" i="110"/>
  <c r="F82" i="105"/>
  <c r="G82" i="105" s="1"/>
  <c r="D23" i="112"/>
  <c r="D21" i="112" s="1"/>
  <c r="A278" i="175"/>
  <c r="B279" i="175"/>
  <c r="J15" i="177"/>
  <c r="F70" i="208"/>
  <c r="G70" i="208" s="1"/>
  <c r="C23" i="208"/>
  <c r="C21" i="208" s="1"/>
  <c r="H20" i="177"/>
  <c r="J20" i="177"/>
  <c r="H21" i="177"/>
  <c r="F81" i="113"/>
  <c r="G81" i="113" s="1"/>
  <c r="D77" i="113"/>
  <c r="F77" i="113" s="1"/>
  <c r="G77" i="113" s="1"/>
  <c r="F65" i="203"/>
  <c r="G65" i="203" s="1"/>
  <c r="D22" i="203"/>
  <c r="D136" i="110"/>
  <c r="F136" i="110" s="1"/>
  <c r="G136" i="110" s="1"/>
  <c r="F140" i="110"/>
  <c r="G140" i="110" s="1"/>
  <c r="J9" i="177"/>
  <c r="D62" i="203"/>
  <c r="F62" i="203" s="1"/>
  <c r="G62" i="203" s="1"/>
  <c r="F70" i="203"/>
  <c r="G70" i="203" s="1"/>
  <c r="F83" i="113"/>
  <c r="D75" i="113"/>
  <c r="D160" i="99"/>
  <c r="F160" i="99" s="1"/>
  <c r="G160" i="99" s="1"/>
  <c r="H175" i="177"/>
  <c r="J175" i="177"/>
  <c r="F80" i="113"/>
  <c r="D76" i="113"/>
  <c r="F83" i="105"/>
  <c r="D79" i="105"/>
  <c r="F84" i="95"/>
  <c r="D80" i="95"/>
  <c r="D75" i="106"/>
  <c r="F83" i="106"/>
  <c r="D134" i="110"/>
  <c r="F69" i="203"/>
  <c r="D61" i="203"/>
  <c r="D157" i="99"/>
  <c r="F157" i="99" s="1"/>
  <c r="D63" i="102"/>
  <c r="F103" i="135"/>
  <c r="D99" i="135"/>
  <c r="D61" i="208"/>
  <c r="F65" i="208"/>
  <c r="D62" i="207"/>
  <c r="F66" i="207"/>
  <c r="G68" i="208"/>
  <c r="D24" i="208"/>
  <c r="D24" i="207"/>
  <c r="G69" i="207"/>
  <c r="D74" i="106"/>
  <c r="H7" i="177"/>
  <c r="G69" i="208"/>
  <c r="D23" i="208"/>
  <c r="F106" i="135"/>
  <c r="G106" i="135" s="1"/>
  <c r="D158" i="99"/>
  <c r="D62" i="112"/>
  <c r="F74" i="106"/>
  <c r="G64" i="208"/>
  <c r="F60" i="208"/>
  <c r="D156" i="99"/>
  <c r="F156" i="99" s="1"/>
  <c r="D21" i="207"/>
  <c r="H5" i="177"/>
  <c r="F61" i="112"/>
  <c r="G65" i="112"/>
  <c r="F62" i="112"/>
  <c r="F63" i="102"/>
  <c r="G102" i="135"/>
  <c r="F22" i="137"/>
  <c r="C21" i="137"/>
  <c r="B21" i="137"/>
  <c r="D29" i="137"/>
  <c r="C31" i="137"/>
  <c r="B17" i="137"/>
  <c r="G31" i="137"/>
  <c r="G28" i="137"/>
  <c r="I28" i="137"/>
  <c r="H17" i="137"/>
  <c r="H31" i="137"/>
  <c r="I29" i="137"/>
  <c r="Y291" i="176" l="1"/>
  <c r="G135" i="110"/>
  <c r="I291" i="176"/>
  <c r="D20" i="118"/>
  <c r="F20" i="118" s="1"/>
  <c r="H20" i="118" s="1"/>
  <c r="D25" i="118"/>
  <c r="F25" i="118" s="1"/>
  <c r="H25" i="118" s="1"/>
  <c r="D19" i="118"/>
  <c r="F19" i="118" s="1"/>
  <c r="H19" i="118" s="1"/>
  <c r="D27" i="118"/>
  <c r="F27" i="118" s="1"/>
  <c r="H27" i="118" s="1"/>
  <c r="D24" i="118"/>
  <c r="F24" i="118" s="1"/>
  <c r="H24" i="118" s="1"/>
  <c r="D18" i="118"/>
  <c r="F18" i="118" s="1"/>
  <c r="H18" i="118" s="1"/>
  <c r="D16" i="118"/>
  <c r="F16" i="118" s="1"/>
  <c r="H16" i="118" s="1"/>
  <c r="D22" i="118"/>
  <c r="F22" i="118" s="1"/>
  <c r="H22" i="118" s="1"/>
  <c r="D23" i="118"/>
  <c r="F23" i="118" s="1"/>
  <c r="H23" i="118" s="1"/>
  <c r="D15" i="118"/>
  <c r="F15" i="118" s="1"/>
  <c r="H15" i="118" s="1"/>
  <c r="D26" i="118"/>
  <c r="F26" i="118" s="1"/>
  <c r="H26" i="118" s="1"/>
  <c r="D21" i="118"/>
  <c r="F21" i="118" s="1"/>
  <c r="H21" i="118" s="1"/>
  <c r="D28" i="118"/>
  <c r="F28" i="118" s="1"/>
  <c r="H28" i="118" s="1"/>
  <c r="Q291" i="176"/>
  <c r="B69" i="201"/>
  <c r="G69" i="201" s="1"/>
  <c r="N21" i="177"/>
  <c r="L14" i="177"/>
  <c r="C10" i="105" s="1"/>
  <c r="C12" i="105" s="1"/>
  <c r="L16" i="177"/>
  <c r="C10" i="135" s="1"/>
  <c r="C12" i="135" s="1"/>
  <c r="D28" i="207"/>
  <c r="L15" i="177"/>
  <c r="C10" i="207" s="1"/>
  <c r="C32" i="208"/>
  <c r="L7" i="177"/>
  <c r="N19" i="177"/>
  <c r="L18" i="177"/>
  <c r="C10" i="102" s="1"/>
  <c r="C12" i="102" s="1"/>
  <c r="L8" i="177"/>
  <c r="C10" i="203" s="1"/>
  <c r="C12" i="203" s="1"/>
  <c r="N12" i="177"/>
  <c r="N13" i="177"/>
  <c r="N11" i="177"/>
  <c r="N17" i="177"/>
  <c r="B70" i="201"/>
  <c r="E21" i="112"/>
  <c r="C31" i="112"/>
  <c r="A292" i="175"/>
  <c r="B293" i="175"/>
  <c r="P292" i="176"/>
  <c r="C151" i="177" s="1"/>
  <c r="C101" i="95"/>
  <c r="D99" i="95" s="1"/>
  <c r="D27" i="95" s="1"/>
  <c r="C21" i="135"/>
  <c r="C31" i="135" s="1"/>
  <c r="L19" i="177"/>
  <c r="C10" i="112" s="1"/>
  <c r="F4" i="112" s="1"/>
  <c r="G63" i="201"/>
  <c r="L21" i="177"/>
  <c r="C10" i="106" s="1"/>
  <c r="J292" i="176"/>
  <c r="C126" i="177" s="1"/>
  <c r="Z292" i="176"/>
  <c r="C52" i="177" s="1"/>
  <c r="L12" i="177"/>
  <c r="C10" i="95" s="1"/>
  <c r="G83" i="95"/>
  <c r="Q292" i="176"/>
  <c r="C176" i="177" s="1"/>
  <c r="F111" i="101"/>
  <c r="G111" i="101" s="1"/>
  <c r="N18" i="177"/>
  <c r="Y292" i="176"/>
  <c r="C27" i="177" s="1"/>
  <c r="E293" i="41" a="1"/>
  <c r="E293" i="41" s="1"/>
  <c r="F293" i="176" s="1"/>
  <c r="D293" i="41" a="1"/>
  <c r="D293" i="41" s="1"/>
  <c r="E293" i="176" s="1"/>
  <c r="I293" i="41" a="1"/>
  <c r="I293" i="41" s="1"/>
  <c r="L293" i="176" s="1"/>
  <c r="J293" i="41" a="1"/>
  <c r="J293" i="41" s="1"/>
  <c r="M293" i="176" s="1"/>
  <c r="L293" i="41" a="1"/>
  <c r="L293" i="41" s="1"/>
  <c r="O293" i="176" s="1"/>
  <c r="V293" i="41" a="1"/>
  <c r="V293" i="41" s="1"/>
  <c r="AC293" i="176" s="1"/>
  <c r="N293" i="41" a="1"/>
  <c r="N293" i="41" s="1"/>
  <c r="S293" i="176" s="1"/>
  <c r="U293" i="41" a="1"/>
  <c r="U293" i="41" s="1"/>
  <c r="AB293" i="176" s="1"/>
  <c r="W293" i="41" a="1"/>
  <c r="W293" i="41" s="1"/>
  <c r="AD293" i="176" s="1"/>
  <c r="P293" i="41" a="1"/>
  <c r="P293" i="41" s="1"/>
  <c r="U293" i="176" s="1"/>
  <c r="S293" i="41" a="1"/>
  <c r="S293" i="41" s="1"/>
  <c r="X293" i="176" s="1"/>
  <c r="R293" i="41" a="1"/>
  <c r="R293" i="41" s="1"/>
  <c r="W293" i="176" s="1"/>
  <c r="A293" i="41"/>
  <c r="Q293" i="41" a="1"/>
  <c r="Q293" i="41" s="1"/>
  <c r="V293" i="176" s="1"/>
  <c r="B294" i="41"/>
  <c r="G293" i="41" a="1"/>
  <c r="G293" i="41" s="1"/>
  <c r="H293" i="176" s="1"/>
  <c r="K293" i="41" a="1"/>
  <c r="K293" i="41" s="1"/>
  <c r="N293" i="176" s="1"/>
  <c r="Q293" i="176" s="1"/>
  <c r="D176" i="177" s="1"/>
  <c r="F293" i="41" a="1"/>
  <c r="F293" i="41" s="1"/>
  <c r="G293" i="176" s="1"/>
  <c r="I292" i="176"/>
  <c r="C102" i="177" s="1"/>
  <c r="Q11" i="177"/>
  <c r="G62" i="102"/>
  <c r="N16" i="177"/>
  <c r="G61" i="207"/>
  <c r="G60" i="203"/>
  <c r="L11" i="177"/>
  <c r="L13" i="177"/>
  <c r="C10" i="110" s="1"/>
  <c r="F5" i="110" s="1"/>
  <c r="G66" i="102"/>
  <c r="L17" i="177"/>
  <c r="C10" i="208" s="1"/>
  <c r="F110" i="101"/>
  <c r="N7" i="177"/>
  <c r="G89" i="95"/>
  <c r="C12" i="207"/>
  <c r="N8" i="177"/>
  <c r="F78" i="105"/>
  <c r="Y277" i="176"/>
  <c r="N14" i="177"/>
  <c r="P277" i="176"/>
  <c r="G134" i="110"/>
  <c r="F29" i="137"/>
  <c r="I277" i="176"/>
  <c r="D278" i="41" a="1"/>
  <c r="D278" i="41" s="1"/>
  <c r="E278" i="176" s="1"/>
  <c r="E278" i="41" a="1"/>
  <c r="E278" i="41" s="1"/>
  <c r="F278" i="176" s="1"/>
  <c r="F278" i="41" a="1"/>
  <c r="F278" i="41" s="1"/>
  <c r="G278" i="176" s="1"/>
  <c r="B279" i="41"/>
  <c r="G278" i="41" a="1"/>
  <c r="G278" i="41" s="1"/>
  <c r="H278" i="176" s="1"/>
  <c r="I278" i="41" a="1"/>
  <c r="I278" i="41" s="1"/>
  <c r="L278" i="176" s="1"/>
  <c r="J278" i="41" a="1"/>
  <c r="J278" i="41" s="1"/>
  <c r="M278" i="176" s="1"/>
  <c r="K278" i="41" a="1"/>
  <c r="K278" i="41" s="1"/>
  <c r="N278" i="176" s="1"/>
  <c r="L278" i="41" a="1"/>
  <c r="L278" i="41" s="1"/>
  <c r="O278" i="176" s="1"/>
  <c r="S278" i="41" a="1"/>
  <c r="S278" i="41" s="1"/>
  <c r="X278" i="176" s="1"/>
  <c r="Q278" i="41" a="1"/>
  <c r="Q278" i="41" s="1"/>
  <c r="V278" i="176" s="1"/>
  <c r="W278" i="41" a="1"/>
  <c r="W278" i="41" s="1"/>
  <c r="AD278" i="176" s="1"/>
  <c r="V278" i="41" a="1"/>
  <c r="V278" i="41" s="1"/>
  <c r="AC278" i="176" s="1"/>
  <c r="R278" i="41" a="1"/>
  <c r="R278" i="41" s="1"/>
  <c r="W278" i="176" s="1"/>
  <c r="A278" i="41"/>
  <c r="N278" i="41" a="1"/>
  <c r="N278" i="41" s="1"/>
  <c r="S278" i="176" s="1"/>
  <c r="P278" i="41" a="1"/>
  <c r="P278" i="41" s="1"/>
  <c r="U278" i="176" s="1"/>
  <c r="U278" i="41" a="1"/>
  <c r="U278" i="41" s="1"/>
  <c r="AB278" i="176" s="1"/>
  <c r="N15" i="177"/>
  <c r="J277" i="176"/>
  <c r="Z277" i="176"/>
  <c r="G63" i="102"/>
  <c r="Q277" i="176"/>
  <c r="A279" i="175"/>
  <c r="B280" i="175"/>
  <c r="C28" i="208"/>
  <c r="N20" i="177"/>
  <c r="L20" i="177"/>
  <c r="C10" i="113" s="1"/>
  <c r="D28" i="203"/>
  <c r="D21" i="203"/>
  <c r="G83" i="113"/>
  <c r="F75" i="113"/>
  <c r="L9" i="177"/>
  <c r="C10" i="101" s="1"/>
  <c r="N9" i="177"/>
  <c r="D28" i="208"/>
  <c r="D21" i="208"/>
  <c r="C31" i="208" s="1"/>
  <c r="G66" i="207"/>
  <c r="F62" i="207"/>
  <c r="G65" i="208"/>
  <c r="F61" i="208"/>
  <c r="G61" i="208" s="1"/>
  <c r="G80" i="113"/>
  <c r="F76" i="113"/>
  <c r="F158" i="99"/>
  <c r="G158" i="99" s="1"/>
  <c r="D154" i="99"/>
  <c r="F154" i="99" s="1"/>
  <c r="G154" i="99" s="1"/>
  <c r="D14" i="118"/>
  <c r="F14" i="118" s="1"/>
  <c r="H14" i="118" s="1"/>
  <c r="Q7" i="177"/>
  <c r="G103" i="135"/>
  <c r="F99" i="135"/>
  <c r="G99" i="135" s="1"/>
  <c r="D28" i="112"/>
  <c r="G83" i="106"/>
  <c r="F75" i="106"/>
  <c r="G83" i="105"/>
  <c r="F79" i="105"/>
  <c r="G79" i="105" s="1"/>
  <c r="C32" i="207"/>
  <c r="G69" i="203"/>
  <c r="F61" i="203"/>
  <c r="F4" i="203" s="1"/>
  <c r="F98" i="135"/>
  <c r="G84" i="95"/>
  <c r="F80" i="95"/>
  <c r="G80" i="95" s="1"/>
  <c r="D161" i="99"/>
  <c r="F161" i="99" s="1"/>
  <c r="G161" i="99" s="1"/>
  <c r="C31" i="207"/>
  <c r="D28" i="135"/>
  <c r="G74" i="106"/>
  <c r="G79" i="95"/>
  <c r="D152" i="99"/>
  <c r="N5" i="177"/>
  <c r="G60" i="208"/>
  <c r="D12" i="118"/>
  <c r="F12" i="118" s="1"/>
  <c r="G61" i="112"/>
  <c r="G62" i="112"/>
  <c r="D31" i="137"/>
  <c r="D21" i="137"/>
  <c r="B15" i="137"/>
  <c r="C15" i="137"/>
  <c r="I31" i="137"/>
  <c r="I17" i="137"/>
  <c r="F4" i="113" l="1"/>
  <c r="F5" i="135"/>
  <c r="F4" i="102"/>
  <c r="D94" i="95"/>
  <c r="D21" i="95" s="1"/>
  <c r="C31" i="95" s="1"/>
  <c r="F5" i="207"/>
  <c r="D95" i="95"/>
  <c r="D24" i="95" s="1"/>
  <c r="C32" i="95" s="1"/>
  <c r="F5" i="203"/>
  <c r="B59" i="201"/>
  <c r="B72" i="201"/>
  <c r="C12" i="106"/>
  <c r="F4" i="106"/>
  <c r="F5" i="106"/>
  <c r="B294" i="175"/>
  <c r="A293" i="175"/>
  <c r="G110" i="101"/>
  <c r="F5" i="112"/>
  <c r="C12" i="112"/>
  <c r="G70" i="201"/>
  <c r="F5" i="113"/>
  <c r="F5" i="105"/>
  <c r="F4" i="95"/>
  <c r="F4" i="105"/>
  <c r="D28" i="102"/>
  <c r="F5" i="102" s="1"/>
  <c r="C12" i="95"/>
  <c r="F4" i="101"/>
  <c r="F5" i="101"/>
  <c r="Z278" i="176"/>
  <c r="C56" i="177" s="1"/>
  <c r="C72" i="177" s="1"/>
  <c r="C6" i="177"/>
  <c r="G78" i="105"/>
  <c r="P293" i="176"/>
  <c r="D151" i="177" s="1"/>
  <c r="F5" i="208"/>
  <c r="J293" i="176"/>
  <c r="D126" i="177" s="1"/>
  <c r="Y293" i="176"/>
  <c r="D27" i="177" s="1"/>
  <c r="Z293" i="176"/>
  <c r="D52" i="177" s="1"/>
  <c r="I293" i="176"/>
  <c r="D102" i="177" s="1"/>
  <c r="J278" i="176"/>
  <c r="C130" i="177" s="1"/>
  <c r="C146" i="177" s="1"/>
  <c r="F294" i="41" a="1"/>
  <c r="F294" i="41" s="1"/>
  <c r="G294" i="176" s="1"/>
  <c r="L294" i="41" a="1"/>
  <c r="L294" i="41" s="1"/>
  <c r="O294" i="176" s="1"/>
  <c r="P294" i="41" a="1"/>
  <c r="P294" i="41" s="1"/>
  <c r="U294" i="176" s="1"/>
  <c r="G294" i="41" a="1"/>
  <c r="G294" i="41" s="1"/>
  <c r="H294" i="176" s="1"/>
  <c r="W294" i="41" a="1"/>
  <c r="W294" i="41" s="1"/>
  <c r="AD294" i="176" s="1"/>
  <c r="N294" i="41" a="1"/>
  <c r="N294" i="41" s="1"/>
  <c r="S294" i="176" s="1"/>
  <c r="I294" i="41" a="1"/>
  <c r="I294" i="41" s="1"/>
  <c r="L294" i="176" s="1"/>
  <c r="Q294" i="41" a="1"/>
  <c r="Q294" i="41" s="1"/>
  <c r="V294" i="176" s="1"/>
  <c r="D294" i="41" a="1"/>
  <c r="D294" i="41" s="1"/>
  <c r="E294" i="176" s="1"/>
  <c r="R294" i="41" a="1"/>
  <c r="R294" i="41" s="1"/>
  <c r="W294" i="176" s="1"/>
  <c r="B295" i="41"/>
  <c r="E294" i="41" a="1"/>
  <c r="E294" i="41" s="1"/>
  <c r="F294" i="176" s="1"/>
  <c r="V294" i="41" a="1"/>
  <c r="V294" i="41" s="1"/>
  <c r="AC294" i="176" s="1"/>
  <c r="J294" i="41" a="1"/>
  <c r="J294" i="41" s="1"/>
  <c r="M294" i="176" s="1"/>
  <c r="S294" i="41" a="1"/>
  <c r="S294" i="41" s="1"/>
  <c r="X294" i="176" s="1"/>
  <c r="U294" i="41" a="1"/>
  <c r="U294" i="41" s="1"/>
  <c r="AB294" i="176" s="1"/>
  <c r="K294" i="41" a="1"/>
  <c r="K294" i="41" s="1"/>
  <c r="N294" i="176" s="1"/>
  <c r="A294" i="41"/>
  <c r="Q278" i="176"/>
  <c r="C180" i="177" s="1"/>
  <c r="C196" i="177" s="1"/>
  <c r="C12" i="110"/>
  <c r="F4" i="110"/>
  <c r="C12" i="208"/>
  <c r="F4" i="208"/>
  <c r="F4" i="207"/>
  <c r="P278" i="176"/>
  <c r="C155" i="177" s="1"/>
  <c r="C171" i="177" s="1"/>
  <c r="I278" i="176"/>
  <c r="C106" i="177" s="1"/>
  <c r="C122" i="177" s="1"/>
  <c r="F279" i="41" a="1"/>
  <c r="F279" i="41" s="1"/>
  <c r="G279" i="176" s="1"/>
  <c r="G279" i="41" a="1"/>
  <c r="G279" i="41" s="1"/>
  <c r="H279" i="176" s="1"/>
  <c r="I279" i="41" a="1"/>
  <c r="I279" i="41" s="1"/>
  <c r="L279" i="176" s="1"/>
  <c r="D279" i="41" a="1"/>
  <c r="D279" i="41" s="1"/>
  <c r="E279" i="176" s="1"/>
  <c r="J279" i="41" a="1"/>
  <c r="J279" i="41" s="1"/>
  <c r="M279" i="176" s="1"/>
  <c r="E279" i="41" a="1"/>
  <c r="E279" i="41" s="1"/>
  <c r="F279" i="176" s="1"/>
  <c r="K279" i="41" a="1"/>
  <c r="K279" i="41" s="1"/>
  <c r="N279" i="176" s="1"/>
  <c r="B280" i="41"/>
  <c r="L279" i="41" a="1"/>
  <c r="L279" i="41" s="1"/>
  <c r="O279" i="176" s="1"/>
  <c r="S279" i="41" a="1"/>
  <c r="S279" i="41" s="1"/>
  <c r="X279" i="176" s="1"/>
  <c r="R279" i="41" a="1"/>
  <c r="R279" i="41" s="1"/>
  <c r="W279" i="176" s="1"/>
  <c r="W279" i="41" a="1"/>
  <c r="W279" i="41" s="1"/>
  <c r="AD279" i="176" s="1"/>
  <c r="Q279" i="41" a="1"/>
  <c r="Q279" i="41" s="1"/>
  <c r="V279" i="176" s="1"/>
  <c r="P279" i="41" a="1"/>
  <c r="P279" i="41" s="1"/>
  <c r="U279" i="176" s="1"/>
  <c r="N279" i="41" a="1"/>
  <c r="N279" i="41" s="1"/>
  <c r="S279" i="176" s="1"/>
  <c r="A279" i="41"/>
  <c r="V279" i="41" a="1"/>
  <c r="V279" i="41" s="1"/>
  <c r="AC279" i="176" s="1"/>
  <c r="U279" i="41" a="1"/>
  <c r="U279" i="41" s="1"/>
  <c r="AB279" i="176" s="1"/>
  <c r="F4" i="135"/>
  <c r="Y278" i="176"/>
  <c r="A280" i="175"/>
  <c r="B281" i="175"/>
  <c r="C12" i="113"/>
  <c r="G75" i="113"/>
  <c r="C31" i="203"/>
  <c r="C12" i="101"/>
  <c r="D153" i="99"/>
  <c r="G98" i="135"/>
  <c r="G75" i="106"/>
  <c r="F153" i="99"/>
  <c r="G157" i="99"/>
  <c r="G76" i="113"/>
  <c r="G62" i="207"/>
  <c r="G61" i="203"/>
  <c r="D15" i="137"/>
  <c r="C27" i="137"/>
  <c r="D27" i="137"/>
  <c r="G57" i="201" l="1"/>
  <c r="D28" i="95"/>
  <c r="F5" i="95" s="1"/>
  <c r="D100" i="95"/>
  <c r="A294" i="175"/>
  <c r="B295" i="175"/>
  <c r="G72" i="201"/>
  <c r="G59" i="201"/>
  <c r="D6" i="177"/>
  <c r="Q294" i="176"/>
  <c r="E176" i="177" s="1"/>
  <c r="I294" i="176"/>
  <c r="E102" i="177" s="1"/>
  <c r="J294" i="176"/>
  <c r="E126" i="177" s="1"/>
  <c r="J295" i="41" a="1"/>
  <c r="J295" i="41" s="1"/>
  <c r="M295" i="176" s="1"/>
  <c r="Q295" i="41" a="1"/>
  <c r="Q295" i="41" s="1"/>
  <c r="V295" i="176" s="1"/>
  <c r="K295" i="41" a="1"/>
  <c r="K295" i="41" s="1"/>
  <c r="N295" i="176" s="1"/>
  <c r="N295" i="41" a="1"/>
  <c r="N295" i="41" s="1"/>
  <c r="S295" i="176" s="1"/>
  <c r="L295" i="41" a="1"/>
  <c r="L295" i="41" s="1"/>
  <c r="O295" i="176" s="1"/>
  <c r="P295" i="41" a="1"/>
  <c r="P295" i="41" s="1"/>
  <c r="U295" i="176" s="1"/>
  <c r="D295" i="41" a="1"/>
  <c r="D295" i="41" s="1"/>
  <c r="E295" i="176" s="1"/>
  <c r="V295" i="41" a="1"/>
  <c r="V295" i="41" s="1"/>
  <c r="AC295" i="176" s="1"/>
  <c r="E295" i="41" a="1"/>
  <c r="E295" i="41" s="1"/>
  <c r="F295" i="176" s="1"/>
  <c r="R295" i="41" a="1"/>
  <c r="R295" i="41" s="1"/>
  <c r="W295" i="176" s="1"/>
  <c r="B296" i="41"/>
  <c r="F295" i="41" a="1"/>
  <c r="F295" i="41" s="1"/>
  <c r="G295" i="176" s="1"/>
  <c r="S295" i="41" a="1"/>
  <c r="S295" i="41" s="1"/>
  <c r="X295" i="176" s="1"/>
  <c r="G295" i="41" a="1"/>
  <c r="G295" i="41" s="1"/>
  <c r="H295" i="176" s="1"/>
  <c r="U295" i="41" a="1"/>
  <c r="U295" i="41" s="1"/>
  <c r="AB295" i="176" s="1"/>
  <c r="A295" i="41"/>
  <c r="I295" i="41" a="1"/>
  <c r="I295" i="41" s="1"/>
  <c r="L295" i="176" s="1"/>
  <c r="P295" i="176" s="1"/>
  <c r="F151" i="177" s="1"/>
  <c r="W295" i="41" a="1"/>
  <c r="W295" i="41" s="1"/>
  <c r="AD295" i="176" s="1"/>
  <c r="Y294" i="176"/>
  <c r="E27" i="177" s="1"/>
  <c r="Z294" i="176"/>
  <c r="E52" i="177" s="1"/>
  <c r="P294" i="176"/>
  <c r="E151" i="177" s="1"/>
  <c r="C10" i="177"/>
  <c r="C22" i="177" s="1"/>
  <c r="Z279" i="176"/>
  <c r="D56" i="177" s="1"/>
  <c r="J279" i="176"/>
  <c r="D130" i="177" s="1"/>
  <c r="D146" i="177" s="1"/>
  <c r="Y279" i="176"/>
  <c r="D31" i="177" s="1"/>
  <c r="D47" i="177" s="1"/>
  <c r="G153" i="99"/>
  <c r="I279" i="176"/>
  <c r="D106" i="177" s="1"/>
  <c r="D122" i="177" s="1"/>
  <c r="P279" i="176"/>
  <c r="D155" i="177" s="1"/>
  <c r="D171" i="177" s="1"/>
  <c r="C31" i="177"/>
  <c r="E280" i="41" a="1"/>
  <c r="E280" i="41" s="1"/>
  <c r="F280" i="176" s="1"/>
  <c r="F280" i="41" a="1"/>
  <c r="F280" i="41" s="1"/>
  <c r="G280" i="176" s="1"/>
  <c r="B281" i="41"/>
  <c r="G280" i="41" a="1"/>
  <c r="G280" i="41" s="1"/>
  <c r="H280" i="176" s="1"/>
  <c r="I280" i="41" a="1"/>
  <c r="I280" i="41" s="1"/>
  <c r="L280" i="176" s="1"/>
  <c r="J280" i="41" a="1"/>
  <c r="J280" i="41" s="1"/>
  <c r="M280" i="176" s="1"/>
  <c r="K280" i="41" a="1"/>
  <c r="K280" i="41" s="1"/>
  <c r="N280" i="176" s="1"/>
  <c r="L280" i="41" a="1"/>
  <c r="L280" i="41" s="1"/>
  <c r="O280" i="176" s="1"/>
  <c r="D280" i="41" a="1"/>
  <c r="D280" i="41" s="1"/>
  <c r="E280" i="176" s="1"/>
  <c r="N280" i="41" a="1"/>
  <c r="N280" i="41" s="1"/>
  <c r="S280" i="176" s="1"/>
  <c r="Q280" i="41" a="1"/>
  <c r="Q280" i="41" s="1"/>
  <c r="V280" i="176" s="1"/>
  <c r="U280" i="41" a="1"/>
  <c r="U280" i="41" s="1"/>
  <c r="AB280" i="176" s="1"/>
  <c r="P280" i="41" a="1"/>
  <c r="P280" i="41" s="1"/>
  <c r="U280" i="176" s="1"/>
  <c r="R280" i="41" a="1"/>
  <c r="R280" i="41" s="1"/>
  <c r="W280" i="176" s="1"/>
  <c r="S280" i="41" a="1"/>
  <c r="S280" i="41" s="1"/>
  <c r="X280" i="176" s="1"/>
  <c r="W280" i="41" a="1"/>
  <c r="W280" i="41" s="1"/>
  <c r="AD280" i="176" s="1"/>
  <c r="A280" i="41"/>
  <c r="V280" i="41" a="1"/>
  <c r="V280" i="41" s="1"/>
  <c r="AC280" i="176" s="1"/>
  <c r="Q279" i="176"/>
  <c r="A281" i="175"/>
  <c r="B282" i="175"/>
  <c r="A282" i="175" s="1"/>
  <c r="F15" i="137"/>
  <c r="F27" i="137"/>
  <c r="H27" i="137"/>
  <c r="I280" i="176" l="1"/>
  <c r="E106" i="177" s="1"/>
  <c r="Y295" i="176"/>
  <c r="F27" i="177" s="1"/>
  <c r="B296" i="175"/>
  <c r="A296" i="175" s="1"/>
  <c r="A295" i="175"/>
  <c r="I295" i="176"/>
  <c r="F102" i="177" s="1"/>
  <c r="E6" i="177"/>
  <c r="J295" i="176"/>
  <c r="F126" i="177" s="1"/>
  <c r="J296" i="41" a="1"/>
  <c r="J296" i="41" s="1"/>
  <c r="M296" i="176" s="1"/>
  <c r="Q296" i="41" a="1"/>
  <c r="Q296" i="41" s="1"/>
  <c r="V296" i="176" s="1"/>
  <c r="S296" i="41" a="1"/>
  <c r="S296" i="41" s="1"/>
  <c r="X296" i="176" s="1"/>
  <c r="D296" i="41" a="1"/>
  <c r="D296" i="41" s="1"/>
  <c r="E296" i="176" s="1"/>
  <c r="A296" i="41"/>
  <c r="K296" i="41" a="1"/>
  <c r="K296" i="41" s="1"/>
  <c r="N296" i="176" s="1"/>
  <c r="N296" i="41" a="1"/>
  <c r="N296" i="41" s="1"/>
  <c r="S296" i="176" s="1"/>
  <c r="M6" i="177" s="1"/>
  <c r="E296" i="41" a="1"/>
  <c r="E296" i="41" s="1"/>
  <c r="F296" i="176" s="1"/>
  <c r="U296" i="41" a="1"/>
  <c r="U296" i="41" s="1"/>
  <c r="AB296" i="176" s="1"/>
  <c r="D78" i="177" s="1"/>
  <c r="L296" i="41" a="1"/>
  <c r="L296" i="41" s="1"/>
  <c r="O296" i="176" s="1"/>
  <c r="V296" i="41" a="1"/>
  <c r="V296" i="41" s="1"/>
  <c r="AC296" i="176" s="1"/>
  <c r="E78" i="177" s="1"/>
  <c r="F296" i="41" a="1"/>
  <c r="F296" i="41" s="1"/>
  <c r="G296" i="176" s="1"/>
  <c r="P296" i="41" a="1"/>
  <c r="P296" i="41" s="1"/>
  <c r="U296" i="176" s="1"/>
  <c r="G296" i="41" a="1"/>
  <c r="G296" i="41" s="1"/>
  <c r="H296" i="176" s="1"/>
  <c r="W296" i="41" a="1"/>
  <c r="W296" i="41" s="1"/>
  <c r="AD296" i="176" s="1"/>
  <c r="F78" i="177" s="1"/>
  <c r="I296" i="41" a="1"/>
  <c r="I296" i="41" s="1"/>
  <c r="L296" i="176" s="1"/>
  <c r="R296" i="41" a="1"/>
  <c r="R296" i="41" s="1"/>
  <c r="W296" i="176" s="1"/>
  <c r="Q295" i="176"/>
  <c r="F176" i="177" s="1"/>
  <c r="Z295" i="176"/>
  <c r="F52" i="177" s="1"/>
  <c r="Z280" i="176"/>
  <c r="E56" i="177" s="1"/>
  <c r="E72" i="177" s="1"/>
  <c r="Y280" i="176"/>
  <c r="E31" i="177" s="1"/>
  <c r="E47" i="177" s="1"/>
  <c r="P280" i="176"/>
  <c r="C47" i="177"/>
  <c r="I281" i="41" a="1"/>
  <c r="I281" i="41" s="1"/>
  <c r="L281" i="176" s="1"/>
  <c r="J281" i="41" a="1"/>
  <c r="J281" i="41" s="1"/>
  <c r="M281" i="176" s="1"/>
  <c r="D281" i="41" a="1"/>
  <c r="D281" i="41" s="1"/>
  <c r="E281" i="176" s="1"/>
  <c r="K281" i="41" a="1"/>
  <c r="K281" i="41" s="1"/>
  <c r="N281" i="176" s="1"/>
  <c r="E281" i="41" a="1"/>
  <c r="E281" i="41" s="1"/>
  <c r="F281" i="176" s="1"/>
  <c r="L281" i="41" a="1"/>
  <c r="L281" i="41" s="1"/>
  <c r="O281" i="176" s="1"/>
  <c r="B282" i="41"/>
  <c r="F281" i="41" a="1"/>
  <c r="F281" i="41" s="1"/>
  <c r="G281" i="176" s="1"/>
  <c r="G281" i="41" a="1"/>
  <c r="G281" i="41" s="1"/>
  <c r="H281" i="176" s="1"/>
  <c r="Q281" i="41" a="1"/>
  <c r="Q281" i="41" s="1"/>
  <c r="V281" i="176" s="1"/>
  <c r="U281" i="41" a="1"/>
  <c r="U281" i="41" s="1"/>
  <c r="AB281" i="176" s="1"/>
  <c r="A281" i="41"/>
  <c r="S281" i="41" a="1"/>
  <c r="S281" i="41" s="1"/>
  <c r="X281" i="176" s="1"/>
  <c r="R281" i="41" a="1"/>
  <c r="R281" i="41" s="1"/>
  <c r="W281" i="176" s="1"/>
  <c r="W281" i="41" a="1"/>
  <c r="W281" i="41" s="1"/>
  <c r="AD281" i="176" s="1"/>
  <c r="N281" i="41" a="1"/>
  <c r="N281" i="41" s="1"/>
  <c r="S281" i="176" s="1"/>
  <c r="V281" i="41" a="1"/>
  <c r="V281" i="41" s="1"/>
  <c r="AC281" i="176" s="1"/>
  <c r="P281" i="41" a="1"/>
  <c r="P281" i="41" s="1"/>
  <c r="U281" i="176" s="1"/>
  <c r="Y281" i="176" s="1"/>
  <c r="F31" i="177" s="1"/>
  <c r="F47" i="177" s="1"/>
  <c r="J280" i="176"/>
  <c r="E122" i="177"/>
  <c r="D180" i="177"/>
  <c r="D72" i="177"/>
  <c r="Q280" i="176"/>
  <c r="E180" i="177" s="1"/>
  <c r="E196" i="177" s="1"/>
  <c r="I32" i="137"/>
  <c r="C60" i="201" l="1"/>
  <c r="C61" i="201"/>
  <c r="C57" i="201"/>
  <c r="Z296" i="176"/>
  <c r="G52" i="177" s="1"/>
  <c r="H52" i="177" s="1"/>
  <c r="F37" i="201"/>
  <c r="C37" i="201"/>
  <c r="C62" i="201"/>
  <c r="D62" i="201" s="1"/>
  <c r="F62" i="201" s="1"/>
  <c r="C66" i="201"/>
  <c r="D66" i="201" s="1"/>
  <c r="F66" i="201" s="1"/>
  <c r="C70" i="201"/>
  <c r="D70" i="201" s="1"/>
  <c r="F70" i="201" s="1"/>
  <c r="C59" i="201"/>
  <c r="D59" i="201" s="1"/>
  <c r="F59" i="201" s="1"/>
  <c r="L36" i="201" s="1"/>
  <c r="C65" i="201"/>
  <c r="D65" i="201" s="1"/>
  <c r="F65" i="201" s="1"/>
  <c r="C69" i="201"/>
  <c r="D69" i="201" s="1"/>
  <c r="F69" i="201" s="1"/>
  <c r="L47" i="201" s="1"/>
  <c r="C58" i="201"/>
  <c r="C64" i="201"/>
  <c r="D64" i="201" s="1"/>
  <c r="F64" i="201" s="1"/>
  <c r="C68" i="201"/>
  <c r="D68" i="201" s="1"/>
  <c r="F68" i="201" s="1"/>
  <c r="L45" i="201" s="1"/>
  <c r="C72" i="201"/>
  <c r="D72" i="201" s="1"/>
  <c r="F72" i="201" s="1"/>
  <c r="C63" i="201"/>
  <c r="D63" i="201" s="1"/>
  <c r="F63" i="201" s="1"/>
  <c r="C67" i="201"/>
  <c r="D67" i="201" s="1"/>
  <c r="F67" i="201" s="1"/>
  <c r="C71" i="201"/>
  <c r="D71" i="201" s="1"/>
  <c r="F71" i="201" s="1"/>
  <c r="C73" i="201"/>
  <c r="D73" i="201" s="1"/>
  <c r="F73" i="201" s="1"/>
  <c r="L46" i="201" s="1"/>
  <c r="P296" i="176"/>
  <c r="G151" i="177" s="1"/>
  <c r="J151" i="177" s="1"/>
  <c r="J296" i="176"/>
  <c r="G126" i="177" s="1"/>
  <c r="H126" i="177" s="1"/>
  <c r="I296" i="176"/>
  <c r="G102" i="177" s="1"/>
  <c r="H102" i="177" s="1"/>
  <c r="Q296" i="176"/>
  <c r="G176" i="177" s="1"/>
  <c r="H176" i="177" s="1"/>
  <c r="Y296" i="176"/>
  <c r="G27" i="177" s="1"/>
  <c r="H27" i="177" s="1"/>
  <c r="F6" i="177"/>
  <c r="Z281" i="176"/>
  <c r="F56" i="177" s="1"/>
  <c r="F72" i="177" s="1"/>
  <c r="Q281" i="176"/>
  <c r="F180" i="177" s="1"/>
  <c r="F196" i="177" s="1"/>
  <c r="D196" i="177"/>
  <c r="D10" i="177"/>
  <c r="J282" i="41" a="1"/>
  <c r="J282" i="41" s="1"/>
  <c r="M282" i="176" s="1"/>
  <c r="K282" i="41" a="1"/>
  <c r="K282" i="41" s="1"/>
  <c r="N282" i="176" s="1"/>
  <c r="F282" i="41" a="1"/>
  <c r="F282" i="41" s="1"/>
  <c r="G282" i="176" s="1"/>
  <c r="L282" i="41" a="1"/>
  <c r="L282" i="41" s="1"/>
  <c r="O282" i="176" s="1"/>
  <c r="D282" i="41" a="1"/>
  <c r="D282" i="41" s="1"/>
  <c r="E282" i="176" s="1"/>
  <c r="G282" i="41" a="1"/>
  <c r="G282" i="41" s="1"/>
  <c r="H282" i="176" s="1"/>
  <c r="E282" i="41" a="1"/>
  <c r="E282" i="41" s="1"/>
  <c r="F282" i="176" s="1"/>
  <c r="I282" i="41" a="1"/>
  <c r="I282" i="41" s="1"/>
  <c r="L282" i="176" s="1"/>
  <c r="R282" i="41" a="1"/>
  <c r="R282" i="41" s="1"/>
  <c r="W282" i="176" s="1"/>
  <c r="S282" i="41" a="1"/>
  <c r="S282" i="41" s="1"/>
  <c r="X282" i="176" s="1"/>
  <c r="A282" i="41"/>
  <c r="Q282" i="41" a="1"/>
  <c r="Q282" i="41" s="1"/>
  <c r="V282" i="176" s="1"/>
  <c r="U282" i="41" a="1"/>
  <c r="U282" i="41" s="1"/>
  <c r="AB282" i="176" s="1"/>
  <c r="P282" i="41" a="1"/>
  <c r="P282" i="41" s="1"/>
  <c r="U282" i="176" s="1"/>
  <c r="V282" i="41" a="1"/>
  <c r="V282" i="41" s="1"/>
  <c r="AC282" i="176" s="1"/>
  <c r="N282" i="41" a="1"/>
  <c r="N282" i="41" s="1"/>
  <c r="S282" i="176" s="1"/>
  <c r="W282" i="41" a="1"/>
  <c r="W282" i="41" s="1"/>
  <c r="AD282" i="176" s="1"/>
  <c r="I281" i="176"/>
  <c r="F106" i="177" s="1"/>
  <c r="P281" i="176"/>
  <c r="F155" i="177" s="1"/>
  <c r="F171" i="177" s="1"/>
  <c r="E155" i="177"/>
  <c r="E130" i="177"/>
  <c r="J281" i="176"/>
  <c r="F130" i="177" s="1"/>
  <c r="F146" i="177" s="1"/>
  <c r="B4" i="137"/>
  <c r="D32" i="106" s="1"/>
  <c r="D58" i="201" l="1"/>
  <c r="F58" i="201" s="1"/>
  <c r="L35" i="201" s="1"/>
  <c r="D57" i="201"/>
  <c r="F57" i="201" s="1"/>
  <c r="L34" i="201" s="1"/>
  <c r="D61" i="201"/>
  <c r="F61" i="201"/>
  <c r="L38" i="201" s="1"/>
  <c r="F60" i="201"/>
  <c r="L37" i="201" s="1"/>
  <c r="D60" i="201"/>
  <c r="D32" i="112"/>
  <c r="D32" i="113"/>
  <c r="D32" i="208"/>
  <c r="D32" i="102"/>
  <c r="D32" i="105"/>
  <c r="D32" i="135"/>
  <c r="D32" i="95"/>
  <c r="D32" i="101"/>
  <c r="D32" i="99"/>
  <c r="H37" i="201"/>
  <c r="E37" i="201"/>
  <c r="L42" i="201"/>
  <c r="L44" i="201"/>
  <c r="L43" i="201"/>
  <c r="L40" i="201"/>
  <c r="L50" i="201"/>
  <c r="L49" i="201"/>
  <c r="L41" i="201"/>
  <c r="L48" i="201"/>
  <c r="L39" i="201"/>
  <c r="H151" i="177"/>
  <c r="J126" i="177"/>
  <c r="J102" i="177"/>
  <c r="G6" i="177"/>
  <c r="J6" i="177" s="1"/>
  <c r="J176" i="177"/>
  <c r="Z282" i="176"/>
  <c r="Z297" i="176" s="1"/>
  <c r="Y282" i="176"/>
  <c r="G31" i="177" s="1"/>
  <c r="E171" i="177"/>
  <c r="S297" i="176"/>
  <c r="M10" i="177"/>
  <c r="M22" i="177" s="1"/>
  <c r="P282" i="176"/>
  <c r="D22" i="177"/>
  <c r="F82" i="177"/>
  <c r="AD297" i="176"/>
  <c r="E82" i="177"/>
  <c r="AC297" i="176"/>
  <c r="E146" i="177"/>
  <c r="E10" i="177"/>
  <c r="F10" i="177"/>
  <c r="F22" i="177" s="1"/>
  <c r="F122" i="177"/>
  <c r="D82" i="177"/>
  <c r="AB297" i="176"/>
  <c r="AB302" i="176" s="1"/>
  <c r="AB304" i="176" s="1"/>
  <c r="I282" i="176"/>
  <c r="J282" i="176"/>
  <c r="G130" i="177" s="1"/>
  <c r="G146" i="177" s="1"/>
  <c r="G56" i="177"/>
  <c r="Q282" i="176"/>
  <c r="D32" i="110"/>
  <c r="D32" i="205"/>
  <c r="D32" i="203"/>
  <c r="D32" i="207"/>
  <c r="Y297" i="176" l="1"/>
  <c r="C44" i="201"/>
  <c r="F44" i="201"/>
  <c r="H44" i="201" s="1"/>
  <c r="G34" i="201" s="1"/>
  <c r="L6" i="177"/>
  <c r="N6" i="177"/>
  <c r="H6" i="177"/>
  <c r="E22" i="177"/>
  <c r="G47" i="177"/>
  <c r="H31" i="177"/>
  <c r="J130" i="177"/>
  <c r="J146" i="177" s="1"/>
  <c r="G155" i="177"/>
  <c r="P297" i="176"/>
  <c r="H130" i="177"/>
  <c r="J297" i="176"/>
  <c r="G72" i="177"/>
  <c r="H56" i="177"/>
  <c r="G180" i="177"/>
  <c r="Q297" i="176"/>
  <c r="G106" i="177"/>
  <c r="I297" i="176"/>
  <c r="E44" i="201" l="1"/>
  <c r="D34" i="201" s="1"/>
  <c r="Q6" i="177"/>
  <c r="Q22" i="177" s="1"/>
  <c r="D13" i="118"/>
  <c r="F13" i="118" s="1"/>
  <c r="H13" i="118" s="1"/>
  <c r="G196" i="177"/>
  <c r="H180" i="177"/>
  <c r="J180" i="177"/>
  <c r="J196" i="177" s="1"/>
  <c r="G171" i="177"/>
  <c r="J155" i="177"/>
  <c r="J171" i="177" s="1"/>
  <c r="H155" i="177"/>
  <c r="D77" i="205"/>
  <c r="H47" i="177"/>
  <c r="G10" i="177"/>
  <c r="G122" i="177"/>
  <c r="J106" i="177"/>
  <c r="J122" i="177" s="1"/>
  <c r="H106" i="177"/>
  <c r="D81" i="205"/>
  <c r="F81" i="205" s="1"/>
  <c r="G81" i="205" s="1"/>
  <c r="H72" i="177"/>
  <c r="D79" i="205"/>
  <c r="F79" i="205" s="1"/>
  <c r="G79" i="205" s="1"/>
  <c r="H146" i="177"/>
  <c r="J99" i="177" l="1"/>
  <c r="D50" i="201"/>
  <c r="G35" i="201"/>
  <c r="J35" i="201" s="1"/>
  <c r="G38" i="201"/>
  <c r="J38" i="201" s="1"/>
  <c r="G43" i="201"/>
  <c r="J43" i="201" s="1"/>
  <c r="G47" i="201"/>
  <c r="J47" i="201" s="1"/>
  <c r="G37" i="201"/>
  <c r="J37" i="201" s="1"/>
  <c r="G40" i="201"/>
  <c r="J40" i="201" s="1"/>
  <c r="G50" i="201"/>
  <c r="J50" i="201" s="1"/>
  <c r="G44" i="201"/>
  <c r="J44" i="201" s="1"/>
  <c r="G39" i="201"/>
  <c r="J39" i="201" s="1"/>
  <c r="G49" i="201"/>
  <c r="J49" i="201" s="1"/>
  <c r="J34" i="201"/>
  <c r="G45" i="201"/>
  <c r="J45" i="201" s="1"/>
  <c r="G46" i="201"/>
  <c r="J46" i="201" s="1"/>
  <c r="G36" i="201"/>
  <c r="J36" i="201" s="1"/>
  <c r="G41" i="201"/>
  <c r="J41" i="201" s="1"/>
  <c r="G48" i="201"/>
  <c r="J48" i="201" s="1"/>
  <c r="G42" i="201"/>
  <c r="J42" i="201" s="1"/>
  <c r="D48" i="201"/>
  <c r="D41" i="201"/>
  <c r="D46" i="201"/>
  <c r="D44" i="201"/>
  <c r="I44" i="201" s="1"/>
  <c r="D40" i="201"/>
  <c r="D45" i="201"/>
  <c r="D42" i="201"/>
  <c r="D47" i="201"/>
  <c r="D49" i="201"/>
  <c r="D39" i="201"/>
  <c r="D43" i="201"/>
  <c r="I43" i="201" s="1"/>
  <c r="D37" i="201"/>
  <c r="D35" i="201"/>
  <c r="D36" i="201"/>
  <c r="D38" i="201"/>
  <c r="E29" i="118"/>
  <c r="D75" i="205"/>
  <c r="H122" i="177"/>
  <c r="D76" i="205"/>
  <c r="H171" i="177"/>
  <c r="G22" i="177"/>
  <c r="J10" i="177"/>
  <c r="H10" i="177"/>
  <c r="F77" i="205"/>
  <c r="G77" i="205" s="1"/>
  <c r="D73" i="205"/>
  <c r="F73" i="205" s="1"/>
  <c r="G73" i="205" s="1"/>
  <c r="D80" i="205"/>
  <c r="F80" i="205" s="1"/>
  <c r="G80" i="205" s="1"/>
  <c r="H196" i="177"/>
  <c r="I34" i="201" l="1"/>
  <c r="M34" i="201"/>
  <c r="N34" i="201" s="1"/>
  <c r="M44" i="201"/>
  <c r="N44" i="201" s="1"/>
  <c r="I35" i="201"/>
  <c r="O35" i="201" s="1"/>
  <c r="M35" i="201"/>
  <c r="I45" i="201"/>
  <c r="M45" i="201"/>
  <c r="N45" i="201" s="1"/>
  <c r="I41" i="201"/>
  <c r="O41" i="201" s="1"/>
  <c r="P41" i="201" s="1"/>
  <c r="M41" i="201"/>
  <c r="I36" i="201"/>
  <c r="O36" i="201" s="1"/>
  <c r="P36" i="201" s="1"/>
  <c r="M36" i="201"/>
  <c r="I42" i="201"/>
  <c r="M42" i="201"/>
  <c r="N42" i="201" s="1"/>
  <c r="I37" i="201"/>
  <c r="M37" i="201"/>
  <c r="N37" i="201" s="1"/>
  <c r="I49" i="201"/>
  <c r="M49" i="201"/>
  <c r="N49" i="201" s="1"/>
  <c r="I40" i="201"/>
  <c r="M40" i="201"/>
  <c r="N40" i="201" s="1"/>
  <c r="I48" i="201"/>
  <c r="M48" i="201"/>
  <c r="N48" i="201" s="1"/>
  <c r="I39" i="201"/>
  <c r="M39" i="201"/>
  <c r="N39" i="201" s="1"/>
  <c r="I46" i="201"/>
  <c r="M46" i="201"/>
  <c r="N46" i="201" s="1"/>
  <c r="I38" i="201"/>
  <c r="M38" i="201"/>
  <c r="N38" i="201" s="1"/>
  <c r="M43" i="201"/>
  <c r="N43" i="201" s="1"/>
  <c r="I47" i="201"/>
  <c r="M47" i="201"/>
  <c r="N47" i="201" s="1"/>
  <c r="O44" i="201"/>
  <c r="P44" i="201" s="1"/>
  <c r="I50" i="201"/>
  <c r="M50" i="201"/>
  <c r="N50" i="201" s="1"/>
  <c r="D17" i="118"/>
  <c r="H22" i="177"/>
  <c r="L10" i="177"/>
  <c r="C10" i="205" s="1"/>
  <c r="N10" i="177"/>
  <c r="J22" i="177"/>
  <c r="F76" i="205"/>
  <c r="D72" i="205"/>
  <c r="F75" i="205"/>
  <c r="D71" i="205"/>
  <c r="N35" i="201" l="1"/>
  <c r="B15" i="201"/>
  <c r="F24" i="205" s="1"/>
  <c r="N41" i="201"/>
  <c r="O50" i="201"/>
  <c r="P50" i="201" s="1"/>
  <c r="O43" i="201"/>
  <c r="P43" i="201" s="1"/>
  <c r="O40" i="201"/>
  <c r="P40" i="201" s="1"/>
  <c r="O37" i="201"/>
  <c r="P37" i="201" s="1"/>
  <c r="O45" i="201"/>
  <c r="P45" i="201" s="1"/>
  <c r="P35" i="201"/>
  <c r="B6" i="201" s="1"/>
  <c r="O39" i="201"/>
  <c r="P39" i="201" s="1"/>
  <c r="O46" i="201"/>
  <c r="P46" i="201" s="1"/>
  <c r="O42" i="201"/>
  <c r="P42" i="201" s="1"/>
  <c r="O47" i="201"/>
  <c r="P47" i="201" s="1"/>
  <c r="O38" i="201"/>
  <c r="P38" i="201" s="1"/>
  <c r="O48" i="201"/>
  <c r="P48" i="201" s="1"/>
  <c r="O49" i="201"/>
  <c r="P49" i="201" s="1"/>
  <c r="N36" i="201"/>
  <c r="O34" i="201"/>
  <c r="P34" i="201" s="1"/>
  <c r="B5" i="201" s="1"/>
  <c r="F17" i="118"/>
  <c r="H17" i="118" s="1"/>
  <c r="D29" i="118"/>
  <c r="F72" i="205"/>
  <c r="G72" i="205" s="1"/>
  <c r="G76" i="205"/>
  <c r="C12" i="205"/>
  <c r="G75" i="205"/>
  <c r="F71" i="205"/>
  <c r="B18" i="201" l="1"/>
  <c r="F24" i="203" s="1"/>
  <c r="B11" i="201"/>
  <c r="F24" i="112" s="1"/>
  <c r="B20" i="201"/>
  <c r="F24" i="105" s="1"/>
  <c r="B14" i="201"/>
  <c r="F24" i="106" s="1"/>
  <c r="B10" i="201"/>
  <c r="F24" i="102" s="1"/>
  <c r="B19" i="201"/>
  <c r="F24" i="110" s="1"/>
  <c r="B13" i="201"/>
  <c r="F24" i="101" s="1"/>
  <c r="B16" i="201"/>
  <c r="R11" i="177" s="1"/>
  <c r="S11" i="177" s="1"/>
  <c r="B21" i="201"/>
  <c r="F24" i="207" s="1"/>
  <c r="B9" i="201"/>
  <c r="R7" i="177" s="1"/>
  <c r="S7" i="177" s="1"/>
  <c r="B17" i="201"/>
  <c r="F24" i="95" s="1"/>
  <c r="B8" i="201"/>
  <c r="R6" i="177" s="1"/>
  <c r="S6" i="177" s="1"/>
  <c r="F24" i="135"/>
  <c r="F29" i="118"/>
  <c r="G71" i="205"/>
  <c r="F5" i="205"/>
  <c r="F4" i="205"/>
  <c r="I18" i="118" l="1"/>
  <c r="J18" i="118" s="1"/>
  <c r="I14" i="118"/>
  <c r="J14" i="118" s="1"/>
  <c r="I13" i="118"/>
  <c r="J13" i="118" s="1"/>
  <c r="B12" i="201"/>
  <c r="F24" i="113" s="1"/>
  <c r="B7" i="201"/>
  <c r="F24" i="99"/>
  <c r="F24" i="208" l="1"/>
  <c r="K18" i="118" l="1"/>
  <c r="L18" i="118"/>
  <c r="K14" i="118"/>
  <c r="L14" i="118"/>
  <c r="K13" i="118"/>
  <c r="L13" i="118"/>
  <c r="D16" i="137"/>
  <c r="D32" i="137" l="1"/>
  <c r="F16" i="137"/>
  <c r="F32" i="137" s="1"/>
  <c r="B3" i="137" s="1"/>
  <c r="D31" i="106" l="1"/>
  <c r="F21" i="106" s="1"/>
  <c r="D31" i="207" l="1"/>
  <c r="F21" i="207" s="1"/>
  <c r="F28" i="207" s="1"/>
  <c r="D31" i="112"/>
  <c r="F21" i="112" s="1"/>
  <c r="F28" i="112" s="1"/>
  <c r="D31" i="203"/>
  <c r="F21" i="203" s="1"/>
  <c r="D31" i="205"/>
  <c r="F21" i="205" s="1"/>
  <c r="F28" i="205" s="1"/>
  <c r="D31" i="110"/>
  <c r="F21" i="110" s="1"/>
  <c r="D31" i="99"/>
  <c r="L141" i="99" s="1"/>
  <c r="D31" i="101"/>
  <c r="F21" i="101" s="1"/>
  <c r="D31" i="105"/>
  <c r="F21" i="105" s="1"/>
  <c r="F28" i="105" s="1"/>
  <c r="D31" i="95"/>
  <c r="D31" i="135"/>
  <c r="F21" i="135" s="1"/>
  <c r="D31" i="102"/>
  <c r="F21" i="102" s="1"/>
  <c r="F28" i="102" s="1"/>
  <c r="D31" i="208"/>
  <c r="F21" i="208" s="1"/>
  <c r="F28" i="208" s="1"/>
  <c r="D31" i="113"/>
  <c r="F28" i="106"/>
  <c r="F21" i="113" l="1"/>
  <c r="F28" i="113" s="1"/>
  <c r="C14" i="113" s="1"/>
  <c r="C17" i="113" s="1"/>
  <c r="F21" i="95"/>
  <c r="F28" i="95" s="1"/>
  <c r="C54" i="99"/>
  <c r="C57" i="99" s="1"/>
  <c r="L129" i="99"/>
  <c r="L135" i="99"/>
  <c r="L138" i="99"/>
  <c r="L137" i="99"/>
  <c r="L134" i="99"/>
  <c r="F28" i="203"/>
  <c r="C14" i="203" s="1"/>
  <c r="C17" i="203" s="1"/>
  <c r="F28" i="110"/>
  <c r="C14" i="110" s="1"/>
  <c r="C17" i="110" s="1"/>
  <c r="F28" i="101"/>
  <c r="C14" i="101" s="1"/>
  <c r="C17" i="101" s="1"/>
  <c r="C14" i="207"/>
  <c r="C17" i="207" s="1"/>
  <c r="C14" i="112"/>
  <c r="C17" i="112" s="1"/>
  <c r="F28" i="135"/>
  <c r="C14" i="102"/>
  <c r="C17" i="102" s="1"/>
  <c r="C14" i="106"/>
  <c r="C17" i="106" s="1"/>
  <c r="C14" i="105"/>
  <c r="C17" i="105" s="1"/>
  <c r="C14" i="208"/>
  <c r="C17" i="208" s="1"/>
  <c r="C14" i="205"/>
  <c r="C17" i="205" s="1"/>
  <c r="R17" i="177"/>
  <c r="R19" i="177"/>
  <c r="R21" i="177"/>
  <c r="R18" i="177"/>
  <c r="R14" i="177"/>
  <c r="R8" i="177"/>
  <c r="R15" i="177"/>
  <c r="R10" i="177"/>
  <c r="R13" i="177"/>
  <c r="R20" i="177"/>
  <c r="R9" i="177"/>
  <c r="C60" i="99" l="1"/>
  <c r="F21" i="99" s="1"/>
  <c r="L143" i="99"/>
  <c r="L144" i="99" s="1"/>
  <c r="S14" i="177"/>
  <c r="S19" i="177"/>
  <c r="S20" i="177"/>
  <c r="S10" i="177"/>
  <c r="S8" i="177"/>
  <c r="S17" i="177"/>
  <c r="S21" i="177"/>
  <c r="S18" i="177"/>
  <c r="S15" i="177"/>
  <c r="S9" i="177"/>
  <c r="S13" i="177"/>
  <c r="C14" i="135"/>
  <c r="C17" i="135" s="1"/>
  <c r="C14" i="95"/>
  <c r="C17" i="95" s="1"/>
  <c r="R12" i="177"/>
  <c r="R16" i="177"/>
  <c r="F26" i="99" l="1"/>
  <c r="D21" i="99"/>
  <c r="C62" i="99"/>
  <c r="S12" i="177"/>
  <c r="S16" i="177"/>
  <c r="I17" i="118"/>
  <c r="J17" i="118" s="1"/>
  <c r="I20" i="118"/>
  <c r="J20" i="118" s="1"/>
  <c r="I27" i="118"/>
  <c r="J27" i="118" s="1"/>
  <c r="I25" i="118"/>
  <c r="J25" i="118" s="1"/>
  <c r="I22" i="118"/>
  <c r="J22" i="118" s="1"/>
  <c r="I16" i="118"/>
  <c r="J16" i="118" s="1"/>
  <c r="I24" i="118"/>
  <c r="J24" i="118" s="1"/>
  <c r="I26" i="118"/>
  <c r="J26" i="118" s="1"/>
  <c r="I28" i="118"/>
  <c r="J28" i="118" s="1"/>
  <c r="I15" i="118"/>
  <c r="J15" i="118" s="1"/>
  <c r="I21" i="118"/>
  <c r="J21" i="118" s="1"/>
  <c r="C16" i="137"/>
  <c r="E26" i="99" l="1"/>
  <c r="F28" i="99"/>
  <c r="C14" i="99" s="1"/>
  <c r="C17" i="99" s="1"/>
  <c r="G12" i="118"/>
  <c r="K5" i="177"/>
  <c r="L5" i="177" s="1"/>
  <c r="C65" i="99"/>
  <c r="D28" i="99"/>
  <c r="K17" i="118"/>
  <c r="L17" i="118"/>
  <c r="L24" i="118"/>
  <c r="K24" i="118"/>
  <c r="L26" i="118"/>
  <c r="K26" i="118"/>
  <c r="L21" i="118"/>
  <c r="K21" i="118"/>
  <c r="L16" i="118"/>
  <c r="K16" i="118"/>
  <c r="L20" i="118"/>
  <c r="K20" i="118"/>
  <c r="K15" i="118"/>
  <c r="L15" i="118"/>
  <c r="K28" i="118"/>
  <c r="L28" i="118"/>
  <c r="L25" i="118"/>
  <c r="K25" i="118"/>
  <c r="L27" i="118"/>
  <c r="K27" i="118"/>
  <c r="I23" i="118"/>
  <c r="J23" i="118" s="1"/>
  <c r="L22" i="118"/>
  <c r="K22" i="118"/>
  <c r="I19" i="118"/>
  <c r="J19" i="118" s="1"/>
  <c r="R5" i="177"/>
  <c r="C10" i="99" l="1"/>
  <c r="L22" i="177"/>
  <c r="F152" i="99"/>
  <c r="G152" i="99" s="1"/>
  <c r="G29" i="118"/>
  <c r="H12" i="118"/>
  <c r="R22" i="177"/>
  <c r="S5" i="177"/>
  <c r="L19" i="118"/>
  <c r="K19" i="118"/>
  <c r="K23" i="118"/>
  <c r="L23" i="118"/>
  <c r="F4" i="99" l="1"/>
  <c r="C12" i="99"/>
  <c r="F5" i="99"/>
  <c r="G156" i="99"/>
  <c r="H29" i="118"/>
  <c r="S22" i="177"/>
  <c r="I12" i="118"/>
  <c r="I29" i="118" l="1"/>
  <c r="J12" i="118"/>
  <c r="J29" i="118" l="1"/>
  <c r="L12" i="118"/>
  <c r="K12" i="118"/>
  <c r="L29" i="118" l="1"/>
  <c r="K29" i="118"/>
</calcChain>
</file>

<file path=xl/sharedStrings.xml><?xml version="1.0" encoding="utf-8"?>
<sst xmlns="http://schemas.openxmlformats.org/spreadsheetml/2006/main" count="6769" uniqueCount="1071">
  <si>
    <t>Cover sheet</t>
  </si>
  <si>
    <t>Assessment and QA</t>
  </si>
  <si>
    <t>Date of plenary meeting</t>
  </si>
  <si>
    <t>Units</t>
  </si>
  <si>
    <t>Unit of pound figures:</t>
  </si>
  <si>
    <t>£m, 2017-18 prices</t>
  </si>
  <si>
    <t>Deep dive costs</t>
  </si>
  <si>
    <t>Control</t>
  </si>
  <si>
    <t>Wholesale water</t>
  </si>
  <si>
    <t>Enhancement line BoN code</t>
  </si>
  <si>
    <t>realW3007SCAW, realW3008SCAW, realW3007DCAW, realW3008DCAW</t>
  </si>
  <si>
    <t>Enhancement line description</t>
  </si>
  <si>
    <t>Supply demand balance enhancement expenditure</t>
  </si>
  <si>
    <t>Y</t>
  </si>
  <si>
    <t>N</t>
  </si>
  <si>
    <t>W3007SO</t>
  </si>
  <si>
    <t>W3008SO</t>
  </si>
  <si>
    <t>W3007DO</t>
  </si>
  <si>
    <t>W3008DO</t>
  </si>
  <si>
    <t>Totex</t>
  </si>
  <si>
    <t>Comment</t>
  </si>
  <si>
    <t>2020-25</t>
  </si>
  <si>
    <t>Leakage enhancement expenditure allowance (£m)</t>
  </si>
  <si>
    <t>BN2345</t>
  </si>
  <si>
    <t>2024-25</t>
  </si>
  <si>
    <t>£m</t>
  </si>
  <si>
    <t>ANH</t>
  </si>
  <si>
    <t>WSH</t>
  </si>
  <si>
    <t>NES</t>
  </si>
  <si>
    <t>SVE</t>
  </si>
  <si>
    <t>SRN</t>
  </si>
  <si>
    <t>TMS</t>
  </si>
  <si>
    <t>NWT</t>
  </si>
  <si>
    <t>WSX</t>
  </si>
  <si>
    <t>YKY</t>
  </si>
  <si>
    <t>AFW</t>
  </si>
  <si>
    <t>BRL</t>
  </si>
  <si>
    <t>PRT</t>
  </si>
  <si>
    <t>SEW</t>
  </si>
  <si>
    <t>SSC</t>
  </si>
  <si>
    <t>SES</t>
  </si>
  <si>
    <t>Variance</t>
  </si>
  <si>
    <t>Yes</t>
  </si>
  <si>
    <t>No</t>
  </si>
  <si>
    <t>WS2015CAW</t>
  </si>
  <si>
    <t>WS2016CAW</t>
  </si>
  <si>
    <t>WS2017CAW</t>
  </si>
  <si>
    <t>WS2018CAW</t>
  </si>
  <si>
    <t>BN1100</t>
  </si>
  <si>
    <t>£m 2017-18 prices, Capex Supply side enhancements to the supply/demand balance (dry year critical / peak conditions)</t>
  </si>
  <si>
    <t>£m 2017-18 prices, Capex Supply side enhancements to the supply/demand balance (dry year annual average conditions)</t>
  </si>
  <si>
    <t>£m 2017-18 prices, Capex Demand side enhancements to the supply/demand balance (dry year critical / peak conditions)</t>
  </si>
  <si>
    <t>£m 2017-18 prices, Capex Demand side enhancements to the supply/demand balance (dry year annual average conditions)</t>
  </si>
  <si>
    <t>Ml/d, Total supply side enhancements to the supply demand balance (dry year critical / peak conditions)</t>
  </si>
  <si>
    <t>Ml/d, Total supply side enhancements to the supply demand balance (dry year annual average conditions)</t>
  </si>
  <si>
    <t>Ml/d, Total demand side enhancements to the supply demand balance (dry year critical / peak conditions)</t>
  </si>
  <si>
    <t>Ml/d, Total demand side enhancements to the supply demand balance (dry year annual average conditions)</t>
  </si>
  <si>
    <t>FM_E_WW_SDB</t>
  </si>
  <si>
    <t>Acronym</t>
  </si>
  <si>
    <t>Reference</t>
  </si>
  <si>
    <t>Item description</t>
  </si>
  <si>
    <t>Unit</t>
  </si>
  <si>
    <t>Model</t>
  </si>
  <si>
    <t>Description_input</t>
  </si>
  <si>
    <t>2011-12</t>
  </si>
  <si>
    <t>2012-13</t>
  </si>
  <si>
    <t>2013-14</t>
  </si>
  <si>
    <t>2014-15</t>
  </si>
  <si>
    <t>2015-16</t>
  </si>
  <si>
    <t>2016-17</t>
  </si>
  <si>
    <t>2017-18</t>
  </si>
  <si>
    <t>2018-19</t>
  </si>
  <si>
    <t>2019-20</t>
  </si>
  <si>
    <t>2020-21</t>
  </si>
  <si>
    <t>2021-22</t>
  </si>
  <si>
    <t>2022-23</t>
  </si>
  <si>
    <t>2023-24</t>
  </si>
  <si>
    <t>C_W3007SCAW_PR19CA001</t>
  </si>
  <si>
    <t>Total wholesale water - Supply side enhancements to the supply/demand balance (dry year critical / peak conditions)</t>
  </si>
  <si>
    <t>Price Review 2019</t>
  </si>
  <si>
    <t>C_W3008SCAW_PR19CA001</t>
  </si>
  <si>
    <t>Total wholesale water - Supply side enhancements to the supply/demand balance (dry year annual average conditions)</t>
  </si>
  <si>
    <t>C_W3007DCAW_PR19CA001</t>
  </si>
  <si>
    <t>Total wholesale water - Demand side enhancements to the supply/demand balance (dry year critical / peak conditions)</t>
  </si>
  <si>
    <t>C_W3008DCAW_PR19CA001</t>
  </si>
  <si>
    <t>Total wholesale water - Demand side enhancements to the supply/demand balance (dry year annual average conditions)</t>
  </si>
  <si>
    <t>C_W3026TECAW_PR19CA001</t>
  </si>
  <si>
    <t>Total wholesale water - Total expenditure</t>
  </si>
  <si>
    <t>Enhancement expenditure by purpose ~ operating - Supply side enhancements to the supply/demand balance (dry year critical / peak conditions) - Total</t>
  </si>
  <si>
    <t>Enhancement expenditure by purpose ~ operating - Supply side enhancements to the supply/demand balance (dry year annual average conditions) - Total</t>
  </si>
  <si>
    <t>Enhancement expenditure by purpose ~ operating - Demand side enhancements to the supply/demand balance (dry year critical / peak conditions) - Total</t>
  </si>
  <si>
    <t>Enhancement expenditure by purpose ~ operating - Demand side enhancements to the supply/demand balance (dry year annual average conditions) - Total</t>
  </si>
  <si>
    <t>Total supply side enhancements to the supply demand balance (dry year critical / peak conditions)</t>
  </si>
  <si>
    <t>Ml/d</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</si>
  <si>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</si>
  <si>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</si>
  <si>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</si>
  <si>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Water delivered: total leakage</t>
  </si>
  <si>
    <t>Total length of mains on 31 March of report year.</t>
  </si>
  <si>
    <t>km</t>
  </si>
  <si>
    <t>BN1001</t>
  </si>
  <si>
    <t>DG2 denominator: Total number of properties (domestic and non-domestic) connected for water supply at end of year.</t>
  </si>
  <si>
    <t>C_W3007_W3008CAC_PR19WR</t>
  </si>
  <si>
    <t>Total CAC-WW_Supply and demand side enhancements: Total-WR</t>
  </si>
  <si>
    <t>C_W3007_W3008CAC_PR19WN</t>
  </si>
  <si>
    <t>Total CAC-WW_Supply and demand side enhancements: Total-WN</t>
  </si>
  <si>
    <t>HDD</t>
  </si>
  <si>
    <t>SVT</t>
  </si>
  <si>
    <t>SWB</t>
  </si>
  <si>
    <t>SWT</t>
  </si>
  <si>
    <t>BWH</t>
  </si>
  <si>
    <t>DVW</t>
  </si>
  <si>
    <t>CAPEX</t>
  </si>
  <si>
    <t>OPEX</t>
  </si>
  <si>
    <t>Expenditure line 1</t>
  </si>
  <si>
    <t>Expenditure line 2</t>
  </si>
  <si>
    <t>Expenditure line 3</t>
  </si>
  <si>
    <t>Expenditure line 4</t>
  </si>
  <si>
    <t>Water totex</t>
  </si>
  <si>
    <t>Cost driver 1</t>
  </si>
  <si>
    <t>Cost driver 2</t>
  </si>
  <si>
    <t>Cost driver 3</t>
  </si>
  <si>
    <t>Cost driver 4</t>
  </si>
  <si>
    <t>Additional driver 1</t>
  </si>
  <si>
    <t>Additional driver 2</t>
  </si>
  <si>
    <t>Additional driver 3</t>
  </si>
  <si>
    <t>Included in Sum var1?</t>
  </si>
  <si>
    <t>Included in Sum var2?</t>
  </si>
  <si>
    <t>codecombine</t>
  </si>
  <si>
    <t>companycode</t>
  </si>
  <si>
    <t>financialyear</t>
  </si>
  <si>
    <t>Combination of company and year</t>
  </si>
  <si>
    <t>Company unique code</t>
  </si>
  <si>
    <t>Financial year</t>
  </si>
  <si>
    <t>ANH18</t>
  </si>
  <si>
    <t>ANH19</t>
  </si>
  <si>
    <t>ANH20</t>
  </si>
  <si>
    <t>ANH21</t>
  </si>
  <si>
    <t>ANH22</t>
  </si>
  <si>
    <t>ANH23</t>
  </si>
  <si>
    <t>ANH24</t>
  </si>
  <si>
    <t>ANH25</t>
  </si>
  <si>
    <t>NES18</t>
  </si>
  <si>
    <t>NES19</t>
  </si>
  <si>
    <t>NES20</t>
  </si>
  <si>
    <t>NES21</t>
  </si>
  <si>
    <t>NES22</t>
  </si>
  <si>
    <t>NES23</t>
  </si>
  <si>
    <t>NES24</t>
  </si>
  <si>
    <t>NES25</t>
  </si>
  <si>
    <t>NWT18</t>
  </si>
  <si>
    <t>NWT19</t>
  </si>
  <si>
    <t>NWT20</t>
  </si>
  <si>
    <t>NWT21</t>
  </si>
  <si>
    <t>NWT22</t>
  </si>
  <si>
    <t>NWT23</t>
  </si>
  <si>
    <t>NWT24</t>
  </si>
  <si>
    <t>NWT25</t>
  </si>
  <si>
    <t>SRN18</t>
  </si>
  <si>
    <t>SRN19</t>
  </si>
  <si>
    <t>SRN20</t>
  </si>
  <si>
    <t>SRN21</t>
  </si>
  <si>
    <t>SRN22</t>
  </si>
  <si>
    <t>SRN23</t>
  </si>
  <si>
    <t>SRN24</t>
  </si>
  <si>
    <t>SRN25</t>
  </si>
  <si>
    <t>SVT18</t>
  </si>
  <si>
    <t>SVT19</t>
  </si>
  <si>
    <t>SVT20</t>
  </si>
  <si>
    <t>SVT21</t>
  </si>
  <si>
    <t>SVT22</t>
  </si>
  <si>
    <t>SVT23</t>
  </si>
  <si>
    <t>SVT24</t>
  </si>
  <si>
    <t>SVT25</t>
  </si>
  <si>
    <t>SWT18</t>
  </si>
  <si>
    <t>SWT19</t>
  </si>
  <si>
    <t>SWT20</t>
  </si>
  <si>
    <t>SWT21</t>
  </si>
  <si>
    <t>SWT22</t>
  </si>
  <si>
    <t>SWT23</t>
  </si>
  <si>
    <t>SWT24</t>
  </si>
  <si>
    <t>SWT25</t>
  </si>
  <si>
    <t>SWB18</t>
  </si>
  <si>
    <t>SWB19</t>
  </si>
  <si>
    <t>SWB20</t>
  </si>
  <si>
    <t>SWB21</t>
  </si>
  <si>
    <t>SWB22</t>
  </si>
  <si>
    <t>SWB23</t>
  </si>
  <si>
    <t>SWB24</t>
  </si>
  <si>
    <t>SWB25</t>
  </si>
  <si>
    <t>TMS18</t>
  </si>
  <si>
    <t>TMS19</t>
  </si>
  <si>
    <t>TMS20</t>
  </si>
  <si>
    <t>TMS21</t>
  </si>
  <si>
    <t>TMS22</t>
  </si>
  <si>
    <t>TMS23</t>
  </si>
  <si>
    <t>TMS24</t>
  </si>
  <si>
    <t>TMS25</t>
  </si>
  <si>
    <t>WSH18</t>
  </si>
  <si>
    <t>WSH19</t>
  </si>
  <si>
    <t>WSH20</t>
  </si>
  <si>
    <t>WSH21</t>
  </si>
  <si>
    <t>WSH22</t>
  </si>
  <si>
    <t>WSH23</t>
  </si>
  <si>
    <t>WSH24</t>
  </si>
  <si>
    <t>WSH25</t>
  </si>
  <si>
    <t>WSX18</t>
  </si>
  <si>
    <t>WSX19</t>
  </si>
  <si>
    <t>WSX20</t>
  </si>
  <si>
    <t>WSX21</t>
  </si>
  <si>
    <t>WSX22</t>
  </si>
  <si>
    <t>WSX23</t>
  </si>
  <si>
    <t>WSX24</t>
  </si>
  <si>
    <t>WSX25</t>
  </si>
  <si>
    <t>YKY18</t>
  </si>
  <si>
    <t>YKY19</t>
  </si>
  <si>
    <t>YKY20</t>
  </si>
  <si>
    <t>YKY21</t>
  </si>
  <si>
    <t>YKY22</t>
  </si>
  <si>
    <t>YKY23</t>
  </si>
  <si>
    <t>YKY24</t>
  </si>
  <si>
    <t>YKY25</t>
  </si>
  <si>
    <t>AFW18</t>
  </si>
  <si>
    <t>AFW19</t>
  </si>
  <si>
    <t>AFW20</t>
  </si>
  <si>
    <t>AFW21</t>
  </si>
  <si>
    <t>AFW22</t>
  </si>
  <si>
    <t>AFW23</t>
  </si>
  <si>
    <t>AFW24</t>
  </si>
  <si>
    <t>AFW25</t>
  </si>
  <si>
    <t>BRL18</t>
  </si>
  <si>
    <t>BRL19</t>
  </si>
  <si>
    <t>BRL20</t>
  </si>
  <si>
    <t>BRL21</t>
  </si>
  <si>
    <t>BRL22</t>
  </si>
  <si>
    <t>BRL23</t>
  </si>
  <si>
    <t>BRL24</t>
  </si>
  <si>
    <t>BRL25</t>
  </si>
  <si>
    <t>BWH18</t>
  </si>
  <si>
    <t>BWH19</t>
  </si>
  <si>
    <t>BWH20</t>
  </si>
  <si>
    <t>BWH21</t>
  </si>
  <si>
    <t>BWH22</t>
  </si>
  <si>
    <t>BWH23</t>
  </si>
  <si>
    <t>BWH24</t>
  </si>
  <si>
    <t>BWH25</t>
  </si>
  <si>
    <t>DVW18</t>
  </si>
  <si>
    <t>DVW19</t>
  </si>
  <si>
    <t>DVW20</t>
  </si>
  <si>
    <t>DVW21</t>
  </si>
  <si>
    <t>DVW22</t>
  </si>
  <si>
    <t>DVW23</t>
  </si>
  <si>
    <t>DVW24</t>
  </si>
  <si>
    <t>DVW25</t>
  </si>
  <si>
    <t>PRT18</t>
  </si>
  <si>
    <t>PRT19</t>
  </si>
  <si>
    <t>PRT20</t>
  </si>
  <si>
    <t>PRT21</t>
  </si>
  <si>
    <t>PRT22</t>
  </si>
  <si>
    <t>PRT23</t>
  </si>
  <si>
    <t>PRT24</t>
  </si>
  <si>
    <t>PRT25</t>
  </si>
  <si>
    <t>SES18</t>
  </si>
  <si>
    <t>SES19</t>
  </si>
  <si>
    <t>SES20</t>
  </si>
  <si>
    <t>SES21</t>
  </si>
  <si>
    <t>SES22</t>
  </si>
  <si>
    <t>SES23</t>
  </si>
  <si>
    <t>SES24</t>
  </si>
  <si>
    <t>SES25</t>
  </si>
  <si>
    <t>SEW18</t>
  </si>
  <si>
    <t>SEW19</t>
  </si>
  <si>
    <t>SEW20</t>
  </si>
  <si>
    <t>SEW21</t>
  </si>
  <si>
    <t>SEW22</t>
  </si>
  <si>
    <t>SEW23</t>
  </si>
  <si>
    <t>SEW24</t>
  </si>
  <si>
    <t>SEW25</t>
  </si>
  <si>
    <t>SSC18</t>
  </si>
  <si>
    <t>SSC19</t>
  </si>
  <si>
    <t>SSC20</t>
  </si>
  <si>
    <t>SSC21</t>
  </si>
  <si>
    <t>SSC22</t>
  </si>
  <si>
    <t>SSC23</t>
  </si>
  <si>
    <t>SSC24</t>
  </si>
  <si>
    <t>SSC25</t>
  </si>
  <si>
    <t>Override Comments</t>
  </si>
  <si>
    <t>Wn2 BN2345 data overridden by App2 Line 5 WRMP total leakage data</t>
  </si>
  <si>
    <t>Supply DYAA benefit override as understood to be the same benefit as DYCP benefit in the previous year</t>
  </si>
  <si>
    <t>SSC identify in the response to query SSC-DD-CE-002 that the corrections to WS4 lines 2 to 5 resulting from the query SSC-IAP-CA-003 in September 2018 have not been incorporated in the company's April submission. Therefore correction added here in accordance with query SSC-DD-CE-002 response.</t>
  </si>
  <si>
    <t>Sum expenditure1</t>
  </si>
  <si>
    <t>Sum expenditure2</t>
  </si>
  <si>
    <t>Max driver1</t>
  </si>
  <si>
    <t>Max driver2</t>
  </si>
  <si>
    <t>-</t>
  </si>
  <si>
    <t>Sum MAX driver1</t>
  </si>
  <si>
    <t>Sum MAX driver2</t>
  </si>
  <si>
    <t>Capex Supply side enhancements to the supply/demand balance (dry year critical / peak conditions) &amp; Capex Supply side enhancements to the supply/demand balance (dry year annual average conditions)</t>
  </si>
  <si>
    <t>Capex Demand side enhancements to the supply/demand balance (dry year critical / peak conditions) &amp; Capex Demand side enhancements to the supply/demand balance (dry year annual average conditions)</t>
  </si>
  <si>
    <t>Supply side Opex DYAA and DYCP</t>
  </si>
  <si>
    <t>Demand-side Opex DYAA &amp; DYCP</t>
  </si>
  <si>
    <t xml:space="preserve">MAX of DYCP and DYAA Supply-side driver </t>
  </si>
  <si>
    <t>MAX of DYC and DYAA Demand-side Driver</t>
  </si>
  <si>
    <t>Notes</t>
  </si>
  <si>
    <t>Option Name</t>
  </si>
  <si>
    <t>Option Type</t>
  </si>
  <si>
    <t>Desalination</t>
  </si>
  <si>
    <t>Benefit Ml/d</t>
  </si>
  <si>
    <t>Construction costs specified  £m</t>
  </si>
  <si>
    <t>Unit Construction Capex</t>
  </si>
  <si>
    <t>WRMP Industry Average Option-Type Unit Cost</t>
  </si>
  <si>
    <t>Investment proposed in 2020-25 (£m)</t>
  </si>
  <si>
    <t>Company</t>
  </si>
  <si>
    <t>Total</t>
  </si>
  <si>
    <t>Unit costs</t>
  </si>
  <si>
    <t>£m/Ml/d</t>
  </si>
  <si>
    <t>Non-leakage SDB unit costs</t>
  </si>
  <si>
    <t>Industry median</t>
  </si>
  <si>
    <t>Ml/d benefit</t>
  </si>
  <si>
    <t>App1 Leakage forecast 3-year average position in 2024-25 (Ml/d)</t>
  </si>
  <si>
    <t>Mains length forecast 2024-25 (km)</t>
  </si>
  <si>
    <t>UQ leakage m3/km mains</t>
  </si>
  <si>
    <t>Actual leakage m3/km mains</t>
  </si>
  <si>
    <t>Property forecast 2024-25 (000's)</t>
  </si>
  <si>
    <t>UQ leakage l/prop/d</t>
  </si>
  <si>
    <t>Actual leakage l/prop/d</t>
  </si>
  <si>
    <t>Total leakage level required to meet upper quartile performance per km mains (Ml/d)</t>
  </si>
  <si>
    <t>Total leakage level required to meet upper quartile performance per property per day (Ml/d)</t>
  </si>
  <si>
    <t>Company unit cost for leakage reduction (£/Ml/d) including  efficiency adjustment where necessary</t>
  </si>
  <si>
    <t>Average upper quartile leakage value (Ml/d)</t>
  </si>
  <si>
    <t>Forecast performance beyond average upper quartile position (Ml/d)</t>
  </si>
  <si>
    <t>Notes:</t>
  </si>
  <si>
    <t>Property counts from business plan table WS3 ,line 8, 'total connected properties at year end'</t>
  </si>
  <si>
    <t>Mains lengths from business plan table, Wn2, line 1, 'total length of potable mains as at March 31'</t>
  </si>
  <si>
    <t>Data to produce upper quartile line positions on graphs</t>
  </si>
  <si>
    <t>App1 Leakage forecast 3-year average position in 2019-20 (Ml/d)</t>
  </si>
  <si>
    <t>Median unit cost</t>
  </si>
  <si>
    <t>Efficiency challenge required?</t>
  </si>
  <si>
    <t>Leakage  2019-20 (Ml/d)</t>
  </si>
  <si>
    <t>Leakage  2024-25 (Ml/d)</t>
  </si>
  <si>
    <t>Comments</t>
  </si>
  <si>
    <t>N/A</t>
  </si>
  <si>
    <t>Leakage reduction</t>
  </si>
  <si>
    <t>Leakage</t>
  </si>
  <si>
    <t>Water resources</t>
  </si>
  <si>
    <t>Raw water distribution</t>
  </si>
  <si>
    <t>Water treatment</t>
  </si>
  <si>
    <t>Treated water distribution</t>
  </si>
  <si>
    <t>AMP7 total</t>
  </si>
  <si>
    <t>Capex</t>
  </si>
  <si>
    <t>Opex</t>
  </si>
  <si>
    <t>Analysis and determination of allowance</t>
  </si>
  <si>
    <t>£m 2017-18 prices</t>
  </si>
  <si>
    <t>Supply and demand totex</t>
  </si>
  <si>
    <t>Materiality threshold</t>
  </si>
  <si>
    <t>Net reallocations of totex</t>
  </si>
  <si>
    <t>Totex after reallocations for assessment</t>
  </si>
  <si>
    <t>Wholesale totex - AMP7 total</t>
  </si>
  <si>
    <t>Materiality</t>
  </si>
  <si>
    <t>Type of Analysis</t>
  </si>
  <si>
    <t>Shallow dive company efficiency challenge</t>
  </si>
  <si>
    <t>Shallow dive allowance</t>
  </si>
  <si>
    <t>Deep dive allowance</t>
  </si>
  <si>
    <t>Modelled allowance</t>
  </si>
  <si>
    <t>Description of reallocations and other comments</t>
  </si>
  <si>
    <t>Deep dive</t>
  </si>
  <si>
    <t>Shallow dive plus leakage allowance</t>
  </si>
  <si>
    <t>Cost Driver 1</t>
  </si>
  <si>
    <t>SDB Supply-side benefit Ml/d</t>
  </si>
  <si>
    <t>Driver 2020-21 to 2024-25</t>
  </si>
  <si>
    <t>Cost Driver 2</t>
  </si>
  <si>
    <t>SDB Demand-side benefit Ml/d</t>
  </si>
  <si>
    <t>Leakage (Ml/d)</t>
  </si>
  <si>
    <t>APP1</t>
  </si>
  <si>
    <t>App2 Leakage  2019-20 (Ml/d)</t>
  </si>
  <si>
    <t>App2 Leakage  2024-25 (Ml/d)</t>
  </si>
  <si>
    <t>Supply-side capex</t>
  </si>
  <si>
    <t xml:space="preserve">Requested capex 2020-25 pre-reallocations </t>
  </si>
  <si>
    <t xml:space="preserve">Net AMP7 reallocations </t>
  </si>
  <si>
    <t>Requested capex 2020-25 post reallocations</t>
  </si>
  <si>
    <t>Comments on reallocations</t>
  </si>
  <si>
    <t>Demand-side capex</t>
  </si>
  <si>
    <t>Supply-side opex</t>
  </si>
  <si>
    <t>Demand-side opex</t>
  </si>
  <si>
    <t>Deep dive sheet - Anglian Water</t>
  </si>
  <si>
    <t>Validation</t>
  </si>
  <si>
    <t>Assessor's name</t>
  </si>
  <si>
    <t>DW</t>
  </si>
  <si>
    <t>Date completed</t>
  </si>
  <si>
    <t>Peer review (initials, date and QA log ref.)</t>
  </si>
  <si>
    <t>SH, 04/01/2019</t>
  </si>
  <si>
    <t>Overall assessment result</t>
  </si>
  <si>
    <t>KEY METRICS from business plan</t>
  </si>
  <si>
    <t>BP figures</t>
  </si>
  <si>
    <t>Net reallocations</t>
  </si>
  <si>
    <t>Assessed values</t>
  </si>
  <si>
    <t>Total SDB enhancement capex expenditure</t>
  </si>
  <si>
    <t>Total SDB enhancement opex expenditure</t>
  </si>
  <si>
    <t>Total SDB enhancement benefit</t>
  </si>
  <si>
    <t>Total supply enhancement capex expenditure</t>
  </si>
  <si>
    <t>Total supply enhancement opex expenditure</t>
  </si>
  <si>
    <t>Total supply enhancement benefit</t>
  </si>
  <si>
    <t>Total demand enhancement capex expenditure</t>
  </si>
  <si>
    <t xml:space="preserve">£m </t>
  </si>
  <si>
    <t>Total demand enhancement opex expenditure</t>
  </si>
  <si>
    <t>Total demand enhancement benefit</t>
  </si>
  <si>
    <t>capex</t>
  </si>
  <si>
    <t>opex</t>
  </si>
  <si>
    <t>2020-25 supply enhancement</t>
  </si>
  <si>
    <t>2020-25 demand (non-leakage) enhancement</t>
  </si>
  <si>
    <t>Expenditure</t>
  </si>
  <si>
    <t>2020-25 SDB enhancement total</t>
  </si>
  <si>
    <t>2020-25 leakage enhancement</t>
  </si>
  <si>
    <t>Long-term enhancement</t>
  </si>
  <si>
    <t>Strategic regional solution development</t>
  </si>
  <si>
    <t>Internal interconnections</t>
  </si>
  <si>
    <t>Investigations and future planning</t>
  </si>
  <si>
    <t>TOTAL</t>
  </si>
  <si>
    <t>2020-25 SDB enhancement unit cost</t>
  </si>
  <si>
    <t>Company unit cost based upon benefits of proposed supply options</t>
  </si>
  <si>
    <t>Leakage enhancement unit cost</t>
  </si>
  <si>
    <t>Capex (£m)</t>
  </si>
  <si>
    <t>Opex (£m)</t>
  </si>
  <si>
    <t>PR19 Water tables commentary April 2019, P36</t>
  </si>
  <si>
    <t>Scheme description</t>
  </si>
  <si>
    <t>Integrated with WRMP interconnector scheme</t>
  </si>
  <si>
    <t>Capacity (Ml/d)</t>
  </si>
  <si>
    <t>SHB2a-Pyewipe Water Reuse for Non-potable use - treatment</t>
  </si>
  <si>
    <t>CLN15- treatment for ELN transfer (25MLD)</t>
  </si>
  <si>
    <t>ELY9 North Fenland WRZ to Ely WRZ Non infra only</t>
  </si>
  <si>
    <t>RTS Intra RZ - Meppershall PZ Non infra only</t>
  </si>
  <si>
    <t>PR19 Water tables commentary April 2019, business case 'Driving Down the Leakage Frontier' P136</t>
  </si>
  <si>
    <t>benefits</t>
  </si>
  <si>
    <t>"By the end of AMP7, 23.3 Ml/d of savings will be achieved through infrastructure renewal and optimisation schemes; the remaining 6.7 Ml/d reduction will be achieved through smart meter driven customer supply pipe leakage savings." PR19 Water tables commentary April 2019, business case 'Driving Down the Leakage Frontier' P141</t>
  </si>
  <si>
    <t>DYAA/DYCP benefits are recorded in PR19 Water tables commentary April 2019, P141 as 4.67 Ml/d per annum.</t>
  </si>
  <si>
    <t>PR19 Water tables commentary April 2019, P37</t>
  </si>
  <si>
    <t>Allocation (£m)</t>
  </si>
  <si>
    <t>Adaptive planning</t>
  </si>
  <si>
    <t>Ml/d transferred</t>
  </si>
  <si>
    <t>Allowance (totex)</t>
  </si>
  <si>
    <t>CLN16-New Elsham WTW to new North Lincoln SR</t>
  </si>
  <si>
    <t>SLN6-Central Lincolnshire WRZ to South Lincolnshire WRZ</t>
  </si>
  <si>
    <t>RTN27-South Lincolnshire WRZ to North Ruthamford WRZ</t>
  </si>
  <si>
    <t>SFN4-North Ruthamford WRZ to South Fenland WRZ</t>
  </si>
  <si>
    <t>NFN4_02a-1034-Emneth Hungate - Stoke Ferry</t>
  </si>
  <si>
    <t>ELY9 North Fenland WRZ to Ely WRZ</t>
  </si>
  <si>
    <t xml:space="preserve">NWM6-Ely WRZ to Newmarket WRZ </t>
  </si>
  <si>
    <t>CVY1-Transfer from Newmarket WRZ to Cheveley WRZ</t>
  </si>
  <si>
    <t>BHV5-Newmarket WRZ to Bury Haverhill  WRZ</t>
  </si>
  <si>
    <t>ESU8-Bury Haverhill WRZ to East Suffolk WRZ</t>
  </si>
  <si>
    <t>SEX4-East Suffolk WRZ to South Essex WRZ</t>
  </si>
  <si>
    <t>NTM1 Potable Hub-02a-1223a&amp;1223b -CLN-NTM</t>
  </si>
  <si>
    <t>BHV Intra RZ Bury Haverhill Transfers</t>
  </si>
  <si>
    <t>RTC2-Ruthamford South WRZ to Ruthamford Central WRZ</t>
  </si>
  <si>
    <t>SD Resilience - Diddlington WTW</t>
  </si>
  <si>
    <t xml:space="preserve">RTS Intra RZ - Woburn PZ </t>
  </si>
  <si>
    <t>NNR8-Little Melton - High Oak</t>
  </si>
  <si>
    <t>RTS Intra RZ - Meppershall PZ</t>
  </si>
  <si>
    <t>SHB2b - Transfer from Pyewipe to non-potable network</t>
  </si>
  <si>
    <t>Request by company</t>
  </si>
  <si>
    <t>£m (totex)</t>
  </si>
  <si>
    <t>£m (capex)</t>
  </si>
  <si>
    <t>£m (opex)</t>
  </si>
  <si>
    <t>Scheme</t>
  </si>
  <si>
    <t>£m totex</t>
  </si>
  <si>
    <t>Leakage reduction benefit</t>
  </si>
  <si>
    <t>£m capex</t>
  </si>
  <si>
    <t>Industry Average Construction Cost Estimate</t>
  </si>
  <si>
    <t>Proposed as DPC?</t>
  </si>
  <si>
    <r>
      <rPr>
        <sz val="10"/>
        <rFont val="Gill Sans MT"/>
        <family val="2"/>
      </rPr>
      <t xml:space="preserve">PR19 data table commentary: </t>
    </r>
    <r>
      <rPr>
        <i/>
        <sz val="10"/>
        <rFont val="Gill Sans MT"/>
        <family val="2"/>
      </rPr>
      <t>"Operating cost impacts have been identified from two capital schemes delivered early within AMP6, these relate to the South Egremont groundwater and Southport demand zone schemes.  Whilst these projects and hence capital expenditure in relation to them was primarily earlier within AMP6, there is an ongoing operating cost impact (in relation to increased power, contract and maintenance cost)."</t>
    </r>
  </si>
  <si>
    <t>Deep dive - United Utilities Water</t>
  </si>
  <si>
    <t>Assessor</t>
  </si>
  <si>
    <t>Key metrics match analysis sheet "Totex to carry through"?</t>
  </si>
  <si>
    <t>Key metrics match component for analysis?</t>
  </si>
  <si>
    <t>Totex carried through deep dive 2020-25 (£m)</t>
  </si>
  <si>
    <t>Totex assessed within cost adjustment claims (£m)</t>
  </si>
  <si>
    <t>Totex assessed within deep dive (£m)</t>
  </si>
  <si>
    <t>Totex allowance from cost adjustment claims (£m)</t>
  </si>
  <si>
    <t>Totex allowance from deep dive (£m)</t>
  </si>
  <si>
    <t>Ofwat view of allowance for 2020-25 (£m)</t>
  </si>
  <si>
    <t>Summary of assessment</t>
  </si>
  <si>
    <t>Item</t>
  </si>
  <si>
    <t>Component for enhancement cost analysis</t>
  </si>
  <si>
    <t>Claimed benefit (Ml/d)</t>
  </si>
  <si>
    <t>Claimed expenditure (£m)</t>
  </si>
  <si>
    <t>Allowed benefit (Ml/d)</t>
  </si>
  <si>
    <t>Allowed expenditure (£m)</t>
  </si>
  <si>
    <t>1a</t>
  </si>
  <si>
    <t>1b</t>
  </si>
  <si>
    <t>No expenditure requested</t>
  </si>
  <si>
    <t xml:space="preserve">Unit costs </t>
  </si>
  <si>
    <t>Company (£m/Ml/d)</t>
  </si>
  <si>
    <t>Industry (£m/Ml/d)</t>
  </si>
  <si>
    <t>No expenditure requested in this component</t>
  </si>
  <si>
    <t>Summary of company reference data from April 2019 submission incorporating reallocations</t>
  </si>
  <si>
    <t>Key metrics from business plan</t>
  </si>
  <si>
    <t>Ford WWTW Indirect Potable Water Reuse (20Ml/d)</t>
  </si>
  <si>
    <t>Hardham groundwater licence variation</t>
  </si>
  <si>
    <t>Transfer to Rotherfield WSW &amp; Rogate BH rehabilitation</t>
  </si>
  <si>
    <t>Scheme to bring Smock Alley back into service</t>
  </si>
  <si>
    <t>SEW Kingston to SWS KT (Wingham)</t>
  </si>
  <si>
    <t>Utilise full existing transfer capacity</t>
  </si>
  <si>
    <t>Flemings and Woodnesborough WSW licence variation</t>
  </si>
  <si>
    <t>Bournemouth Water supply from Knapp Mill</t>
  </si>
  <si>
    <t>Coastal Desalination - Shoreham Harbour</t>
  </si>
  <si>
    <t>Sussex Coast - Lower Greensand</t>
  </si>
  <si>
    <t>Aylesford WWTW Indirect Potable Water Reuse - Eccles Lake</t>
  </si>
  <si>
    <t>Sandown WwTW Indirect Potable Reuse (8.5Ml/d)</t>
  </si>
  <si>
    <t>Romsey Town and Broadlands valve</t>
  </si>
  <si>
    <t>Query response, SRN-DD-CE-004, 8. IAP SRN Technical Annex 6 Securing cost efficiency, SRN PR19 Business Plan Data Tables supporting commentary September 2018 – Resubmission 28th September 2018 &amp; TA 11.WN01 Supply Demand Balance, Appendix 1, P42</t>
  </si>
  <si>
    <t>New schemes (2020-25)</t>
  </si>
  <si>
    <t xml:space="preserve">Import from Portsmouth Water </t>
  </si>
  <si>
    <t>Note included in Additional import from PWC Gaters Mill  - benefits delivered in both 2023 and 2030</t>
  </si>
  <si>
    <t>This was considered under long-term at IAP but has been moved in accordance with the response to query SRN-DD-CE-004</t>
  </si>
  <si>
    <t>Total expenditure</t>
  </si>
  <si>
    <t>Benefits to be delivered by 2020-25 supply enhancement schemes</t>
  </si>
  <si>
    <t>Response to query SRN-DD-CE-004, DYCP benefit</t>
  </si>
  <si>
    <t>Response to query SRN-DD-CE-004, DYCP/DYAA benefit</t>
  </si>
  <si>
    <t>Water efficiency</t>
  </si>
  <si>
    <t>Ml/d DYCP</t>
  </si>
  <si>
    <t>Costs in 2020-25</t>
  </si>
  <si>
    <t>Proposed benefit (Ml/d)</t>
  </si>
  <si>
    <t>Total cost (£m)</t>
  </si>
  <si>
    <t>East Woodhay WSW</t>
  </si>
  <si>
    <t>Hardham winter transfer: Stage 2</t>
  </si>
  <si>
    <t>Additional import from PWC Gaters Mill</t>
  </si>
  <si>
    <t>Total adjusted for Shoreham desalination WRMP option type challenge (£m)</t>
  </si>
  <si>
    <t>Note that the challenge to the Shoreham desalination scheme is based upon an assessment of similar feasible schemes included by companies in the draft WRMP submissions.</t>
  </si>
  <si>
    <t>These schemes represent a range of unit costs and it is noted from the Southern Water narrative that the need for these options is not yet fully confirmed and dependent upon the outcome of further investigations and confirmation of the deficit the company is facing.</t>
  </si>
  <si>
    <t>Overall in terms of £m/Ml/d construction cost the unit cost for the non-highlighted of schemes is greater than the industry median unit cost for non-leakage schemes in the period 2020-25. However this reflects the longer lead time, the limited available options and  the complex delivery of some of these schemes.</t>
  </si>
  <si>
    <t>We have applied a company level efficiency challenge based on Southern Water's comparative performance against the rest of the industry over an number of areas and we expect the company to provide further detail regarding how customers will be protected if the deficits faced are lower or higher than expected and how specifically the expenditure allocation will be returned if the projects are not required.</t>
  </si>
  <si>
    <t>Reuse</t>
  </si>
  <si>
    <t>£m (Capex)</t>
  </si>
  <si>
    <t>No. of pumping stations</t>
  </si>
  <si>
    <t>Schemes in this area have been updated in accordance with the company's response to the IAP. PR19 Water tables commentary April 2019, P48, Annex 6 – Securing cost efficiency, P22, P42.</t>
  </si>
  <si>
    <t>Requested allowance (£m)</t>
  </si>
  <si>
    <t>Ofwat allowance (£m)</t>
  </si>
  <si>
    <t>WRMP Future AMPs Planning</t>
  </si>
  <si>
    <t xml:space="preserve">Supply breakdown - supply side opex </t>
  </si>
  <si>
    <t>The company accepted that the expenditure associated with 'TUBs and NEU Ban central' and 'Mitigation and monitoring activities (Itchen/Candover/Test)', included in this section at IAP, should be covered by the base model allowance.</t>
  </si>
  <si>
    <t>RM</t>
  </si>
  <si>
    <t>Intervention</t>
  </si>
  <si>
    <t>AMP7 Enhancement Totex (£m)</t>
  </si>
  <si>
    <t>AMP7 Cost Adjustment (£m)</t>
  </si>
  <si>
    <t>Investigations and Mitigations</t>
  </si>
  <si>
    <t>Demand-Leakage</t>
  </si>
  <si>
    <t>Demand-Metering</t>
  </si>
  <si>
    <t>£1.6m reallocated from supply demand balance enhancement to metering.</t>
  </si>
  <si>
    <t>Demand - Water efficiency</t>
  </si>
  <si>
    <t>Supply Schemes</t>
  </si>
  <si>
    <t>App21 data</t>
  </si>
  <si>
    <t>Project 1</t>
  </si>
  <si>
    <t>East Midlands Raw Water Storage Total 2020-21 to 2024-25</t>
  </si>
  <si>
    <t>Development costs</t>
  </si>
  <si>
    <t>APP21P101</t>
  </si>
  <si>
    <t>Benefit (Ml/d)</t>
  </si>
  <si>
    <t>Zone</t>
  </si>
  <si>
    <t>No interconnection schemes identified</t>
  </si>
  <si>
    <t>£42m total stated in TW-CE-A9 'Water Resources Management Plan Enhancement Case', P7/8</t>
  </si>
  <si>
    <t>Totex (£m)</t>
  </si>
  <si>
    <t>ASR in SE London</t>
  </si>
  <si>
    <t>LON</t>
  </si>
  <si>
    <t>RWE Npower trading</t>
  </si>
  <si>
    <t>Lee valley network constraint removal</t>
  </si>
  <si>
    <t>Ladymead network constraint removal</t>
  </si>
  <si>
    <t>GUI</t>
  </si>
  <si>
    <t>Groundwater Southfleet/ Greenhithe</t>
  </si>
  <si>
    <t>Associated benefits</t>
  </si>
  <si>
    <t>Total demand side benefits</t>
  </si>
  <si>
    <t>Leakage reduction benefits</t>
  </si>
  <si>
    <t>Remaining non-leakage demand side benefits</t>
  </si>
  <si>
    <t>This broadly aligns with the figures presented in September 2018 in Tables 3-19 and 3-20 of PCD5 Water Network Plus Price Control,</t>
  </si>
  <si>
    <t>The details of this variance are not apparent in the April 2019 submission and therefore we have retained the benefits identified at IAP for the assessment of these areas.</t>
  </si>
  <si>
    <t>Leakage expenditure (Totex)</t>
  </si>
  <si>
    <t>Deephams reuse</t>
  </si>
  <si>
    <t>TW-CE-A9, 1.27, 1.28</t>
  </si>
  <si>
    <t>Development of WRMP and WRSE planning</t>
  </si>
  <si>
    <t>Adjustment value £m (capex)</t>
  </si>
  <si>
    <t>Note narrative states £5m but it is assume this is a rounded acceptance of the IAP allocation</t>
  </si>
  <si>
    <t>Now included in freeform lines</t>
  </si>
  <si>
    <t>Total from business plan tables</t>
  </si>
  <si>
    <t>Water efficiency (smart metering)</t>
  </si>
  <si>
    <t>Water efficiency - Smart home visits, Smart business visits, wastage 'fixes', housing association fixes</t>
  </si>
  <si>
    <t>Project Name</t>
  </si>
  <si>
    <t>Budget Post Efficiency unless stated</t>
  </si>
  <si>
    <t>WS2 Table Lines</t>
  </si>
  <si>
    <t>Pembrokeshire Water Resource Zone Investments - 8206</t>
  </si>
  <si>
    <t>A8</t>
  </si>
  <si>
    <t>Production of the Drought Plan inc Environmental Studies</t>
  </si>
  <si>
    <t>Production of WRMP during FORECAST YEARS</t>
  </si>
  <si>
    <t>Tywyn Aberdyfi Water Resource Zone Investments - 8021 capex</t>
  </si>
  <si>
    <t>Vowchurch drought resilience scheme</t>
  </si>
  <si>
    <t>Total Water Resources Supply Side Enhancements Programme post efficiency challenge</t>
  </si>
  <si>
    <t>Table WS2 April 2019:</t>
  </si>
  <si>
    <t>2020-21 to 2024-25 Total</t>
  </si>
  <si>
    <t>Enhancement expenditure by purpose ~ operating</t>
  </si>
  <si>
    <t>Supply side enhancements to the supply/demand balance (dry year annual average conditions)</t>
  </si>
  <si>
    <t>Total value of scheme £m</t>
  </si>
  <si>
    <t>Value of managing Supply Demand deficit £m</t>
  </si>
  <si>
    <t>Value of managing long term enhancement £m</t>
  </si>
  <si>
    <t>Tywyn / Aberdyfi</t>
  </si>
  <si>
    <t>Pembrokeshire</t>
  </si>
  <si>
    <t>B2.18.WSH.CE.A1 Project Cartref Investment Case p.9</t>
  </si>
  <si>
    <t>Total Programme</t>
  </si>
  <si>
    <t>Properties</t>
  </si>
  <si>
    <t>Number of properties 
surveyed</t>
  </si>
  <si>
    <t>Number of ‘points of 
interest’</t>
  </si>
  <si>
    <t>Number of appointments</t>
  </si>
  <si>
    <t>Number of leaks repaired</t>
  </si>
  <si>
    <t>Number of supply pipe repairs</t>
  </si>
  <si>
    <t>Number meter installations</t>
  </si>
  <si>
    <t>Total Cost</t>
  </si>
  <si>
    <t>B2.17.WSH.CE.A1 Leakage IAP Response p.3</t>
  </si>
  <si>
    <t>AMP7 Leakage Programme 
Total by Investment Area</t>
  </si>
  <si>
    <t>Estimated AMP6 End Assessment (Ml/d)</t>
  </si>
  <si>
    <t>AMP 7 Savings 
(Ml/d)</t>
  </si>
  <si>
    <t xml:space="preserve">Upstream Losses </t>
  </si>
  <si>
    <t>Distribution Losses</t>
  </si>
  <si>
    <t xml:space="preserve">Project Cartref </t>
  </si>
  <si>
    <t>Productivity gains in Distribution</t>
  </si>
  <si>
    <t>£m opex</t>
  </si>
  <si>
    <t>Deep dive sheet - Wessex Water</t>
  </si>
  <si>
    <t>Enhanced Leakage</t>
  </si>
  <si>
    <t>£m Capex</t>
  </si>
  <si>
    <t>£m Opex</t>
  </si>
  <si>
    <t>Appendix 8.8.A – Claim WSX04 – Reducing leakage by a further 15%, P4</t>
  </si>
  <si>
    <t>Leakage reduction (non-metering)</t>
  </si>
  <si>
    <t>Leakage reduction (metering)</t>
  </si>
  <si>
    <t>not indicated</t>
  </si>
  <si>
    <t>Demand benefits (Ml/d)</t>
  </si>
  <si>
    <t>From query response WXS-DD-CE-004</t>
  </si>
  <si>
    <t>Leakage saving Ml/d)</t>
  </si>
  <si>
    <t>Metering</t>
  </si>
  <si>
    <t>Demand reduction from water efficiency Ml/d</t>
  </si>
  <si>
    <t xml:space="preserve">Scenario </t>
  </si>
  <si>
    <t>Metering Savings (DYCP) Ml/d</t>
  </si>
  <si>
    <t>Metering Savings (DYAA) Ml/d</t>
  </si>
  <si>
    <r>
      <t>The September 2018 data table commentary states, "</t>
    </r>
    <r>
      <rPr>
        <i/>
        <sz val="10"/>
        <rFont val="Gill Sans MT"/>
        <family val="2"/>
      </rPr>
      <t>We are applying for an increase to the license at Catterick Borehole.</t>
    </r>
    <r>
      <rPr>
        <sz val="10"/>
        <rFont val="Gill Sans MT"/>
        <family val="2"/>
      </rPr>
      <t xml:space="preserve">" No further explanation was provided, on grounds that it is not material to the business plan (appendix 8f, p.38). </t>
    </r>
  </si>
  <si>
    <r>
      <t>The April 2019 data table commentary states, "</t>
    </r>
    <r>
      <rPr>
        <i/>
        <sz val="10"/>
        <color theme="1"/>
        <rFont val="Gill Sans MT"/>
        <family val="2"/>
      </rPr>
      <t>We have identified £0.341m for enhancements to, and modelling of our supply demand balance as set out in our water resource management plan.</t>
    </r>
    <r>
      <rPr>
        <sz val="10"/>
        <color theme="1"/>
        <rFont val="Gill Sans MT"/>
        <family val="2"/>
      </rPr>
      <t>" No response to the IAP challenge found.</t>
    </r>
  </si>
  <si>
    <t>Deep dive sheet - Affinity Water</t>
  </si>
  <si>
    <t>Benefit and expenditure determined as WS4 demand benefit less leakage benefit specified in Appendix AFW.CE.A1.1 Totex Summary and WS2 demand expenditure less leakage expenditure.</t>
  </si>
  <si>
    <t>Company accepts delivery through base allowance</t>
  </si>
  <si>
    <t>Resubmitted Plan post IAP: Securing Cost Efficiency Appendices:</t>
  </si>
  <si>
    <t>Appendix AFW.CE.A1.1 - Totex Summary</t>
  </si>
  <si>
    <t xml:space="preserve">Spend Item </t>
  </si>
  <si>
    <t>September 
Business Plan (£m)</t>
  </si>
  <si>
    <t>IAP Allowed 
Expenditure (£m)</t>
  </si>
  <si>
    <t>Revised business 
plan (£m)</t>
  </si>
  <si>
    <t xml:space="preserve"> 2020-25 supply enhancement</t>
  </si>
  <si>
    <t>Accept</t>
  </si>
  <si>
    <t xml:space="preserve">We have revised these costs to align with the WRMP. </t>
  </si>
  <si>
    <t xml:space="preserve"> 2020-25 SDB enhancement sub-total </t>
  </si>
  <si>
    <t xml:space="preserve"> 2020-25 leakage enhancement </t>
  </si>
  <si>
    <t xml:space="preserve"> Long-term enhancement - </t>
  </si>
  <si>
    <t xml:space="preserve"> Accept company efficiency challenge on Sundon. Revised Supply 2040 costs. </t>
  </si>
  <si>
    <t xml:space="preserve"> Investigations and future planning </t>
  </si>
  <si>
    <t xml:space="preserve"> We have absorbed this cost in base. </t>
  </si>
  <si>
    <t>l/h/d</t>
  </si>
  <si>
    <t xml:space="preserve">Overall population 2024-25 of 3.9 million implies a DYAA non-leakage saving of </t>
  </si>
  <si>
    <t xml:space="preserve">DD Data Table Commentaries states, "Changes since September Plan: Ofwat action AFW.CE.A1 – reallocation of 4% from the Water Savings Programme from line 10 to line 22 as directed by Ofwat in the Initial Assessment of Plans. o Lines 10, 22." Therefore no need for any further reallocation from SDB to Metering. </t>
  </si>
  <si>
    <t>Appendix AFW.CE.A1.1 - Totex Summary specifies leakage benefit of 30 Ml/d (see table above). This is consistent with App 2 Line 5.</t>
  </si>
  <si>
    <t>AFW accepts the efficiency challenge applied to the Sundon conditioning treatment of the Anglian Water import (resubmitted Appendix AFW.CE.A1.1 - Totex Summary)</t>
  </si>
  <si>
    <t>AFW has reduced its Supply 2040 programme to £25.58m, comprising the following (Supply 2040 PR19 Business Case, March 2019 Table 10 (Cost Efficiency Appendices p.42)):</t>
  </si>
  <si>
    <t>Project ID</t>
  </si>
  <si>
    <t>Cost £k</t>
  </si>
  <si>
    <t>Outcome</t>
  </si>
  <si>
    <t>ST1a</t>
  </si>
  <si>
    <t>Egham to Iver</t>
  </si>
  <si>
    <t xml:space="preserve"> Transfer 17Ml/d (average) surplus from Wey community to Pinn community.</t>
  </si>
  <si>
    <t>ST2</t>
  </si>
  <si>
    <t>Network reinforcement in Pinn</t>
  </si>
  <si>
    <t xml:space="preserve">Reinforce the existing network to redistribute surface water within our Pinn community with additional 17Ml/d from Egham. </t>
  </si>
  <si>
    <t>ST5</t>
  </si>
  <si>
    <t>Arkley</t>
  </si>
  <si>
    <t>Removal of network constraint to improve flows between Pinn and Lee communities.</t>
  </si>
  <si>
    <t>ST6</t>
  </si>
  <si>
    <t xml:space="preserve"> North Mymms</t>
  </si>
  <si>
    <t>Upgrade pumping station to enable automated flow control to redirect flow north into our Lee community.</t>
  </si>
  <si>
    <t>ST9</t>
  </si>
  <si>
    <t>Bulls Green to Preston</t>
  </si>
  <si>
    <t>Booster to make greater use of North Mymms water further into our Lee community.</t>
  </si>
  <si>
    <t>ST10</t>
  </si>
  <si>
    <t>Preston to Sundon</t>
  </si>
  <si>
    <t>Booster to push water north and west into the Lee community where a cascade has been created by Egham surplus (projects ST1a, ST2, ST5, ST6 and ST9). Also provides bi-directional flow via existing strategic main.</t>
  </si>
  <si>
    <t>ST13</t>
  </si>
  <si>
    <t>Lee storage (Chaul End)</t>
  </si>
  <si>
    <t>New cell at our existing site. Provides storage for surplus water transferred into our Lee community from the Egham to Iver cascade. Sized to provide 24 hours storage to restore supply resilience for customers, eroded as a consequence of sustainability reductions. Provides operational flexibility in the event of an outage at Grafham or Sundon</t>
  </si>
  <si>
    <t>ST14</t>
  </si>
  <si>
    <t>Lee storage (Preston)</t>
  </si>
  <si>
    <t>New cell at our existing site. Provides storage for surplus water transferred into our Lee community from the Egham to Iver cascade. Sized to provide 24 hours storage to restore supply resilience for customers, eroded as a consequence of sustainability reductions. Provides operational flexibility in the event of an outage at Grafham or Sundon.</t>
  </si>
  <si>
    <t>Claimed expenditure determined as difference between WS2 demand opex and leakage opex of £0.749m specified in the query response</t>
  </si>
  <si>
    <r>
      <t>BRL-DD-CE-004 Query response: "</t>
    </r>
    <r>
      <rPr>
        <i/>
        <sz val="10"/>
        <rFont val="Gill Sans MT"/>
        <family val="2"/>
      </rPr>
      <t>Our revised enhancement totex associated with delivering this leakage reduction is shown in figure 3-11 of our revised C5 (page 59), £4.229m, comprised of £0.749m opex and £3.480m capex. Effectively we left our original plan capex unaltered, with the balance targeted as an efficiency on opex (not reallocated to base, this was a plan cost reduction)."</t>
    </r>
  </si>
  <si>
    <t>AMP7-WS2 Data Tables Commentary TH, benefits taken from revised draft WRMP Table_5_Oct2018</t>
  </si>
  <si>
    <t>Funtington Borehole and Adits Improvements for drilling and casing borehole 3 (£1,073k)</t>
  </si>
  <si>
    <t xml:space="preserve">For the provision of a new Satellite Borehole at Worlds End to provide increased deployable output (£1,446.6k) which includes a new control panel (£135.8k).   </t>
  </si>
  <si>
    <t>The company confirmed this was unchanged from IAP in response to query PRT-DD-CE-002</t>
  </si>
  <si>
    <t>Following IAP the company has increased its proposed leakage reduction from 15% to 20% and has identified £0.9m of associated opex costs. However the company has included these costs within base expenditure rather than enhancement and therefore for the purposes of calculating the unit cost for leakage reduction the figures from IAP have been retained (Response to Ofwat Initial Assessment of Plan Portsmouth Water, P212).</t>
  </si>
  <si>
    <t>Deep dive sheet - South East Water</t>
  </si>
  <si>
    <t>Appendix 11 Sep 2018 p.41 Table 13</t>
  </si>
  <si>
    <t>Schemes to be delivered between 
2020-2025</t>
  </si>
  <si>
    <t>Ml/d 
benefit</t>
  </si>
  <si>
    <t>Capex £m</t>
  </si>
  <si>
    <t>Opex £m</t>
  </si>
  <si>
    <t>Water Efficiency</t>
  </si>
  <si>
    <t>Leakage Reduction</t>
  </si>
  <si>
    <t>Rounding of benefits to enable balancing with table WS4</t>
  </si>
  <si>
    <t>Aylesford Newsprint Licence</t>
  </si>
  <si>
    <t>Appendix 11 Sep 2018 Table 14</t>
  </si>
  <si>
    <t>Schemes to be delivered after March 2025 but that will need investment before this date</t>
  </si>
  <si>
    <t>Delivery year</t>
  </si>
  <si>
    <t>Capital Expenditure 
During 2020-25 (£m)</t>
  </si>
  <si>
    <t xml:space="preserve">Total Scheme cost (£m) </t>
  </si>
  <si>
    <t xml:space="preserve">New Arlington Reservoir </t>
  </si>
  <si>
    <t xml:space="preserve">Broad Oak Reservoir </t>
  </si>
  <si>
    <t xml:space="preserve">WRMP Company Transfers </t>
  </si>
  <si>
    <t>WRMP PR24 Development</t>
  </si>
  <si>
    <t>Chapter 6 April 2019 Table 29</t>
  </si>
  <si>
    <t>Deep dive sheet - South Staffs Water</t>
  </si>
  <si>
    <t>Making water count – business plan 2020/25, April 2019, P171</t>
  </si>
  <si>
    <t>In the response to query SSC-DD-CE-002 the company confirms that 2.30 Ml/d of the supply side benefit in WS4 is associated with an AMP6 scheme and therefore can be excluded from this assessment.</t>
  </si>
  <si>
    <t>St Ives</t>
  </si>
  <si>
    <t>Croydon</t>
  </si>
  <si>
    <t>Kingston</t>
  </si>
  <si>
    <t>TOTEX</t>
  </si>
  <si>
    <r>
      <t>Supply enhancement</t>
    </r>
    <r>
      <rPr>
        <vertAlign val="superscript"/>
        <sz val="11"/>
        <color rgb="FF000000"/>
        <rFont val="Calibri"/>
        <family val="2"/>
      </rPr>
      <t>2</t>
    </r>
  </si>
  <si>
    <t>Demand (non-leakage)</t>
  </si>
  <si>
    <r>
      <t>Meter optants</t>
    </r>
    <r>
      <rPr>
        <vertAlign val="superscript"/>
        <sz val="11"/>
        <color rgb="FF000000"/>
        <rFont val="Calibri"/>
        <family val="2"/>
      </rPr>
      <t>3</t>
    </r>
  </si>
  <si>
    <t>Appendix A29 Capital investment to deliver a class leading service, P81</t>
  </si>
  <si>
    <t xml:space="preserve">Allowed costs </t>
  </si>
  <si>
    <t>Peer review (initials, date)</t>
  </si>
  <si>
    <t>Enhancement line</t>
  </si>
  <si>
    <t>Supply-demand balance</t>
  </si>
  <si>
    <t>Cost allowance for AMP7 (£m)</t>
  </si>
  <si>
    <t>Index help</t>
  </si>
  <si>
    <t>Totex in business plan - wholesale water</t>
  </si>
  <si>
    <t>Totex allowed - wholesale water</t>
  </si>
  <si>
    <t>Totex allowed - water resources</t>
  </si>
  <si>
    <t>Totex allowed - network plus</t>
  </si>
  <si>
    <t>Proportion of water resources</t>
  </si>
  <si>
    <t>Adjustment for any expenditure included in Botex+ model, or to any other model (excl reallocations)</t>
  </si>
  <si>
    <t xml:space="preserve">Totex after reallocations and  adjustments </t>
  </si>
  <si>
    <t xml:space="preserve">We are adopting a leakage target of 18.5% (30 Ml/d). </t>
  </si>
  <si>
    <t>FM_E_WW_SDB(IAP) allowance for Sundon import conditioning</t>
  </si>
  <si>
    <t xml:space="preserve">AFW Business Plan Sep 2018 Appendix 6 section 9.6.2 </t>
  </si>
  <si>
    <t>£m for import conditioning</t>
  </si>
  <si>
    <t>£m after company efficiency challenge</t>
  </si>
  <si>
    <r>
      <t>BRL-DD-CE-004 Query response: "</t>
    </r>
    <r>
      <rPr>
        <i/>
        <sz val="10"/>
        <color theme="1"/>
        <rFont val="Gill Sans MT"/>
        <family val="2"/>
      </rPr>
      <t>Our revised enhancement totex associated with delivering this leakage reduction is shown in figure 3-11 of our revised C5 (page 59), £4.229m, comprised of £0.749m opex and £3.480m capex</t>
    </r>
    <r>
      <rPr>
        <sz val="10"/>
        <color theme="1"/>
        <rFont val="Gill Sans MT"/>
        <family val="2"/>
      </rPr>
      <t xml:space="preserve">. </t>
    </r>
    <r>
      <rPr>
        <i/>
        <sz val="10"/>
        <color theme="1"/>
        <rFont val="Gill Sans MT"/>
        <family val="2"/>
      </rPr>
      <t>As the query notes, the total demand side enhancements in line 5 of table WS4 is 6.69 Ml/d, slightly greater than the 6.5 Ml/d leakage reduction. The figure of 6.69 is taken from the draft WRMP submission and includes other elements of customer demand side savings as well as leakage</t>
    </r>
    <r>
      <rPr>
        <sz val="10"/>
        <color theme="1"/>
        <rFont val="Gill Sans MT"/>
        <family val="2"/>
      </rPr>
      <t>".</t>
    </r>
  </si>
  <si>
    <t>Deep dive company efficiency challenge</t>
  </si>
  <si>
    <t>Challenged option size?</t>
  </si>
  <si>
    <t>Challenged option selection?</t>
  </si>
  <si>
    <t>Diameter (mm)</t>
  </si>
  <si>
    <t>Directional drills required</t>
  </si>
  <si>
    <t>Capacity scope challenge</t>
  </si>
  <si>
    <t>70-90%</t>
  </si>
  <si>
    <t>50-70%</t>
  </si>
  <si>
    <t>&lt;50%</t>
  </si>
  <si>
    <t>Efficiency challenge applied</t>
  </si>
  <si>
    <t>Total company request for schemes</t>
  </si>
  <si>
    <t>Allowance based on current assessment</t>
  </si>
  <si>
    <t>Design costs as % of total scheme costs</t>
  </si>
  <si>
    <t>from final methodology</t>
  </si>
  <si>
    <t>Design costs (£m)</t>
  </si>
  <si>
    <t>Pre-tender costs (£m)</t>
  </si>
  <si>
    <t>Management costs (£m)</t>
  </si>
  <si>
    <t>Deep dive - SES Water</t>
  </si>
  <si>
    <t>Deep dive - Thames Water</t>
  </si>
  <si>
    <t>Deep dive - Southern Water</t>
  </si>
  <si>
    <t>Deep dive - Portsmouth Water</t>
  </si>
  <si>
    <t xml:space="preserve">Net Totex reallocated in </t>
  </si>
  <si>
    <t>Totex following reallocations</t>
  </si>
  <si>
    <t>BON code</t>
  </si>
  <si>
    <t>W3007SCAW + W3008SCAW + W3007DCAW + W3008DCAW + WS2015CAW + WS2016CAW + WS2017CAW + WS2018CAW</t>
  </si>
  <si>
    <t>Totex considered within DPC schemes</t>
  </si>
  <si>
    <t>Totex following reallocations and DPC considerations</t>
  </si>
  <si>
    <t>Appendix a8, section 8.4.1 September 2018. AMP7 Interventions, costs and benefits</t>
  </si>
  <si>
    <t>September 2018 Supplementary Report S6022</t>
  </si>
  <si>
    <t>£m for "customer communications promoting efficiency". No benefits specified and the benefits included in business plan table, WS4, are accounted for by leakage</t>
  </si>
  <si>
    <t>Benefit as specified in table WS4. Expenditure as specified in Appendix AFW.CE.A1.1. We observe a slight variance with the preferred expenditure specified in the revised draft WRMP.</t>
  </si>
  <si>
    <t>The allowance relating to the East Midlands Reservoir development is capped at £3.3m requested by the company but it is expected that multiple options will be considered in the context of the optimal regional solution.</t>
  </si>
  <si>
    <r>
      <t xml:space="preserve">£10m carry-over from AMP6 for the Thirlmere to West Cumbria transfer. The investment in the period 2015-20 has a related performance commitment and the company has agreed to continue this into 2020-25 as 'PR19UU_ B11-WN Thirlmere Transfer into West Cumbria (2020-2025)' to protect its customers by incentivising </t>
    </r>
    <r>
      <rPr>
        <i/>
        <sz val="10"/>
        <rFont val="Gill Sans MT"/>
        <family val="2"/>
      </rPr>
      <t>delivery to schedule and minimising of cost.</t>
    </r>
  </si>
  <si>
    <t>The £1.05m opex included in the demand (non-leakage) line above is included in table WS2 line 57 which contains £1.048m (total across 2020/21 to 2024/25) for enhanced environmental and water efficiency education. This opex is assessed within the FM_E_WW_water framework directive model at DD.</t>
  </si>
  <si>
    <t xml:space="preserve">Key metrics match component for analysis - The plan narrative and query responses have been used to identify the claimed expenditure in D28 and there is a minor variance of £0.003m with the totals provided in table WS2 which we do not consider material but we will review for final determination. </t>
  </si>
  <si>
    <t>Leakage reduction enhancement expenditure assessment</t>
  </si>
  <si>
    <t>Leakage reduction enhancement assessment</t>
  </si>
  <si>
    <t>Leakage reduction enhancement expenditure assessment approach</t>
  </si>
  <si>
    <t>2020-25 SDB leakage benefit (excl metering, company-specified base allowance etc.) (Ml/d)</t>
  </si>
  <si>
    <t xml:space="preserve">Numbers updated to reflect the revised table WS2 provided in response to query ANH-DD-CE-004, see file 'IAP07 ANH-DD-CE-004 WS1 WS1a WS2 WS2a updated 3_5_19'. Note this only impacts DYAA capex expenditure for supply and demand side, other figures are unchanged from the April 2019 submission.  </t>
  </si>
  <si>
    <t>0.909m is removed from value to rebase opex to 1 April 2020 (0.909 is 0.949 in 2017-18 prices)</t>
  </si>
  <si>
    <t>The costs related to Havant Thicket, £65.486m have been removed from the DYAA supply side capex line because they are included in a separate price control, FM_CAC_HVT separate control. Profile from query response PRT-DD-CE-002.</t>
  </si>
  <si>
    <t>All schemes totals</t>
  </si>
  <si>
    <t>Adjustments for DPC candidate schemes</t>
  </si>
  <si>
    <t>Based on our assessment of large schemes presented in business plans at PR19 we make an assumption that design costs are 6% of total scheme costs. This is based upon the information submitted regarding the strategic regional schemes and comparison with other sectors.</t>
  </si>
  <si>
    <t>It is assumed this is removed from the supply-side capex and opex and that the allocated DPC money is all capex, note the adjustment is split evenly across the years</t>
  </si>
  <si>
    <t>Development of the South Lincolnshire reservoir is now considered within the strategic regional model, FM_E_WW_strategic regional</t>
  </si>
  <si>
    <t>Additional scheme reference information</t>
  </si>
  <si>
    <t xml:space="preserve">Total allowance </t>
  </si>
  <si>
    <t>Total allowance (adjusted for DPC candidate schemes)</t>
  </si>
  <si>
    <t>Maximum capacity requirement from revised draft WRMP planning tables 2020-45 (Ml/d)</t>
  </si>
  <si>
    <t>Key metrics match analysis sheet "Totex to carry through"</t>
  </si>
  <si>
    <t>Key metrics match components for analysis</t>
  </si>
  <si>
    <t>We challenge this option based on sizing and note some inconsistency in the representation of the option because it is listed as 40 Ml/d average capacity in the PR19 documentation but named as a 35 Ml/d option in the revised draft WRMP supply side development document.</t>
  </si>
  <si>
    <t>We challenge this option based upon sizing.</t>
  </si>
  <si>
    <t>Related treatment included in 2020-25 scheme (see 1a above)</t>
  </si>
  <si>
    <t xml:space="preserve">We challenge this option based upon sizing and note that the option to transfer 11 Ml/d (NFN8) appears to be higher cost than the 20 Ml/d (NFN4) option in the revised draft WRMP supply side development document.
</t>
  </si>
  <si>
    <t>We challenge this scheme due to the uncertainty regarding the feasibility of third party options involving the Canal and Rivers Trust and Severn Trent Water. Variants of these options are being considered for the strategic transfer of 50 Ml/d to Affinity Water and there is insufficient justification for assigning these options as potential future resource options when the proposed option expenditure in the zone is significant. We are concerned that the opportunity for an integrated approach to a regional strategic solution may be limited by the proposed solution.</t>
  </si>
  <si>
    <t xml:space="preserve">We challenge this option based upon sizing and we note that in the long term a relatively low deficit of 3 Ml/d is forecast. From review of the options presented we consider that ESU9 (10 Ml/d) may better match the requirements in this zone. We therefore base the allowance upon the ratio of totex for option ESU9 (10 Ml/d) to ESU9 (20Ml/d) presented in the revised draft WRMP supply side development document (Table 6.64). We additionally challenge because the company plans significant investment in the East Suffolk and South Essex zones but provides insufficient evidence for consideration of transfer options from neighbouring companies in this area. </t>
  </si>
  <si>
    <t xml:space="preserve">We challenge this option based upon sizing and additionally challenge because the company plans significant investment in the East Suffolk and South Essex zones but provides insufficient evidence for consideration of transfer options from neighbouring companies in this area. </t>
  </si>
  <si>
    <t xml:space="preserve">We challenge this option based upon the insufficient evidence the company provides for consideration of third party and trading options identified in the rejection register in the revised draft WRMP supply side development document. Due to the relatively small deficit that is required to be resolved over the long-term we make an allowance based upon the 2020-25 SDB enhancement unit cost retaining the proposed 1 Ml/d benefit.
</t>
  </si>
  <si>
    <t>We challenge this option based upon sizing and the insufficient justification the company provides for the inclusion of only two feasible options of significantly different size, 12 and 70 Ml/d.</t>
  </si>
  <si>
    <t>We challenge this scheme based the insufficient evidence the company provides for the consideration of alternative trading options with Yorkshire Water or Severn Trent Water identified within the rejection log for Central Lincolnshire WRZ. We also note that the company identifies potential water quality concerns that will need to be resolved for this option to be viable.</t>
  </si>
  <si>
    <t>Deficit is 1 Ml/d in 2045 but treatment is identified for 5 Ml/d, we have therefore challenged the sizing of this scheme, revised draft WRMP Supply-side option development v2, 4.1.3 Intra WRZ transfer options,P11</t>
  </si>
  <si>
    <t>Note Anglian Water's 2020-25 demand (non-leakage) enhancement component is zero because this expenditure is intrinsically linked to the metering expenditure that is assessed in the metering feeder model, FM_E_WW_metering.</t>
  </si>
  <si>
    <t>Maximum capacity required 2020-45 (from review of rdWRMP planning tables)</t>
  </si>
  <si>
    <t>Challenge due to insufficient demonstration of optioneering, e.g. limited consideration of trading options</t>
  </si>
  <si>
    <t>Cost efficiency challenge</t>
  </si>
  <si>
    <t>Maximum capacity requirement in planning tables 2020-45 (as % of capacity)</t>
  </si>
  <si>
    <t>HPB1 - Norwich &amp; the Broads WRZ to Happisburgh WRZ</t>
  </si>
  <si>
    <t>THT1 - Bury to Ixworth to Thetford transfers</t>
  </si>
  <si>
    <t xml:space="preserve">The company identifies this expenditure for the purpose of undertaking sophisticated planning methods that account for planning under deep uncertainty and the implementation of an adaptive planning framework. We do not consider this enhancement over base expenditure for a core business activity is justified. We make a slight adjustment to the request figure in the summary table to reconcile the narrative figures to the total presented in table WS2. </t>
  </si>
  <si>
    <t>Key metrics match component for analysis</t>
  </si>
  <si>
    <t>Opex expenditure for water efficiency. The company identified water efficiency benefits as 45% of non-leakage supply demand balance benefit.</t>
  </si>
  <si>
    <t xml:space="preserve">The plan narrative describes non-metering water efficiency delivering 45% of the 7.3% reduction in per capita consumption (PCC) from 2020 to 2025, with 55% resulting from metering. </t>
  </si>
  <si>
    <t>Expenditure is mainly capex with the enhancement described as being in addition to baseline activities relating to £16.5m of base totex allowance. 15% leakage reduction is to be delivered via active leakage control, targeted mains renewal and pressure management (5% each).</t>
  </si>
  <si>
    <t>SES Water includes bespoke enhancement expenditure lines, 'Leakage reduction', WS2 lines 24 and 63, which we reallocate to this model for assessment.</t>
  </si>
  <si>
    <t>Adjustment made for 20.627m associated with the SESRO reservoir development that is added in a new freeform line. Revised tables provided in response to query TMS-DD-CE-003</t>
  </si>
  <si>
    <t>Interconnector Investment Summary, PR19 Water tables commentary April 2019, P42-43</t>
  </si>
  <si>
    <t>Aylesford Newsprint groundwater scheme: we assume costs and benefits remain as specified in  Appendix 11 Table 15 (September 2018). We move WRZ6 zonal scheme (Aylesford to Kingshill) expenditure here from long-term SDB enhancement, on basis of resubmitted Chapter 6: costs as specified in Chapter 6 Table 29.</t>
  </si>
  <si>
    <t>Enhancement for water efficiency, all of which opex expenditure. We assume costs and benefits remain as specified in Appendix 11 Table 15 (September 2018).</t>
  </si>
  <si>
    <t>Note there are additional schemes included in the WRMP (Draft Final Water Resources Management Plan 2019, table 70, p182) which do not appear to have been requested to be funded through enhancement expenditure at PR19. These additional schemes account for the variance in benefits between those identified in this component and those included in table WS4.</t>
  </si>
  <si>
    <t>We note that the final supply demand balance position reported by the company indicates a surplus above the headroom position of greater than 4 Ml/d throughout the 2020-25 period (Draft Final Water Resources Management Plan 2019, table 64, p174).</t>
  </si>
  <si>
    <t>We have not reduced the benefits requested to reflect this because as identified above the company appears not to have requested enhancement funding for all of its supply side options.</t>
  </si>
  <si>
    <t>In comparison to other companies the supply side options appear relatively low cost and we note that by 2027 the company forecasts a surplus beyond headroom of ~9 Ml/d. Considering the position of its neighbour, Southern Water, we would expect Portsmouth Water to discuss trading this surplus in addition to its planned trades in order to provide a regional benefit.</t>
  </si>
  <si>
    <t>Note the leakage reduction associated with the enhancement expenditure is lower then this and therefore the lower number has been used to generate the unit cost.</t>
  </si>
  <si>
    <t>It is assumed that the leakage expenditure includes 21 Ml/d of leakage benefit achieved through AMP6 expenditure which is therefore not included in the assessment also the 34.2 Ml/d associated with smart metering leakage reductions (Table 3-19: Leakage plan expenditure, PCD5 Water Network Plus Price Control) and the related £21.1m associated with customer supply pipe repairs (TW-CE-A9 'Water Resources Management Plan Enhancement Case', P25)  are not included in this assessment. We have also removed the 30Ml/d increase that the company has identified resulting from lower performance in the 2015-20 period on the basis that this has already been funded ("Our current best view is that we will end the year on 31 March 2019 at a spot value of 663Ml/d, which is 30Ml/d higher than our previous forecast of 633Ml/d", TW-CE-A9 'Water Resources Management Plan Enhancement Case', 4.6, P19.</t>
  </si>
  <si>
    <t>Schemes and benefits revised in accordance to company response to query SRN-DD-CE-004</t>
  </si>
  <si>
    <t>Expenditure and benefits revised in accordance to company response to query SRN-DD-CE-004</t>
  </si>
  <si>
    <t>We now use £1.20 million per Ml/d of benefit for this component, relative to £1.39 million per Ml/d in the initial assessment of business plans. This industry efficient unit cost is based on consideration of the industry median unit cost (removing companies forecasting a 2024-25 surplus in their latest water resources management plan, WRMP19).</t>
  </si>
  <si>
    <t xml:space="preserve">Comments </t>
  </si>
  <si>
    <t>We amend the App1 Leakage forecast 3-year average position in 2024-25 (Ml/d) from 138.20 to 142.80 to reflect the intervention we make in assessing the performance commitment.</t>
  </si>
  <si>
    <t>We amend the App1 Leakage forecast 3-year average position in 2024-25 (Ml/d) from 568.00 to 535.50 to reflect the intervention we make in assessing the performance commitment.</t>
  </si>
  <si>
    <t>We amend the App1 Leakage forecast 3-year average position in 2024-25 (Ml/d) from 201.80 to 229.97 to reflect the intervention we make in assessing the performance commitment.</t>
  </si>
  <si>
    <t>We assess the company's leakage allowance in the 'leakage assessment' tab and report the output in the deep dive allowance column.</t>
  </si>
  <si>
    <t>The £20.2m reallocated to this line at IAP is now retained within the resilience feeder model. We assess the company's leakage allowance in the 'leakage assessment' tab and report the output in the deep dive allowance column.</t>
  </si>
  <si>
    <t>We reallocate £1.600m to metering and consider our reallocation appropriate based on the stated purpose of the forecast expenditure the company provides.</t>
  </si>
  <si>
    <t>The company submits £3.932m in the supply demand balance lines which is not material and therefore we assess it through a shallow dive approach and apply the company specific efficiency challenge. We reallocate expenditure of £11.198m associated with leakage from the company's freeform line and assess the company's leakage allowance in the 'leakage assessment' tab and report the output in the deep dive allowance column.</t>
  </si>
  <si>
    <t xml:space="preserve">We reallocate £37.501m capex from the company's freeform leakage enhancement line and £29.154 capex associated with leakage from the company's freeform 'Project Cartref' line. We consider our reallocation appropriate based on the stated purpose of the forecast expenditure the company provides. The company has accepted our reallocation of the expenditure associated with the Vowchurch interconnection scheme at IAP and includes it within the supply demand balance lines in its April 2019 submission. </t>
  </si>
  <si>
    <t>We remove £65.486m of supply side capex expenditure associated with the development of the Havant Thicket reservoir project from this model in the data override tab because we assess this expenditure within a separate price control in the model 'FM_CAC_HVT separate control'.</t>
  </si>
  <si>
    <t>We reallocation £14.951m capex and £2.492m opex from bespoke leakage line and consider our reallocation appropriate based on the stated purpose of the forecast expenditure the company provides.</t>
  </si>
  <si>
    <t>We incorporate enhancement costs which are driven by population growth in our base cost econometric models. The company proposes investment of £58.270m totex (£58.270m capex, £0m opex) driven by growth and, therefore, we do not make an additional allowance for it in this line or reallocate it for assessment elsewhere, since we assume it is included within our modelled base allowance ("Zonal Strategies" for internal water resource zone investment on trunk mains, reservoirs and pumping stations to meet local increases in demand resulting from new housing development, Appendices 11 and 5 p.14-15).</t>
  </si>
  <si>
    <t>App 2</t>
  </si>
  <si>
    <t xml:space="preserve">We make no allowance because we consider these costs are normal operating activities (planning and co-ordination between teams already working on company plans) included within base allowance for the provision of an efficient and secure supply-demand balance in order to meet statutory obligations. </t>
  </si>
  <si>
    <t>Target 100 water efficiency activity, expenditure</t>
  </si>
  <si>
    <t>Adjusted figures from IAP to align with total in response to query SRN-DD-CE-004</t>
  </si>
  <si>
    <t xml:space="preserve">We adjust the amount the company requests in accordance with the response to query SRN-DD-CE-004. This results in a change to the schemes we assess in this component but otherwise the assessment is unchanged from IAP. </t>
  </si>
  <si>
    <t>We compare the schemes included in the table below against the figures provided in the draft WRMP for similar schemes and we adjusted if the cost is higher than industry average. This is the basis of our adjustment to the Shoreham desalination option which has a higher cost than the industry average we identify from review of 82 schemes.</t>
  </si>
  <si>
    <t>We consider this activity to be included within the company's base allowance and the assessment result is unchanged from IAP.</t>
  </si>
  <si>
    <t>Target 100 water efficiency activity, benefits</t>
  </si>
  <si>
    <t>This line shows AMP6 and AMP7 opex arising from capex enhancement investment for AMP6 Supply side enhancements to the supply/demand balance (dry year critical / peak conditions). No opex enhancement investment forecast in AMP7 for the supply side enhancements to the supply/demand balance (dry year critical / peak conditions). As the AMP6 opex comes from AMP6 investment, this opex has been excluded from the AMP7 investment shown in Wholesale Water TA.11WN01 Business Case – Supply Demand Balance. We consider that opex relating to AMP6 investment should be covered in the company's base allowance and therefore make no additional enhancement allowance.</t>
  </si>
  <si>
    <t>The company states it proposes '£32m for water efficiency and non-leakage, non-metering demand management activities', TW-CE-A9 'Water Resources Management Plan Enhancement Case', P8</t>
  </si>
  <si>
    <t>TMS states 'we will deliver an overall reduction of 134Ml/d in AMP7, which implies a 20% reduction from our current 2019/20 forecast level', TW-CE-A9 'Water Resources Management Plan Enhancement Case', P20, data from Table Wn2, line 25, 'Total Leakage' reconciles with this statement and is used to calculate the total.</t>
  </si>
  <si>
    <t>In the IAP response the company states a revised leakage total reduction of 134 Ml/d based on a higher starting position as a result of not meeting the AMP6 targets. For our assessment we retain the benefits of 63.4 Ml/d as identified in IAP and remove 21 Ml/d of leakage benefit achieved through AMP6 expenditure. We then consider any additional reduction to be associated with metering expenditure assessed in the feeder model or resulting from the higher starting leakage position which the company has already been provided with funding to address in the period 2015-20.</t>
  </si>
  <si>
    <t>The company identifies the following changes to its request from IAP 
Key changes to our programme are:
• £2m reduction to our WRMP24 planning;
• £3m increase to planning for WRSE;
Key elements of the enhancement case are:
• £10m for development of WRMP in 2024;
• £4m for planning for WRSE.</t>
  </si>
  <si>
    <t>Overall this represents an increase on IAP with the plan narrative requesting £14m.</t>
  </si>
  <si>
    <t>Adjustment</t>
  </si>
  <si>
    <t>This is the benefit we previously identified at IAP, Table 3-20: Programme for lowering per capita consumption,  PCD5 Water Network Plus Price Control - capex expenditure is included in the leakage line above, opex from demand side SDB enhancement lines 49</t>
  </si>
  <si>
    <t>This is the benefit we previously identified at IAP, Table 3-20: Programme for lowering per capita consumption,  PCD5 Water Network Plus Price Control</t>
  </si>
  <si>
    <t>Total leakage reduction includes 1.23 Ml/d reduction in customer losses from metering (which is not included in the company's cost adjustment claim)</t>
  </si>
  <si>
    <t>This matches the benefit we identify in the revised draft WRMP tables, we assess scheme details based on description in TW-CE-A9 'Water Resources Management Plan Enhancement Case', P8 and the company's preferred plan detailed in TW-OC-A2-5 'Updated rdWRMP19 Section 11 - Preferred Plan', Tables 11-3 and 11-31</t>
  </si>
  <si>
    <t>The company states leakage reduction expenditure in its IAP response narrative as £157m, we therefore retain the figure of 159.6m used at IAP (Table 3-19: Leakage plan expenditure, PCD5 Water Network Plus Price Control).</t>
  </si>
  <si>
    <t>We note a variance between the totals of the supply demand balance components in the narrative and the total amount the company requests in business plan table WS2. We attribute this to rounding of the figures in the narrative and therefore proportion the variance across the components with the exception of long-term enhancement because we assume the IAP allocation for Deephams has been accepted</t>
  </si>
  <si>
    <t>The company provides a benefits breakdown provided in response to query WSX-DD-CE-004</t>
  </si>
  <si>
    <t>AMP7-WS2 Data Tables Commentary TH, benefits taken from revised draft WRMP Table_5_Oct2018, note amended from £1.073m to £1.072m to align with the total in the response to the query PRT-DD-CE-002</t>
  </si>
  <si>
    <t>Total capex the company requests (£m)</t>
  </si>
  <si>
    <t>Company states this is associated with 'reintroducing water sources at Kingston, Croydon and St Ives; and borehole drilling and site refurbishment at Crumpwood.</t>
  </si>
  <si>
    <t>Expenditure (£m)</t>
  </si>
  <si>
    <t>The company provides details of the expenditure and benefit allocation in the table below as response to query SSC-DD-CE-002 and the IAP assessment</t>
  </si>
  <si>
    <t>Demand breakdown completed at IAP</t>
  </si>
  <si>
    <t>We reallocate £264.871m from resilience and £241.068m from WINEP-Water framework directive,  'WRMP Supply Side Strategy' business case,  PR19 Water tables data commentary, April 2019 P33. We consider our reallocation appropriate based on the stated purpose of the forecast expenditure the company provides. We no longer reallocate the £55.091m driven by growth but we remove this from the deep dive assessment because it is included in the botex plus model.</t>
  </si>
  <si>
    <t xml:space="preserve">We reallocate £12.366m to resilience and consider our reallocation appropriate based on the stated purpose of the forecast expenditure the company provides. </t>
  </si>
  <si>
    <t>We reallocate £98.340m to metering based on the stated purpose of the forecast expenditure the company provides , 'Smart metering' business case  (PR19 Water tables data commentary, April 2019 P67).</t>
  </si>
  <si>
    <t>We reallocate £1.600m to metering based on the stated purpose of the forecast expenditure the company provides.</t>
  </si>
  <si>
    <t>We reallocate £7.298m from the freeform line  metering based on the stated purpose of the forecast expenditure the company provides.</t>
  </si>
  <si>
    <t>We reallocate £63.328m to metering based on the stated purpose of the forecast expenditure the company provides , 'Smart metering' business case  (PR19 Water tables data commentary, April 2019 P67).</t>
  </si>
  <si>
    <t>We reallocate of £4.637m from resilience and £4.015m from WINEP-Water framework directive,  'WRMP Supply Side Strategy' business case,  PR19 Water tables data commentary, April 2019 P33. We consider our reallocation appropriate based on the stated purpose of the forecast expenditure the company provides. We no longer reallocate the £1.093m driven by growth but we remove this from the deep dive assessment because it is included in the botex plus model.</t>
  </si>
  <si>
    <t>We reallocate £71.863m capex and £64.670m opex from the company's freeform leakage enhancement line. We consider our reallocation appropriate based on the stated purpose of the forecast expenditure the company provides.</t>
  </si>
  <si>
    <t>We reallocate £71.863m from the company's freeform leakage enhancement line. We consider our reallocation appropriate based on the stated purpose of the forecast expenditure the company provides.</t>
  </si>
  <si>
    <t>We reallocate £14.951m from the company's freeform leakage enhancement line. We consider our reallocation appropriate based on the stated purpose of the forecast expenditure the company provides.</t>
  </si>
  <si>
    <t>We reallocate £37.501m from the company's freeform leakage enhancement line and £29.154 associated with leakage from the company's freeform 'Project Cartref' line. We consider our reallocation appropriate based on the stated purpose of the forecast expenditure the company provides.</t>
  </si>
  <si>
    <t>We reallocate £64.670m from the company's freeform leakage enhancement line. We consider our reallocation appropriate based on the stated purpose of the forecast expenditure the company provides.</t>
  </si>
  <si>
    <t>We reallocate £2.492m from the company's freeform leakage enhancement line. We consider our reallocation appropriate based on the stated purpose of the forecast expenditure the company provides.</t>
  </si>
  <si>
    <t>We no longer reallocate the £58.270m driven by growth but we remove this from the deep dive assessment because it is included in the botex plus model.</t>
  </si>
  <si>
    <t>We reallocate £3.900m from the freeform line  metering based on the stated purpose of the forecast expenditure the company provides.</t>
  </si>
  <si>
    <t>We incorporate enhancement costs which are driven by population growth in our base cost econometric models. The company proposes investment of £56.994m totex (£55.901m capex, £1.093m opex) driven by growth and, therefore, we do not make an additional allowance for it in this line or reallocate it for assessment elsewhere, since we assume it is included within our modelled base allowance ('Housing Growth' business case,  PR19 Water tables data commentary, April 2019 P131).
We reallocate £264.871m capex and £4.637m opex from resilience, and £241.068m capex and £4.015m opex from WINEP-Water framework directive,  'WRMP Supply Side Strategy' business case,  PR19 Water tables data commentary, April 2019 P33. We reallocate of £98.340m capex and £63.328m opex to metering, 'Smart metering' business case,  PR19 Water tables data commentary, April 2019 P67. We consider our reallocation appropriate based on the stated purpose of the forecast expenditure the company provides. Note we remove £121.789m totex (£121.262 capex and £0.527m opex) from the model because the associated schemes are considered for direct procurement for customers, we provide further detail is provide on the deep dive analysis sheet.</t>
  </si>
  <si>
    <t xml:space="preserve">We reallocate £12.366m associated with 'Supply 2040' to the resilience line and consider our reallocation appropriate based on the stated purpose of the forecast expenditure the company provides.  Since IAP the company has reallocated all 'Water Savings Programme' costs to metering in resubmitted plan. </t>
  </si>
  <si>
    <t>Industry median leakage enhancement cost</t>
  </si>
  <si>
    <t xml:space="preserve">Leakage unit costs are calculated in individual company deep dive assessments based on the breakdown of the supply demand balance (SDB) enhancement expenditure and benefits. </t>
  </si>
  <si>
    <t>All figures within the table are in units of £m/Ml/d, unless specified.</t>
  </si>
  <si>
    <t>Non-leakage benefits (Ml/d)</t>
  </si>
  <si>
    <t>Leakage benefits (Ml/d)</t>
  </si>
  <si>
    <t>Non-leakage enhancement requested (£m)</t>
  </si>
  <si>
    <t>Leakage enhancement requested (£m)</t>
  </si>
  <si>
    <t>WRMP19 baseline deficit in 2024-25</t>
  </si>
  <si>
    <t>Non-leakage SDB unit cost (with SDB identified need)</t>
  </si>
  <si>
    <t>Leakage unit cost taken from IAP (no deep dive tab as was shallow dive)</t>
  </si>
  <si>
    <t>Leakage unit costs</t>
  </si>
  <si>
    <t>Draft determination leakage allowance (£m)</t>
  </si>
  <si>
    <t>Leakage unit cost allowed (median unit cost test)</t>
  </si>
  <si>
    <t>Leakage unit cost allowed (efficiency challenge all companies)</t>
  </si>
  <si>
    <t>SH, 05/07/2019</t>
  </si>
  <si>
    <t>Is upper quartile performance achieved in both measures?</t>
  </si>
  <si>
    <t>Company specific efficiency challenge</t>
  </si>
  <si>
    <t>Key metrics match analysis sheet "Totex to carry through"? - Key metrics include the £56.994m which is driven by growth and not carried through to assessment (see analysis) and the expenditure associated with the direct procurement for customers schemes therefore we make an adjustment to the calculation</t>
  </si>
  <si>
    <t>The allowance is based upon the 87 Ml/d identified in 1a with a reduction of 4 Ml/d for the RTS Intra RZ - Meppershall PZ based on a challenge to the proposed size of the scheme. The CLN13a and CLN16 schemes have been removed from the analysis as they are now considered suitable for direct procurement for customers delivery and an allocation for set-up and management costs is derived in 1a. 
The variance from the initial assessment of business plans is as a result of the removal of the direct procurement for customers schemes and revisions to scheme costs based upon company information submitted in April 2019.</t>
  </si>
  <si>
    <t>Enhancement allowance summary table</t>
  </si>
  <si>
    <t xml:space="preserve">Decrease in allowance since the initial assessment of business plans resulting from the South Lincolnshire reservoir scheme being considered within the regional strategic model. The remaining allowance is based upon the schemes identified as being required in the revised draft WRMP stress testing. </t>
  </si>
  <si>
    <t xml:space="preserve">No change since initial assessment of business plans. We make no allowance because we consider these costs are normal operating activities (planning and co-ordination between teams already working on company plans) included within base allowance for the provision of an efficient and secure supply-demand balance in order to meet statutory obligations. </t>
  </si>
  <si>
    <t xml:space="preserve">Derivation of the supply-side allowance is based upon the 87 Ml/d identified in 1a with a reduction of 4 Ml/d for the RTS Intra RZ - Meppershall PZ based upon challenging the size of scheme which is significantly larger than that required to resolve the supply-demand balance deficit. We have applied a 10% challenge to the SHB2a scheme to reflect that insufficient evidence is provided for consideration of a wide range of options. </t>
  </si>
  <si>
    <t>Non-DPC scheme totals</t>
  </si>
  <si>
    <t>CLN13a-New 31 Ml/d potable WTW at Elsham - treatment only</t>
  </si>
  <si>
    <t>The Elsham treatment and transfer schemes CLN13a,CLN15 and CLN16 have been identified as candidate DPC schemes. Therefore we have amended the company's assessment accordingly to reflect this.</t>
  </si>
  <si>
    <t>£0.15m per year following commencement of construction, April 2022-Dec 2024 - assume 3 years</t>
  </si>
  <si>
    <t>DPC development allowance (£m)</t>
  </si>
  <si>
    <t>against an assumed request for this amount</t>
  </si>
  <si>
    <t>Note that tender costs at 1% of overall scheme costs should also be included in the allowance above which will be amended accordingly at final determination</t>
  </si>
  <si>
    <t>Adjustment required to requested costs (£m)</t>
  </si>
  <si>
    <t>to be removed in the analysis tab.</t>
  </si>
  <si>
    <t>Opex adjustment required (£m)</t>
  </si>
  <si>
    <t>Capex adjustment required (£m)</t>
  </si>
  <si>
    <t>2020-25 supply enhancement breakdown</t>
  </si>
  <si>
    <t>Leakage expenditure breakdown</t>
  </si>
  <si>
    <t>Length of interconnection (km)</t>
  </si>
  <si>
    <r>
      <t xml:space="preserve">This scheme is considered as a candidate for DPC delivery and therefore is removed from the interconnection allowance with a separate development allowance made in note 1a above. </t>
    </r>
    <r>
      <rPr>
        <sz val="10"/>
        <color theme="1"/>
        <rFont val="Gill Sans MT"/>
        <family val="2"/>
      </rPr>
      <t>We make a challenge to this scheme based upon the insufficient evidence the company provides for the consideration of alternative trading options with Yorkshire Water or Severn Trent Water identified within the rejection log in the revised draft WRMP supply side development document.</t>
    </r>
  </si>
  <si>
    <t>SH, 08/07/19</t>
  </si>
  <si>
    <t>SH, 09/07/19</t>
  </si>
  <si>
    <t>Deep dive - Severn Trent Water</t>
  </si>
  <si>
    <t>SH, 08/07/2019</t>
  </si>
  <si>
    <t>Deep dive - Yorkshire Water</t>
  </si>
  <si>
    <t>Deep dive - Bristol Water</t>
  </si>
  <si>
    <t>Capacity of option required based on evidence company provides (as a percentage of selected option size)</t>
  </si>
  <si>
    <t>The decrease in allowance since initial assessment of business plans corresponds to a reduction in the company's requested allowance as a result of further information the company provides detailing cost breakdown across supply-demand balance components. We have also adjusted the costs to reflect our conclusion that elements of the interconnection programme can be delivered through a direct procurement for customers process. There is an overall increase in percentage of requested expenditure that we allow based upon the additional information the company provides in its response.  
Due to the significant expenditure the company requests for this component and the 2020-25 supply-demand enhancement component, we intervene to give the company a bespoke performance commitment PR19ANH_39 – Internal interconnection programme to provide customer protection in this area (see PR19 draft determinations Anglian Water Outcomes performance commitment appendix).</t>
  </si>
  <si>
    <t>Industry median 2020-25 SDB enhancement cost</t>
  </si>
  <si>
    <t xml:space="preserve">2020-25 SDB (water efficiency and supply-side activity) unit costs are calculated in individual company deep dive assessments based on the breakdown of the SDB enhancement expenditure and benefits. </t>
  </si>
  <si>
    <t>Benefits associated with expenditure that is included in other enhancement models such as metering are excluded.</t>
  </si>
  <si>
    <t>Companies considered in deficit are those with any water resources zone in significant deficit (&gt;0.1Ml/d) in the baseline (pre-intervention position) at draft WRMP19.</t>
  </si>
  <si>
    <t>Where no appropriate figures are available the table is left blank.</t>
  </si>
  <si>
    <t>2020-25 SDB costs and benefits determined through deep dive in metering model</t>
  </si>
  <si>
    <t>2020-25 SDB costs too small for use in unit cost derivation</t>
  </si>
  <si>
    <t>Leakage performance</t>
  </si>
  <si>
    <t>Enhancement allowed in full as very low unit cost for demand management.</t>
  </si>
  <si>
    <t>The company has a related cost adjustment claim, SES-WN603001, 'Mains replacement'. We assess and reject this claim in FM_CAC_SES.</t>
  </si>
  <si>
    <t>Business Plan (£m)</t>
  </si>
  <si>
    <t>Ofwat IAP (£m)</t>
  </si>
  <si>
    <t>However, in the table below from query SSC-DD-CE-002 the company identifies £2.92m associated with supply enhancement. We have not made an allowance for the variance of £0.646m because we cannot identify any associated benefits.</t>
  </si>
  <si>
    <t>Cost - £m (capex)</t>
  </si>
  <si>
    <t>Benefit - Ml/d</t>
  </si>
  <si>
    <t>Wessex Water includes a bespoke enhancement expenditure line and a cost claim associated with leakage reduction, lines 25, 64. The performance related cost claim has been rejected because we assess the leakage enhancement request consistently with other companies, see leakage assessment tab for further details.</t>
  </si>
  <si>
    <t xml:space="preserve">We find no further justification of the need for this supply enhancement in the resubmitted plan. The company forecasts a surplus in its WRMP. Therefore, enhancement is disallowed on grounds of insufficient need. </t>
  </si>
  <si>
    <t>None specified.</t>
  </si>
  <si>
    <t>Narrative £m (totex)</t>
  </si>
  <si>
    <t>Supply expenditure breakdown draft determination</t>
  </si>
  <si>
    <t>Leakage expenditure breakdown draft determination</t>
  </si>
  <si>
    <t>Long-term enhancement breakdown draft determination</t>
  </si>
  <si>
    <t>Interconnection investment breakdown draft determination</t>
  </si>
  <si>
    <t>We assume the Severn Thames transfer (STT) transfer studies are included in the new freeform line for 'Strategic Regional Solution Development' and the Deephams reuse project is retained in the long-term enhancement component and the £5m stated in the plan narrative reflects a rounded acceptance of the IAP allowance of £4.872m against a request for £5.600. We therefore retain the allowance from IAP.</t>
  </si>
  <si>
    <t>Revised draft WRMP continues to specify 5.3 Ml/d Runley Wood LGS new GW option benefit (in 2025-26).</t>
  </si>
  <si>
    <t>Revised draft WRMP19 specifies Dover deployable output constraint removal as preferred option in WRZ7 for delivery of 0.97 Ml/d WAFU in 2022-23; construction cost £0.36m. WRZ 7 remains in surplus &gt; 1.4 Ml/d (DYCP) and &gt;3.4 Ml/d (DYAA) throughout 2020-25 and 2025-30. Therefore, we consider Dover constraint removal is not required to address the benefit as this time and therefore is not allowed.</t>
  </si>
  <si>
    <t>Revised draft WRMP19 specifies construction costs for Runley Wood AMP7 LGS borehole of £5.11m, construction time 4 years and water available for use (WAFU) benefit of 5.3 Ml/d by 2025-26. Kings Walden is also specified as a preferred option but not required for WAFU delivery until 2030-31 with a lead time of four years. Therefore no allowance required for Kings Walden at PR19. The WRMP19 specifies deficit of 12 Ml/d for WRZ3 in 2023-24, followed by surplus of 4.95 Ml/d by 2024-25 in response to increased Grafham raw water import. Final planning scenario specifies 0 Ml/d supply demand balance as a result of WRZ interconnections. Therefore, Runley Wood is justified by WRMP need (deficit magnitude and timing).</t>
  </si>
  <si>
    <t>Company IAP Response</t>
  </si>
  <si>
    <t xml:space="preserve">Revised draft WRMP specifies 23.7 Ml/d of preferred water efficiency options by 2024-25. Also 11.13 Ml/d of "Street level PHC" ("MET") options. Difference in PCC between FP and BL in 2024-25 is 8.2 l/h/d. No difference in meter penetration FP v BL. 2024-25 total population 3.93m. Implies preferred consumption saving of 32.25 Ml/d. </t>
  </si>
  <si>
    <t>In revised draft WRMP, company targets DYAA PCC of 136.3 l/h/d FP 2024-25 compared to 144.5 l/h/d BL 2024-25</t>
  </si>
  <si>
    <t xml:space="preserve">Where possible options costs are challenged against average industry scheme-type costs. We note that there is uncertainty regarding the need for these schemes and that the scale of deficit faced will depend on the outcome of further investigations. We have not reduced the scope of this work on this basis but note that this uncertainty exists. Due to this uncertainty and concerns about delivery further protection for customers is required and we intervene to modify the bespoke performance commitment, PR19SRN_WN12  Long term supply demand schemes to ensure customer protection (PR19 draft determinations Southern Water Outcomes performance commitment appendix). Costs have been challenged with the company level efficiency. </t>
  </si>
  <si>
    <t>Intelligent Network – Supply Demand Enhancement</t>
  </si>
  <si>
    <t>Local long term enhancement allowance (£m)</t>
  </si>
  <si>
    <t>Tywyn Aberdyfi</t>
  </si>
  <si>
    <t>Expenditure assessed in 2020-25 supply enhancement component (totex £m)</t>
  </si>
  <si>
    <t>Expenditure assessed in long-term enhancement component (totex £m)</t>
  </si>
  <si>
    <t>The company provides a breakdown of its total supply enhancement capex expenditure in '5.8A Water resources Investment case', Table 3</t>
  </si>
  <si>
    <t>Note: Numbers are rounded in this table. We make assumptions regarding rounding in order to reconcile with WS2 values, given the total provided in Table 3 of the data table commentaries above</t>
  </si>
  <si>
    <t>The company additionally allocates the capital expenditure associated with the Tywyn Aberdyfi and Pembrokeshire schemes between the 2020-25 SDB enhancement and long-term enhancement components in Appendix B2.19.WSH.CE.A1 SDB (P3).</t>
  </si>
  <si>
    <t>Section B</t>
  </si>
  <si>
    <t xml:space="preserve">The supply enhancement schemes in Tywyn Aberdyfi and Pembrokeshire zones are included in this component as they were at initial assessment of plans. However, we now proportion the total expenditure between the 2020-25 supply enhancement component and the long-term enhancement component which reduces the expenditure we include in this component from the initial assessment of plans.  Following our challenge at initial assessment of plans the company now presents benefits for supply demand balance enhancement aligned with the 5.1 Ml/d 2025 deficit for these zones specified in the revised draft water resources management plan (WRMP) narrative.
</t>
  </si>
  <si>
    <t>We reallocate the expenditure from the 'Project Cartref' freeform enhancement line based upon the description of the activities associated with this expenditure that the company provides.</t>
  </si>
  <si>
    <t>We proportion the 'Project Cartref' expenditure we reallocate to the this model between the 2020-25 demand (non-leakage) enhancement and leakage enhancement components based upon the benefits we derive for each component.</t>
  </si>
  <si>
    <t>Adjusted cost to balance WS2 line total, £m</t>
  </si>
  <si>
    <t>Cost we identify in 'B2.18.WSH.CE.A1 Project Cartref Investment Case' narrative, £m</t>
  </si>
  <si>
    <t>Total reallocation to metering, £m</t>
  </si>
  <si>
    <t>Total reallocation to SDB, £m</t>
  </si>
  <si>
    <t>We note that the narrative total expenditure for activities included in 'Project Cartref' is lower than that included in the business plan table WS2, due to rounding of figures, and therefore we make some minor adjustments to reconcile this data.</t>
  </si>
  <si>
    <t>Expenditure associated with leakage enhancement component (£m)</t>
  </si>
  <si>
    <t>Total Leakage Reduction</t>
  </si>
  <si>
    <t>Estimated consumption reduction</t>
  </si>
  <si>
    <t xml:space="preserve">Increase in allowance from initial assessment of plans which reflects the further evidence the company provides regarding the proportioning of supply side investment between components. This component also now includes the water efficiency expenditure and benefits the company identifies in 'Project Cartref'. We calculate the expenditure allowance for non-leakage SDB benefits using the industry median unit cost which is lower than the company's unit cost. </t>
  </si>
  <si>
    <t>At initial assessment of plans no expenditure and benefits were identified within this sub-component. We now include the expenditure associated with water efficiency activities within 'Project Cartref' in this sub-component.</t>
  </si>
  <si>
    <t>We also include the expenditure the company includes within its free form line 'Capital expenditure purpose ~ Leakage', in business plan table WS2, line 26.</t>
  </si>
  <si>
    <t>Expenditure associated with Capital expenditure purpose ~ Leakage free form enhancement line (£m)</t>
  </si>
  <si>
    <t>Total benefits associated with leakage enhancement (Ml/d)</t>
  </si>
  <si>
    <t>Total leakage enhancement expenditure (£m)</t>
  </si>
  <si>
    <t>The company now associates some of the Tywyn Aberdyfi and Pembrokeshire schemes with long-term supply enhancements, see note 1a above.</t>
  </si>
  <si>
    <t>Tywyn Aberdyfi, long-term enhancement (£m)</t>
  </si>
  <si>
    <t>Pembrokeshire, long-term enhancement (£m)</t>
  </si>
  <si>
    <t xml:space="preserve">For Pembrokeshire, the company provides evidence to support the need to invest to address long-term supply demand deficits within the zone. The unit rate, £m/Ml/d of the selected option is equal to the industry level unit rate for 2020-25 SDB enhancement. However, we expect the company to further investigate the Milton borehole option (construction capex £0.6m) which has a lower unit cost, as an alternative to bankside storage at Canaston Bridge (additional construction capex £6.6m compared to High-lift variable speed drive option). The company provides insufficient rejection rationale for the Afon Taf 5 Ml/d abstraction and transfer to Bolton Hill option. We find insufficient evidence that costs are efficient and therefore we apply the company specific deep dive efficiency factor (DCWW Final WRMP19 Main Technical Report Mar 19, Appendix B2.19.WSH.CE.A1 SDB enhancement IAP response, Query response WSH-DD-CA-004). </t>
  </si>
  <si>
    <t>Request is unchanged from initial assessment of plans. We now make an allowance based on the additional evidence the company provides to demonstrate the need for the scheme. We apply the company specific efficiency factor because there is insufficient evidence that the costs the company submits are efficient.</t>
  </si>
  <si>
    <t>We find insufficient evidence to demonstrate the costs are efficient, for example the company provides no cost breakdown, and therefore we apply the company specific deep dive efficiency factor.</t>
  </si>
  <si>
    <t>The company states that the supply side enhancement opex is associated with; the Tywyn Aberdyfi enhancement scheme and the production of water resource management plans (B3.A.4 Water Service Table Commentaries April 2019, P14).
Based upon the description of the Tywyn Aberdyfi scheme the company provides in its water resources management plan we assume the raw water distribution opex is associated with this scheme and the water resources opex is associated with development of future water resource management plans. 
We note that the company's commentary now also refers to opex associated with the Vowchurch interconnection scheme being included in this expenditure total. However, this scheme is a potable water transfer and because no opex expenditure is allocated to water network plus we make no opex allocation to the Vowchurch interconnection scheme.</t>
  </si>
  <si>
    <t>Expenditure associated with 2020-25 (non-leakage) enhancement component (£m)</t>
  </si>
  <si>
    <t>We include the expenditure and benefits we associate with leakage reduction in 'Project Cartref' within this component.</t>
  </si>
  <si>
    <t>Expenditure associated with leakage enhancement component of 'Project Cartref'(£m)</t>
  </si>
  <si>
    <t>Benefits associated with leakage enhancement component of 'Project Cartref'(Ml/d)</t>
  </si>
  <si>
    <t xml:space="preserve">For Tywyn Aberdyfi, we observe exceptionally high target headroom within the zone (&gt;100% of distribution input) and the company also provides insufficient evidence for rejection of Pen-y-Bont 35 Ml bankside storage option, which appears to be better value. We therefore consider the allowance we make for the 2020-25 SDB enhancement component should be sufficient to maintain the supply demand balance in the Tywyn Aberdyfi zone without the need for any additional long-term enhancement expenditure (DCWW Final WRMP19 Main Technical Report Mar 19, Appendix B2.19.WSH.CE.A1 SDB enhancement IAP response, Query response WSH-DD-CA-004). </t>
  </si>
  <si>
    <t>Dŵr Cymru provides further evidence to demonstrate that this scheme is needed to achieve resilience to a 1 in 200 year drought within this zone and to indicate it has undertaken sufficient optioneering (revised draft water resources management plan, Section 7.14 Vowchurch).</t>
  </si>
  <si>
    <t>Company's request is associate with water resources management and drought plan development, see breakdowns in note 1a. We assume that all Water Resources dry year annual average supply side opex is associated with these activities. We also make an adjustment to this component of £0.024m to balance the values in the company narrative to those included in the business plan, WS2 table. We consider that all investigation and future planning costs are to be delivered through the base allowance.</t>
  </si>
  <si>
    <t>The company's request for water resource management and drought plan funding has increased slightly since initial assessment of plans. We make no allowance as at initial assessment of plans because we consider these costs are normal operating activities (planning and co-ordination between teams already working on company plans) included within base allowance for the provision of an efficient and secure supply-demand balance in order to meet statutory obligations.</t>
  </si>
  <si>
    <t>The expenditure the company requests and associated benefits are unchanged from initial assessment of plans. We identify the expenditure and benefits for this component from PR19 Water tables commentary April 2019, business case 'Driving Down the Leakage Frontier' and we remove benefits associated with metering expenditure. We make an increase in allowance since the initial assessment of business plans which results from the use of the company's own unit cost with the company specific efficiency factor applied, and removal of the benefits cap that was applied at initial assessment of plans as a result of the cost adjustment claim ANH-WN601001.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</si>
  <si>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United Utilities is a fast track company and we retain the expenditure the company requests and associated benefits as unchanged from initial assessment of plans. However, we use the updated values for the company stretch threshold in our assessment, see 'leakage enhancement assessment' tab. The final allowance we make is unchanged from initial assessment of plans but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</si>
  <si>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Note that in response to query SRN-DD-CE-004 the company states it will deliver 207 Ml/d benefit for £656m by the end of AMP8, representing a £/Ml/d of £2.9 (if interconnection schemes are not included). While we understand costs may increase as the available options become more limited this is a significant increase on the £m/Ml/d for 2020-25 schemes and as such we consider the company level efficiency challenge to remain valid.</t>
  </si>
  <si>
    <t>The company accepts the scoping challenge (20%) applied at initial assessment of plans following review of the potential benefits of optioneering in IAP_TA11_CE_Mott MacDonald Cost Estimating Assurance, P3.</t>
  </si>
  <si>
    <t>Expenditure request</t>
  </si>
  <si>
    <t>Note a minor adjustment has been made to align the component expenditure total to the table WS2 totals, 'Response to IAP Annex 6 – Securing cost efficiency', P40</t>
  </si>
  <si>
    <t>Severn Trent Water is a fast track company and we retain the expenditure the company requests and associated benefits as unchanged from initial assessment of plans. We identify the expenditure and benefits for this component from Appendix a8, section 8.4.1 September 2018. We no longer make a small allowance for the company because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</si>
  <si>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We challenge this option based upon its significant cost, the potential for a reduced capacity and the insufficient justification the company provides for the rejection of alternative options. We note only a single feasible option has been considered.  The company presumes that groundwater abstractions would not be viable but it is not clear that this is confirmed by the Environment agency.  To reflect the potential challenge in this zone we apply an efficiency challenge (10%), rather than the 2020-25 SDB enhancement unit cost (£1.2m/Ml/d).</t>
  </si>
  <si>
    <t>We challenge this option based upon its significant cost, the potential for a reduced capacity and the insufficient justification the company provides for the rejection of alternative options, including third party and trading options We note only a single feasible option has been considered.  We also note that Sherwood sandstone aquifer recharge option is moved for consideration in Ruthamford North as RTN12 but not is not required there. The company states the option has small deployable output benefits but this could potentially be sufficient for the Nottinghamshire zone with its relatively low deficit. Due to the relatively small benefit that is required from this option over the long-term we make an allowance based upon the 2020-25 SDB enhancement unit cost (£1.2m/Ml/d) using the 1.6 Ml/d benefit (noting only 1.01 Ml/d is required until 2040).</t>
  </si>
  <si>
    <t xml:space="preserve">We challenge this option based upon its significant cost, the potential for a reduced capacity and the insufficient justification the company provides for the rejection of alternative options. We note only a single feasible option has been considered and therefore make an allowance based upon the 2020-25 SDB enhancement unit (£1.2m/Ml/d) cost using the 2.2 Ml/d benefit (Revised draft WRMP 2019 Technical Document: WRZ Summaries September 2018, Figure 6.3.5, p139).
</t>
  </si>
  <si>
    <t>We challenge this option based upon sizing and the insufficient justification the company provides for the rejection of alternative options. We note only a single feasible option has been considered and therefore make an allowance based upon the 2020-25 SDB enhancement unit cost (£1.20m/Ml/d) using a 0.4 Ml/d benefit to represent a worst case scenario considering that the deficit is relatively small in this area (Revised draft WRMP 2019 Technical Document: WRZ Summaries September 2018, Figure 4.5.4, p100).</t>
  </si>
  <si>
    <t>We challenge this option based upon sizing and the insufficient justification the company provides for the rejection of alternative options. We note only a single feasible option has been considered and therefore make an allowance based upon the 2020-25 SDB enhancement unit cost (£1.2m/Ml/d) using a 2.6 Ml/d benefit representing the challenge early in the period (Revised draft WRMP 2019 Technical Document: WRZ Summaries September 2018, Figure 2.5.5, p60).</t>
  </si>
  <si>
    <t>We challenge this option based upon sizing and the insufficient justification the company provides for the rejection of alternative options. We note only a single feasible option has been considered and therefore make an allowance based upon the 2020-25 SDB enhancement unit cost (£1.2m/Ml/d) using a 0.7 Ml/d benefit (Revised draft WRMP 2019 Technical Document: WRZ Summaries September 2018, Figure 2.5.4, p59). The related treatment allowance associated with metaldehyde has been assessed in section 1a.</t>
  </si>
  <si>
    <t>The company reduces its expenditure request from initial assessment of plans in and revises the benefits it presents in the business plan tables, 'Post IAP Commentary for the data tables, March 2019'. We no longer make an allowance because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</si>
  <si>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company accepts the reallocation from resilience we made at initial assessment of plans for the Vowchurch resilience scheme in its April 2019 submission, see breakdowns in note 1a.</t>
  </si>
  <si>
    <t>The company increases its proposed leakage reduction to 20% from initial assessment of plans but retains the same enhancement expenditure, 'Response to Ofwat Initial Assessment of Plan Portsmouth Water' (P212).  We no longer make a small allowance because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</si>
  <si>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Allowance reduces from initial assessment of plans in accordance with the company's reduced request. We calculate expenditure allowance for non-leakage SDB benefits using the company's unit cost which is lower than the industry median unit cost. This calculation uses the benefits from initial assessment of plans calculation of 1Ml/d for water efficiency rather than those confirmed in the company's response to query SSC-DD-CE-002, resulting in an allocation that is £0.030m greater than requested for this component. This will be amended for final determination.</t>
  </si>
  <si>
    <t>The benefits remain unchanged but expenditure is revised from initial assessment of plans based on further detail of expenditure allocation the company provides in response to query SSC-DD-CE-002. We no longer make a small allowance because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</si>
  <si>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company reduces the expenditure it requests from initial assessment of plans but maintains the same benefits, response to query BRL-DD-CE-004. The allowance we make is slightly reduced from initial assessment of plans as a result of the company's lower unit cost rate mitigated in part by an adjustment to the company's forecast performance level. We revise our assessment approach from initial assessment of plans.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</si>
  <si>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expenditure the company requests and associated benefits have not changed significantly from initial assessment of plans. We identify the expenditure and benefits for this component from the companies response to query SRN-DD-CE-004. The final allowance we make is unchanged from initial assessment of plans but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</si>
  <si>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company provides no evidence to indicate expenditure requested and associated benefits have changed since initial assessment of plans, 'Appendix 11 Table 15 (September 2018)'. We make a slight reduction in allowance from initial assessment of plans which results from use of the company's own unit cost with the company specific efficiency factor applied, and changes to the industry upper quartile thresholds. We revise our assessment approach from initial assessment of plans.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</si>
  <si>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Benefits and expenditure the company requests are revised from initial assessment of plans based on the company's April 2019 submission. We determine expenditure as the sum of the bespoke leakage enhancement and the 'Project Cartref' enhancement we associate with leakage reduction. We identify the associated benefits from 'B2.17.WSH.CE.A1 Leakage IAP Response'.  We no longer make a small allowance for the company because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</si>
  <si>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We intend to review this allocation for final determination in the context of the integration of the internal interconnections with the supply-demand balance enhancements (2020-25 and long-term) and strategic regional water resource solution development and any further detail the company provides regarding the deficit it requires any strategic regional water resource solution to address.</t>
  </si>
  <si>
    <t>We assume these WRZ6 zonal costs are superseded by those specified in Chapter 6 April 2019 Table 29</t>
  </si>
  <si>
    <t>The company states "we have included a scheme in WRZ6 to construct a new water treatment works as a result of a licence trade (one of the first in the industry) at the former Aylesford Newsprint site. This will provide an additional 18.2 Ml/d.   The scheme also requires that we reinforce our existing trunk main network in order to get water from the new source and water treatment works into areas where it is needed i.e. in and around Aylesford, West Malling, Kings Hill and towards Beech Reservoir for the Paddock Wood area. This scheme has been costed using our unit cost database which was subjected to assurance scrutiny.  The company efficiency applied to this scheme is as per the profile set out in our Business plan Appendix 11: Our investment plan (Table 38: Summary of plan cost efficiency for infrastructure schemes).  This efficiency for this scheme equates to 9.47%, again higher than Ofwat’s set efficiency challenge, resulting in a scheme cost of £4.71m. Unlike other zonal transfer mains this scheme is inextricably linked to the new water treatment works at Aylesford and was modelled as such in our WRMP process." Resubmitted Chapter 6 p.56</t>
  </si>
  <si>
    <t>WRZ6 Aylesford to Kingshill Scheme</t>
  </si>
  <si>
    <t>WRZ 6 zonal scheme (Aylesford to Kingshill)</t>
  </si>
  <si>
    <t>Key metrics match analysis sheet "Totex to carry through"? - Key metrics include the £58.270m which is driven by growth and not carried through to assessment (see analysis) therefore we make an adjustment to the calculation</t>
  </si>
  <si>
    <t>Deep dive sheet - Dŵr Cymru</t>
  </si>
  <si>
    <t xml:space="preserve">At initial assessment of plans we identified no expenditure or benefits associated with this component. The company provides additional evidence in its response to initial assessment of plans to associate a proportion of the expenditure in the Tywyn Aberdyfi and Pembrokeshire schemes with long-term supply demand balance benefits for the zones.  We accept the need and make an allowance for the Pembrokeshire zone but apply an efficiency challenge because insufficient evidence for efficient costs is provided. We reject the need in the Tywyn Aberdyfi zone because the headroom identified in the company's analysis appears excessive and the allowance for the 2020-25 SDB enhancement component should be sufficient to maintain a long-term supply demand balance. </t>
  </si>
  <si>
    <t>We retain the expenditure and benefits (excluding those associated with metering) we identified at initial assessment of plans, from PCD5 Water Network Plus Price Control, making an adjustment to remove benefits delivered through 2015-20 expenditure. We do not include the 30Ml/d that the company identifies in its April 2019 submission, which results from lower performance in the 2015-20 period, on the basis that this has already been funded. We no longer make an allowance for the company because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</si>
  <si>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company increases its expenditure request from initial assessment of plans and the benefits it expects to deliver in AFW.CE.A1.1 totex summary. The company identifies additional leakage reduction up to 18%. The final allowance we make is unchanged from initial assessment of plans but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</si>
  <si>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company presents expenditure and benefits figures in which are unchanged from the request at initial assessment of plans, 'A12.2 - Business Plan data table commentary, September 2018'. The final allowance we make is unchanged from initial assessment of plans but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</si>
  <si>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The company presents expenditure and benefits figures in 'Appendix 5 – Using water efficiently: Response to IAP' which are unchanged from the request at initial assessment of plans. The final allowance we make is unchanged from initial assessment of plans but we revise our assessment approach. At initial assessment of plans we used a 15% reduction as a 2019-20 to 2024-25 stretch threshold for allowing enhancement funding, but we consider absolute levels (upper quartile by 2024-25) as reflective of performance, and we recognise stretch performance through the outcomes framework. For calculation of allowance see tab 'leakage enhancement assessment'.</t>
  </si>
  <si>
    <t>Wholesale Water Supply-demand balance enhancement – feeder model</t>
  </si>
  <si>
    <t>The company also confirms that the remaining 3.92 Ml/d of benefits is associated with three borehole recommissioning schemes in the Cambridge region with related enhancement expenditure of £2.274m. The company notes that some of the recommissioning of these sources is covered by base expenditure.</t>
  </si>
  <si>
    <r>
      <t>AMP6 initiatives (lagged)</t>
    </r>
    <r>
      <rPr>
        <vertAlign val="superscript"/>
        <sz val="11"/>
        <color rgb="FF000000"/>
        <rFont val="Calibri"/>
        <family val="2"/>
      </rPr>
      <t>1</t>
    </r>
  </si>
  <si>
    <t>AMP7 Benefit (Ml/d)</t>
  </si>
  <si>
    <t>Assessed through a unit cost approach but no valid identified benefits therefore no allowance is made. Allowance unchanged from initial assessment of plans.</t>
  </si>
  <si>
    <t>Deep dive assessment unchanged from initial assessment of plans.</t>
  </si>
  <si>
    <t>The 20% scope efficiency challenge applied at initial assessment of plans was accepted by the company therefore, we remove it from this assessment of the component. We retain the company level efficiency challenge. Customer protection for this significant investment is required and we intervene to modify the bespoke performance commitment, PR19SRN_WN12  Long term supply demand schemes to ensure customer protection (PR19 draft determinations Southern Water Outcomes performance commitment appendix). We intend to review this allocation for final determination in the context of the integration of the internal interconnections with the supply-demand balance enhancements (2020-25 and long-term) and strategic regional water resource solution development and any further detail the company provides regarding the deficit it requires any strategic regional water resource solution to address.</t>
  </si>
  <si>
    <t xml:space="preserve">Unchanged from initial assessment of plans. 
We make no allowance because we consider these costs are normal operating activities (planning and co-ordination between teams already working on company plans) included within base allowance for the provision of an efficient and secure supply-demand balance in order to meet statutory obligations. </t>
  </si>
  <si>
    <t>The benefits identified in the narrative are used in the unit cost analysis of the proposed expenditure with the industry median unit cost, which is lower than the company's unit cost. The change in unit cost since initial assessment of plans results in a lower allowance for this SDB component.</t>
  </si>
  <si>
    <t>Unchanged from initial assessment of plans. The company submission indicates it accepts the challenge we applied at initial assessment of plans.</t>
  </si>
  <si>
    <t xml:space="preserve">Unchanged from initial assessment of plans. We make no allowance because we consider these costs are normal operating activities (planning and co-ordination between teams already working on company plans) included within base allowance for the provision of an efficient and secure supply-demand balance in order to meet statutory obligations. </t>
  </si>
  <si>
    <t xml:space="preserve">Benefits and expenditure the company requests reduce since initial assessment of plans and our allowance reduces in accordance with this. We make an adjustment to the amount the company requests across all components which is described in note 7 below. </t>
  </si>
  <si>
    <t>Unchanged from initial assessment of plans. We calculate the expenditure allowance for non-leakage SDB benefits using the company's unit cost which is lower than the industry median unit cost.</t>
  </si>
  <si>
    <t xml:space="preserve">We cap the supply benefit for WRZ3 at 5.3 Ml/d, in line with the supply benefits specified for the deficit to be solved in the revised draft WRMP. This also excludes any benefit (1.3 Ml/d) associated with the Dover deployable constraint removal option as there is no deficit to solve in this zone. We allow the demand-side benefits in full. 
The variance from initial assessment of plans results from revised benefits in line with the recently issued revised draft WRMP, and the updated industry unit cost for this component. </t>
  </si>
  <si>
    <t xml:space="preserve">Claimed expenditure is the initial assessment of plans allowance for Sundon import conditioning plus the Supply 2040 enhancement minus the reallocated Supply 2040 costs (to resilience). We make a further adjustment of £0.366m to the requested amount to enable total breakdown to balance with Table WS2. 
The variance in allowance from initial assessment of plans results from the further detail provided for Supply 2040 costs, in line with the revised draft WRMP. We reallocate £12.37m to Resilience for components ST9, ST10, ST13 and ST14, as suggested by the WRMP documentation, given there is no clear SDB driver. We allow the Egham to Iver £0.97m expenditure and the Pinn Network Reinforcement (£10.7m) in full, as optioneering evidence is now provided, and there is a clear WRMP deficit. We disallow Arkley and North Mymms enhancement on grounds of insufficient need - no WRMP deficit until 2038. The company-specific efficiency factor applied to Supply 2040 schemes as we find no clear evidence for efficient costs. </t>
  </si>
  <si>
    <t>No interconnection schemes identified, as at initial assessment of plans.</t>
  </si>
  <si>
    <t>No material change from initial assessment of plans. We calculate the expenditure allowance for non-leakage SDB benefits using the company unit cost which is lower than the industry median unit cost. The company clarifies in a query response that the development of these sources is to support transfers to Southern Water rather than address any internal deficits.</t>
  </si>
  <si>
    <t xml:space="preserve">We now consider the Havant Thicket reservoir development within a separate price control in the feeder model, FM_CAC_HVT separate control. This scheme was previously assessed in this component of the model at initial assessment of plans.
 </t>
  </si>
  <si>
    <t>Unchanged from initial assessment of plans, we calculate the allowance using the company's unit cost which is lower than the industry median unit cost.</t>
  </si>
  <si>
    <t>Company's unit cost remains lower than the industry median unit cost. The change in allowance from initial assessment of plans is due to including the WRZ6 zonal scheme costs in the 2020-25 enhancement.</t>
  </si>
  <si>
    <t>WRZ6 Aylesford to Kingshill zonal scheme reallocated to SDB 2020-25 enhancement. Assume costs and benefits for reservoir development remain as specified in Appendix 11 Table 15 (September 2018). Company-specific efficiency factor is applied, as no further specific evidence for efficient costs is presented.  The allowance should be used for development of all comparable alternative long-term options because sufficient evidence has not been provided to support that the reservoir schemes represent the best options. The change in allowance from initial assessment of plans is due to moving the WRZ6 Aylesford to Kingshill zonal scheme costs out of long-term enhancement and into 2020-25 enhancement.</t>
  </si>
  <si>
    <t xml:space="preserve">We observe no change in requested expenditure from initial assessment of plans. The company-specific efficiency factor is applied to the WRMP interzonal company transfers, as no further specific evidence for efficient costs is presented. </t>
  </si>
  <si>
    <t>WRMP24 development costs. Assume costs remain as specified in Appendix 11 Table 15 (September 2018). We make a correction to this component of £0.339m to enable balancing against the Table WS2 values. We consider that all investigation and future planning costs are to be delivered through the base allowance: no change in allowance from initial assessment of plans.</t>
  </si>
  <si>
    <t>Data Override</t>
  </si>
  <si>
    <t>Data Final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</si>
</sst>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0.000"/>
    <numFmt numFmtId="166" formatCode="0.0"/>
    <numFmt numFmtId="167" formatCode="#,##0.0"/>
    <numFmt numFmtId="168" formatCode="#,##0_);\(#,##0\);&quot;-  &quot;;&quot; &quot;@&quot; &quot;"/>
    <numFmt numFmtId="169" formatCode="0.0%"/>
    <numFmt numFmtId="170" formatCode="#,##0.000"/>
    <numFmt numFmtId="171" formatCode="0.00_)"/>
    <numFmt numFmtId="172" formatCode="_(* #,##0.0_);_(* \(#,##0.0\);_(* &quot;-&quot;??_);_(@_)"/>
    <numFmt numFmtId="173" formatCode="_(* #,##0_);_(* \(#,##0\);_(* &quot;-&quot;??_);_(@_)"/>
    <numFmt numFmtId="174" formatCode="0.0000000"/>
    <numFmt numFmtId="175" formatCode="_(* #,##0.000_);_(* \(#,##0.000\);_(* &quot;-&quot;??_);_(@_)"/>
    <numFmt numFmtId="176" formatCode="_-* #,##0.0_-;\-* #,##0.0_-;_-* &quot;-&quot;?_-;_-@_-"/>
  </numFmts>
  <fonts count="9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1"/>
      <color indexed="8"/>
      <name val="Calibri"/>
      <family val="2"/>
      <scheme val="minor"/>
    </font>
    <font>
      <sz val="11"/>
      <color theme="1"/>
      <name val="Calibri"/>
      <family val="2"/>
      <scheme val="minor"/>
    </font>
    <font>
      <sz val="8"/>
      <color theme="1"/>
      <name val="Calibri"/>
      <family val="2"/>
      <scheme val="minor"/>
    </font>
    <font>
      <sz val="9"/>
      <color theme="1"/>
      <name val="Calibri"/>
      <family val="2"/>
      <scheme val="minor"/>
    </font>
    <font>
      <sz val="14"/>
      <name val="Calibri"/>
      <family val="2"/>
      <scheme val="minor"/>
    </font>
    <font>
      <sz val="11"/>
      <name val="Calibri"/>
      <family val="2"/>
      <scheme val="minor"/>
    </font>
    <font>
      <b/>
      <sz val="14"/>
      <color theme="1"/>
      <name val="Calibri"/>
      <family val="2"/>
      <scheme val="minor"/>
    </font>
    <font>
      <sz val="14"/>
      <color rgb="FFFF0000"/>
      <name val="Calibri"/>
      <family val="2"/>
      <scheme val="minor"/>
    </font>
    <font>
      <b/>
      <sz val="14"/>
      <color theme="1"/>
      <name val="Gill Sans MT"/>
      <family val="2"/>
    </font>
    <font>
      <sz val="10"/>
      <color theme="1"/>
      <name val="Gill Sans MT"/>
      <family val="2"/>
    </font>
    <font>
      <b/>
      <sz val="10"/>
      <color theme="1"/>
      <name val="Gill Sans MT"/>
      <family val="2"/>
    </font>
    <font>
      <b/>
      <sz val="10"/>
      <name val="Gill Sans MT"/>
      <family val="2"/>
    </font>
    <font>
      <sz val="10"/>
      <name val="Gill Sans MT"/>
      <family val="2"/>
    </font>
    <font>
      <sz val="10"/>
      <color theme="1"/>
      <name val="Calibri"/>
      <family val="2"/>
      <scheme val="minor"/>
    </font>
    <font>
      <sz val="9"/>
      <name val="Gill Sans MT"/>
      <family val="2"/>
    </font>
    <font>
      <sz val="11"/>
      <color theme="1"/>
      <name val="Gill Sans MT"/>
      <family val="2"/>
    </font>
    <font>
      <u/>
      <sz val="11"/>
      <color theme="10"/>
      <name val="Calibri"/>
      <family val="2"/>
      <scheme val="minor"/>
    </font>
    <font>
      <i/>
      <sz val="10"/>
      <color theme="1"/>
      <name val="Gill Sans MT"/>
      <family val="2"/>
    </font>
    <font>
      <b/>
      <sz val="11"/>
      <color theme="1"/>
      <name val="Calibri"/>
      <family val="2"/>
      <scheme val="minor"/>
    </font>
    <font>
      <b/>
      <u/>
      <sz val="10"/>
      <color theme="1"/>
      <name val="Gill Sans MT"/>
      <family val="2"/>
    </font>
    <font>
      <b/>
      <sz val="9"/>
      <color theme="0"/>
      <name val="Calibri"/>
      <family val="2"/>
    </font>
    <font>
      <sz val="9"/>
      <name val="Calibri"/>
      <family val="2"/>
    </font>
    <font>
      <sz val="12"/>
      <color theme="1"/>
      <name val="Arial"/>
      <family val="2"/>
    </font>
    <font>
      <u/>
      <sz val="10"/>
      <color indexed="12"/>
      <name val="Arial"/>
      <family val="2"/>
    </font>
    <font>
      <sz val="11"/>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ourier"/>
      <family val="3"/>
    </font>
    <font>
      <sz val="10"/>
      <name val="MS Sans Serif"/>
      <family val="2"/>
    </font>
    <font>
      <sz val="10"/>
      <color rgb="FF0070C0"/>
      <name val="Gill Sans MT"/>
      <family val="2"/>
    </font>
    <font>
      <i/>
      <sz val="10"/>
      <name val="Gill Sans MT"/>
      <family val="2"/>
    </font>
    <font>
      <i/>
      <sz val="11"/>
      <color rgb="FF7F7F7F"/>
      <name val="Arial"/>
      <family val="2"/>
    </font>
    <font>
      <sz val="10"/>
      <color rgb="FFFF0000"/>
      <name val="Calibri"/>
      <family val="2"/>
      <scheme val="minor"/>
    </font>
    <font>
      <b/>
      <sz val="10"/>
      <color theme="1"/>
      <name val="Calibri"/>
      <family val="2"/>
      <scheme val="minor"/>
    </font>
    <font>
      <b/>
      <sz val="10"/>
      <name val="Calibri"/>
      <family val="2"/>
      <scheme val="minor"/>
    </font>
    <font>
      <sz val="10"/>
      <name val="Calibri"/>
      <family val="2"/>
      <scheme val="minor"/>
    </font>
    <font>
      <i/>
      <sz val="10"/>
      <color theme="1"/>
      <name val="Calibri"/>
      <family val="2"/>
      <scheme val="minor"/>
    </font>
    <font>
      <sz val="10"/>
      <color rgb="FF000000"/>
      <name val="Arial"/>
      <family val="2"/>
    </font>
    <font>
      <i/>
      <sz val="10"/>
      <color rgb="FF7F7F7F"/>
      <name val="Calibri"/>
      <family val="2"/>
      <scheme val="minor"/>
    </font>
    <font>
      <b/>
      <sz val="12"/>
      <color theme="1"/>
      <name val="Calibri"/>
      <family val="2"/>
      <scheme val="minor"/>
    </font>
    <font>
      <b/>
      <sz val="10"/>
      <color rgb="FFFF0000"/>
      <name val="Calibri"/>
      <family val="2"/>
      <scheme val="minor"/>
    </font>
    <font>
      <b/>
      <sz val="11"/>
      <name val="Calibri"/>
      <family val="2"/>
      <scheme val="minor"/>
    </font>
    <font>
      <b/>
      <i/>
      <sz val="10"/>
      <color theme="1"/>
      <name val="Gill Sans MT"/>
      <family val="2"/>
    </font>
    <font>
      <sz val="11"/>
      <color theme="1"/>
      <name val="Calibri"/>
      <family val="2"/>
    </font>
    <font>
      <sz val="14"/>
      <color theme="3"/>
      <name val="Calibri"/>
      <family val="2"/>
      <scheme val="minor"/>
    </font>
    <font>
      <sz val="14"/>
      <color theme="1"/>
      <name val="Calibri"/>
      <family val="2"/>
      <scheme val="minor"/>
    </font>
    <font>
      <sz val="10"/>
      <color theme="3"/>
      <name val="Calibri"/>
      <family val="2"/>
      <scheme val="minor"/>
    </font>
    <font>
      <b/>
      <sz val="10"/>
      <color theme="3"/>
      <name val="Calibri"/>
      <family val="2"/>
      <scheme val="minor"/>
    </font>
    <font>
      <sz val="10"/>
      <color theme="0" tint="-0.499984740745262"/>
      <name val="Gill Sans MT"/>
      <family val="2"/>
    </font>
    <font>
      <sz val="11"/>
      <color theme="0" tint="-0.499984740745262"/>
      <name val="Calibri"/>
      <family val="2"/>
      <scheme val="minor"/>
    </font>
    <font>
      <sz val="11"/>
      <color theme="0" tint="-0.499984740745262"/>
      <name val="Arial"/>
      <family val="2"/>
    </font>
    <font>
      <b/>
      <sz val="11"/>
      <color theme="0" tint="-0.499984740745262"/>
      <name val="Calibri"/>
      <family val="2"/>
      <scheme val="minor"/>
    </font>
    <font>
      <b/>
      <sz val="10"/>
      <color rgb="FF000000"/>
      <name val="Calibri"/>
      <family val="2"/>
    </font>
    <font>
      <b/>
      <sz val="10"/>
      <color rgb="FF000000"/>
      <name val="Arial"/>
      <family val="2"/>
    </font>
    <font>
      <sz val="11"/>
      <color rgb="FF000000"/>
      <name val="Calibri"/>
      <family val="2"/>
    </font>
    <font>
      <vertAlign val="superscript"/>
      <sz val="11"/>
      <color rgb="FF000000"/>
      <name val="Calibri"/>
      <family val="2"/>
    </font>
    <font>
      <b/>
      <sz val="11"/>
      <color rgb="FF000000"/>
      <name val="Calibri"/>
      <family val="2"/>
    </font>
    <font>
      <b/>
      <sz val="9"/>
      <color rgb="FF000000"/>
      <name val="Calibri"/>
      <family val="2"/>
    </font>
    <font>
      <b/>
      <u/>
      <sz val="10"/>
      <name val="Gill Sans MT"/>
      <family val="2"/>
    </font>
    <font>
      <sz val="8"/>
      <color theme="1"/>
      <name val="Gill Sans MT"/>
      <family val="2"/>
    </font>
    <font>
      <sz val="9"/>
      <color theme="1"/>
      <name val="Gill Sans MT"/>
      <family val="2"/>
    </font>
  </fonts>
  <fills count="36">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8"/>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2D050"/>
        <bgColor indexed="64"/>
      </patternFill>
    </fill>
    <fill>
      <patternFill patternType="solid">
        <fgColor rgb="FFD9D9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67">
    <xf numFmtId="0" fontId="0" fillId="0" borderId="0"/>
    <xf numFmtId="0" fontId="17" fillId="0" borderId="0"/>
    <xf numFmtId="0" fontId="16" fillId="0" borderId="0"/>
    <xf numFmtId="0" fontId="18" fillId="0" borderId="0"/>
    <xf numFmtId="0" fontId="19" fillId="0" borderId="0"/>
    <xf numFmtId="0" fontId="15" fillId="0" borderId="0"/>
    <xf numFmtId="164" fontId="19" fillId="0" borderId="0" applyFont="0" applyFill="0" applyBorder="0" applyAlignment="0" applyProtection="0"/>
    <xf numFmtId="9" fontId="19" fillId="0" borderId="0" applyFont="0" applyFill="0" applyBorder="0" applyAlignment="0" applyProtection="0"/>
    <xf numFmtId="0" fontId="14" fillId="0" borderId="0"/>
    <xf numFmtId="168" fontId="13" fillId="0" borderId="0" applyFont="0" applyFill="0" applyBorder="0" applyProtection="0">
      <alignment vertical="top"/>
    </xf>
    <xf numFmtId="0" fontId="19" fillId="0" borderId="0"/>
    <xf numFmtId="164" fontId="19" fillId="0" borderId="0" applyFont="0" applyFill="0" applyBorder="0" applyAlignment="0" applyProtection="0"/>
    <xf numFmtId="0" fontId="12" fillId="0" borderId="0"/>
    <xf numFmtId="0" fontId="11" fillId="0" borderId="0"/>
    <xf numFmtId="0" fontId="11" fillId="0" borderId="0"/>
    <xf numFmtId="164" fontId="19" fillId="0" borderId="0" applyFont="0" applyFill="0" applyBorder="0" applyAlignment="0" applyProtection="0"/>
    <xf numFmtId="0" fontId="19" fillId="0" borderId="0"/>
    <xf numFmtId="0" fontId="34" fillId="0" borderId="0" applyNumberFormat="0" applyFill="0" applyBorder="0" applyAlignment="0" applyProtection="0"/>
    <xf numFmtId="9" fontId="10" fillId="0" borderId="0" applyFont="0" applyFill="0" applyBorder="0" applyAlignment="0" applyProtection="0"/>
    <xf numFmtId="0" fontId="40" fillId="0" borderId="0"/>
    <xf numFmtId="0" fontId="41"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42" fillId="0" borderId="0"/>
    <xf numFmtId="0" fontId="17" fillId="0" borderId="0"/>
    <xf numFmtId="0" fontId="17" fillId="0" borderId="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21" borderId="0" applyNumberFormat="0" applyBorder="0" applyAlignment="0" applyProtection="0"/>
    <xf numFmtId="0" fontId="44" fillId="22"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9" borderId="0" applyNumberFormat="0" applyBorder="0" applyAlignment="0" applyProtection="0"/>
    <xf numFmtId="0" fontId="45" fillId="13" borderId="0" applyNumberFormat="0" applyBorder="0" applyAlignment="0" applyProtection="0"/>
    <xf numFmtId="0" fontId="46" fillId="30" borderId="37" applyNumberFormat="0" applyAlignment="0" applyProtection="0"/>
    <xf numFmtId="0" fontId="47" fillId="31" borderId="38" applyNumberFormat="0" applyAlignment="0" applyProtection="0"/>
    <xf numFmtId="164" fontId="17" fillId="0" borderId="0" applyFont="0" applyFill="0" applyBorder="0" applyAlignment="0" applyProtection="0"/>
    <xf numFmtId="0" fontId="48" fillId="0" borderId="0" applyNumberFormat="0" applyFill="0" applyBorder="0" applyAlignment="0" applyProtection="0"/>
    <xf numFmtId="0" fontId="49" fillId="14" borderId="0" applyNumberFormat="0" applyBorder="0" applyAlignment="0" applyProtection="0"/>
    <xf numFmtId="0" fontId="50" fillId="0" borderId="39" applyNumberFormat="0" applyFill="0" applyAlignment="0" applyProtection="0"/>
    <xf numFmtId="0" fontId="51" fillId="0" borderId="40" applyNumberFormat="0" applyFill="0" applyAlignment="0" applyProtection="0"/>
    <xf numFmtId="0" fontId="52" fillId="0" borderId="41" applyNumberFormat="0" applyFill="0" applyAlignment="0" applyProtection="0"/>
    <xf numFmtId="0" fontId="52" fillId="0" borderId="0" applyNumberFormat="0" applyFill="0" applyBorder="0" applyAlignment="0" applyProtection="0"/>
    <xf numFmtId="0" fontId="41" fillId="0" borderId="0" applyNumberFormat="0" applyFill="0" applyBorder="0" applyAlignment="0" applyProtection="0">
      <alignment vertical="top"/>
      <protection locked="0"/>
    </xf>
    <xf numFmtId="0" fontId="53" fillId="17" borderId="37" applyNumberFormat="0" applyAlignment="0" applyProtection="0"/>
    <xf numFmtId="0" fontId="54" fillId="0" borderId="42" applyNumberFormat="0" applyFill="0" applyAlignment="0" applyProtection="0"/>
    <xf numFmtId="0" fontId="55" fillId="32" borderId="0" applyNumberFormat="0" applyBorder="0" applyAlignment="0" applyProtection="0"/>
    <xf numFmtId="0" fontId="17" fillId="33" borderId="43" applyNumberFormat="0" applyFont="0" applyAlignment="0" applyProtection="0"/>
    <xf numFmtId="0" fontId="56" fillId="30" borderId="44" applyNumberFormat="0" applyAlignment="0" applyProtection="0"/>
    <xf numFmtId="0" fontId="57" fillId="0" borderId="0" applyNumberFormat="0" applyFill="0" applyBorder="0" applyAlignment="0" applyProtection="0"/>
    <xf numFmtId="0" fontId="58" fillId="0" borderId="45" applyNumberFormat="0" applyFill="0" applyAlignment="0" applyProtection="0"/>
    <xf numFmtId="0" fontId="59" fillId="0" borderId="0" applyNumberFormat="0" applyFill="0" applyBorder="0" applyAlignment="0" applyProtection="0"/>
    <xf numFmtId="0" fontId="19" fillId="0" borderId="0"/>
    <xf numFmtId="0" fontId="17" fillId="0" borderId="0"/>
    <xf numFmtId="0" fontId="40" fillId="0" borderId="0"/>
    <xf numFmtId="0" fontId="17" fillId="0" borderId="0"/>
    <xf numFmtId="0" fontId="17" fillId="0" borderId="0"/>
    <xf numFmtId="0" fontId="17" fillId="0" borderId="0"/>
    <xf numFmtId="9" fontId="17" fillId="0" borderId="0" applyFont="0" applyFill="0" applyBorder="0" applyAlignment="0" applyProtection="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9" fillId="0" borderId="0"/>
    <xf numFmtId="0" fontId="42" fillId="0" borderId="0"/>
    <xf numFmtId="0" fontId="42" fillId="0" borderId="0"/>
    <xf numFmtId="164" fontId="17" fillId="0" borderId="0" applyFont="0" applyFill="0" applyBorder="0" applyAlignment="0" applyProtection="0"/>
    <xf numFmtId="0" fontId="17" fillId="0" borderId="0"/>
    <xf numFmtId="0" fontId="19" fillId="0" borderId="0"/>
    <xf numFmtId="0" fontId="42" fillId="0" borderId="0"/>
    <xf numFmtId="0" fontId="42" fillId="0" borderId="0"/>
    <xf numFmtId="164" fontId="17" fillId="0" borderId="0" applyFont="0" applyFill="0" applyBorder="0" applyAlignment="0" applyProtection="0"/>
    <xf numFmtId="0" fontId="17" fillId="0" borderId="0"/>
    <xf numFmtId="0" fontId="17" fillId="33" borderId="43" applyNumberFormat="0" applyFont="0" applyAlignment="0" applyProtection="0"/>
    <xf numFmtId="0" fontId="17" fillId="0" borderId="0"/>
    <xf numFmtId="0" fontId="17" fillId="0" borderId="0"/>
    <xf numFmtId="0" fontId="19" fillId="0" borderId="0"/>
    <xf numFmtId="164" fontId="17" fillId="0" borderId="0" applyFont="0" applyFill="0" applyBorder="0" applyAlignment="0" applyProtection="0"/>
    <xf numFmtId="0" fontId="19" fillId="0" borderId="0"/>
    <xf numFmtId="164" fontId="17" fillId="0" borderId="0" applyFont="0" applyFill="0" applyBorder="0" applyAlignment="0" applyProtection="0"/>
    <xf numFmtId="0" fontId="17" fillId="0" borderId="0"/>
    <xf numFmtId="0" fontId="17" fillId="0" borderId="0"/>
    <xf numFmtId="171" fontId="60" fillId="0" borderId="0"/>
    <xf numFmtId="9" fontId="61" fillId="0" borderId="0" applyFont="0" applyFill="0" applyBorder="0" applyAlignment="0" applyProtection="0"/>
    <xf numFmtId="0" fontId="17" fillId="0" borderId="0"/>
    <xf numFmtId="0" fontId="17" fillId="0" borderId="0"/>
    <xf numFmtId="0" fontId="17" fillId="0" borderId="0"/>
    <xf numFmtId="0" fontId="9" fillId="0" borderId="0"/>
    <xf numFmtId="0" fontId="8" fillId="0" borderId="0"/>
    <xf numFmtId="0" fontId="64" fillId="0" borderId="0" applyNumberForma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5" fillId="0" borderId="0"/>
    <xf numFmtId="164" fontId="19"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43" fontId="19" fillId="0" borderId="0" applyFont="0" applyFill="0" applyBorder="0" applyAlignment="0" applyProtection="0"/>
    <xf numFmtId="0" fontId="1" fillId="0" borderId="0"/>
    <xf numFmtId="168" fontId="1" fillId="0" borderId="0" applyFont="0" applyFill="0" applyBorder="0" applyProtection="0">
      <alignment vertical="top"/>
    </xf>
    <xf numFmtId="43" fontId="19" fillId="0" borderId="0" applyFont="0" applyFill="0" applyBorder="0" applyAlignment="0" applyProtection="0"/>
    <xf numFmtId="0" fontId="1" fillId="0" borderId="0"/>
    <xf numFmtId="0" fontId="1" fillId="0" borderId="0"/>
    <xf numFmtId="0" fontId="1" fillId="0" borderId="0"/>
    <xf numFmtId="43" fontId="19"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9" fillId="0" borderId="0" applyFont="0" applyFill="0" applyBorder="0" applyAlignment="0" applyProtection="0"/>
    <xf numFmtId="0" fontId="1" fillId="0" borderId="0"/>
  </cellStyleXfs>
  <cellXfs count="741">
    <xf numFmtId="0" fontId="0" fillId="0" borderId="0" xfId="0"/>
    <xf numFmtId="0" fontId="26" fillId="7" borderId="0" xfId="10" applyFont="1" applyFill="1" applyAlignment="1">
      <alignment vertical="center"/>
    </xf>
    <xf numFmtId="0" fontId="27" fillId="0" borderId="0" xfId="0" applyFont="1"/>
    <xf numFmtId="0" fontId="28" fillId="0" borderId="0" xfId="0" applyFont="1" applyAlignment="1">
      <alignment wrapText="1"/>
    </xf>
    <xf numFmtId="0" fontId="30" fillId="0" borderId="0" xfId="0" applyFont="1"/>
    <xf numFmtId="0" fontId="28" fillId="0" borderId="0" xfId="0" applyFont="1"/>
    <xf numFmtId="0" fontId="24" fillId="7" borderId="0" xfId="10" applyFont="1" applyFill="1" applyAlignment="1">
      <alignment vertical="center"/>
    </xf>
    <xf numFmtId="0" fontId="31" fillId="0" borderId="0" xfId="0" applyFont="1"/>
    <xf numFmtId="0" fontId="26" fillId="0" borderId="0" xfId="10" applyFont="1" applyAlignment="1">
      <alignment vertical="center"/>
    </xf>
    <xf numFmtId="0" fontId="27" fillId="0" borderId="1" xfId="0" applyFont="1" applyBorder="1"/>
    <xf numFmtId="0" fontId="29" fillId="0" borderId="0" xfId="0" applyFont="1"/>
    <xf numFmtId="0" fontId="30" fillId="0" borderId="0" xfId="1" applyFont="1"/>
    <xf numFmtId="0" fontId="27" fillId="10" borderId="1" xfId="0" applyFont="1" applyFill="1" applyBorder="1" applyAlignment="1">
      <alignment horizontal="left"/>
    </xf>
    <xf numFmtId="0" fontId="27" fillId="0" borderId="1" xfId="0" applyFont="1" applyBorder="1" applyAlignment="1">
      <alignment vertical="top"/>
    </xf>
    <xf numFmtId="0" fontId="27" fillId="0" borderId="1" xfId="0" applyFont="1" applyBorder="1" applyAlignment="1" applyProtection="1">
      <alignment horizontal="left"/>
      <protection locked="0"/>
    </xf>
    <xf numFmtId="0" fontId="27" fillId="0" borderId="0" xfId="0" applyFont="1" applyBorder="1" applyAlignment="1">
      <alignment vertical="top"/>
    </xf>
    <xf numFmtId="0" fontId="27" fillId="0" borderId="0" xfId="0" applyFont="1" applyBorder="1"/>
    <xf numFmtId="0" fontId="27" fillId="0" borderId="0" xfId="0" applyFont="1" applyBorder="1" applyAlignment="1">
      <alignment horizontal="left" wrapText="1"/>
    </xf>
    <xf numFmtId="0" fontId="29" fillId="0" borderId="0" xfId="0" applyFont="1" applyBorder="1"/>
    <xf numFmtId="0" fontId="31" fillId="0" borderId="1" xfId="0" applyFont="1" applyBorder="1" applyAlignment="1">
      <alignment vertical="center"/>
    </xf>
    <xf numFmtId="0" fontId="27" fillId="0" borderId="0" xfId="0" applyFont="1" applyFill="1" applyBorder="1"/>
    <xf numFmtId="0" fontId="27" fillId="0" borderId="0" xfId="0" applyFont="1" applyFill="1"/>
    <xf numFmtId="0" fontId="27" fillId="0" borderId="0" xfId="0" applyFont="1" applyBorder="1" applyAlignment="1">
      <alignment horizontal="left"/>
    </xf>
    <xf numFmtId="0" fontId="26" fillId="7" borderId="2" xfId="10" applyFont="1" applyFill="1" applyBorder="1"/>
    <xf numFmtId="0" fontId="32" fillId="7" borderId="27" xfId="1" applyFont="1" applyFill="1" applyBorder="1"/>
    <xf numFmtId="0" fontId="33" fillId="0" borderId="0" xfId="0" applyFont="1"/>
    <xf numFmtId="0" fontId="33" fillId="0" borderId="0" xfId="0" applyFont="1" applyAlignment="1">
      <alignment horizontal="center" vertical="center"/>
    </xf>
    <xf numFmtId="14" fontId="27" fillId="0" borderId="18" xfId="0" applyNumberFormat="1" applyFont="1" applyBorder="1" applyAlignment="1" applyProtection="1">
      <protection locked="0"/>
    </xf>
    <xf numFmtId="2" fontId="0" fillId="0" borderId="0" xfId="0" applyNumberFormat="1"/>
    <xf numFmtId="2" fontId="27" fillId="0" borderId="0" xfId="0" applyNumberFormat="1" applyFont="1"/>
    <xf numFmtId="166" fontId="27" fillId="0" borderId="0" xfId="0" applyNumberFormat="1" applyFont="1"/>
    <xf numFmtId="0" fontId="27" fillId="0" borderId="0" xfId="0" applyFont="1" applyAlignment="1">
      <alignment wrapText="1"/>
    </xf>
    <xf numFmtId="0" fontId="34" fillId="0" borderId="0" xfId="17"/>
    <xf numFmtId="0" fontId="27" fillId="0" borderId="0" xfId="0" applyFont="1" applyAlignment="1"/>
    <xf numFmtId="0" fontId="27" fillId="0" borderId="29" xfId="0" applyFont="1" applyBorder="1"/>
    <xf numFmtId="166" fontId="27" fillId="0" borderId="0" xfId="0" applyNumberFormat="1" applyFont="1" applyBorder="1"/>
    <xf numFmtId="0" fontId="27" fillId="0" borderId="13" xfId="0" applyFont="1" applyBorder="1"/>
    <xf numFmtId="0" fontId="27" fillId="0" borderId="32" xfId="0" applyFont="1" applyBorder="1"/>
    <xf numFmtId="0" fontId="27" fillId="0" borderId="0" xfId="0" applyFont="1" applyAlignment="1">
      <alignment horizontal="left"/>
    </xf>
    <xf numFmtId="0" fontId="0" fillId="0" borderId="0" xfId="0" applyFill="1" applyBorder="1"/>
    <xf numFmtId="0" fontId="0" fillId="0" borderId="0" xfId="0" applyBorder="1"/>
    <xf numFmtId="0" fontId="0" fillId="0" borderId="0" xfId="0" applyAlignment="1">
      <alignment horizontal="center" vertical="center"/>
    </xf>
    <xf numFmtId="0" fontId="27" fillId="0" borderId="0" xfId="0" applyFont="1" applyAlignment="1">
      <alignment horizontal="center" vertical="center"/>
    </xf>
    <xf numFmtId="0" fontId="28" fillId="0" borderId="0" xfId="0" applyFont="1" applyAlignment="1">
      <alignment horizontal="left"/>
    </xf>
    <xf numFmtId="0" fontId="27" fillId="0" borderId="0" xfId="0" applyFont="1" applyAlignment="1">
      <alignment horizontal="center"/>
    </xf>
    <xf numFmtId="0" fontId="26" fillId="7" borderId="0" xfId="10" applyFont="1" applyFill="1" applyAlignment="1">
      <alignment horizontal="left" vertical="center"/>
    </xf>
    <xf numFmtId="0" fontId="27" fillId="0" borderId="0" xfId="10" applyFont="1"/>
    <xf numFmtId="0" fontId="28" fillId="0" borderId="0" xfId="10" applyFont="1"/>
    <xf numFmtId="0" fontId="27" fillId="0" borderId="0" xfId="10" applyFont="1" applyAlignment="1">
      <alignment horizontal="left"/>
    </xf>
    <xf numFmtId="0" fontId="27" fillId="0" borderId="0" xfId="10" applyFont="1" applyBorder="1"/>
    <xf numFmtId="0" fontId="27" fillId="0" borderId="1" xfId="10" applyFont="1" applyBorder="1"/>
    <xf numFmtId="0" fontId="28" fillId="0" borderId="0" xfId="10" applyFont="1" applyAlignment="1">
      <alignment horizontal="left"/>
    </xf>
    <xf numFmtId="166" fontId="27" fillId="0" borderId="0" xfId="10" applyNumberFormat="1" applyFont="1"/>
    <xf numFmtId="166" fontId="28" fillId="0" borderId="0" xfId="10" applyNumberFormat="1" applyFont="1"/>
    <xf numFmtId="0" fontId="37" fillId="0" borderId="0" xfId="10" applyFont="1"/>
    <xf numFmtId="166" fontId="27" fillId="0" borderId="0" xfId="10" applyNumberFormat="1" applyFont="1" applyAlignment="1">
      <alignment horizontal="center" vertical="center"/>
    </xf>
    <xf numFmtId="2" fontId="28" fillId="0" borderId="0" xfId="0" applyNumberFormat="1" applyFont="1"/>
    <xf numFmtId="169" fontId="27" fillId="0" borderId="0" xfId="7" applyNumberFormat="1" applyFont="1" applyAlignment="1">
      <alignment horizontal="left"/>
    </xf>
    <xf numFmtId="0" fontId="27" fillId="0" borderId="0" xfId="10" applyFont="1" applyAlignment="1">
      <alignment horizontal="center" vertical="center"/>
    </xf>
    <xf numFmtId="166" fontId="28" fillId="0" borderId="0" xfId="10" applyNumberFormat="1" applyFont="1" applyAlignment="1">
      <alignment horizontal="center"/>
    </xf>
    <xf numFmtId="0" fontId="27" fillId="0" borderId="0" xfId="10" applyFont="1" applyAlignment="1">
      <alignment wrapText="1"/>
    </xf>
    <xf numFmtId="1" fontId="27" fillId="0" borderId="0" xfId="0" applyNumberFormat="1" applyFont="1" applyAlignment="1">
      <alignment horizontal="center"/>
    </xf>
    <xf numFmtId="0" fontId="28" fillId="0" borderId="0" xfId="10" applyFont="1" applyAlignment="1">
      <alignment horizontal="center"/>
    </xf>
    <xf numFmtId="0" fontId="27" fillId="0" borderId="0" xfId="0" applyFont="1" applyBorder="1" applyAlignment="1">
      <alignment horizontal="left" vertical="top"/>
    </xf>
    <xf numFmtId="0" fontId="62" fillId="0" borderId="0" xfId="0" applyFont="1" applyBorder="1"/>
    <xf numFmtId="166" fontId="27" fillId="0" borderId="0" xfId="0" applyNumberFormat="1" applyFont="1" applyBorder="1" applyAlignment="1">
      <alignment horizontal="left"/>
    </xf>
    <xf numFmtId="0" fontId="37" fillId="0" borderId="0" xfId="0" applyFont="1"/>
    <xf numFmtId="0" fontId="30" fillId="0" borderId="0" xfId="0" applyFont="1" applyBorder="1"/>
    <xf numFmtId="0" fontId="27" fillId="0" borderId="15" xfId="0" applyFont="1" applyFill="1" applyBorder="1"/>
    <xf numFmtId="9" fontId="27" fillId="0" borderId="0" xfId="0" applyNumberFormat="1" applyFont="1" applyFill="1" applyBorder="1"/>
    <xf numFmtId="0" fontId="30" fillId="0" borderId="0" xfId="0" applyFont="1" applyFill="1" applyBorder="1" applyAlignment="1">
      <alignment horizontal="left"/>
    </xf>
    <xf numFmtId="0" fontId="30" fillId="0" borderId="0" xfId="0" applyFont="1" applyFill="1" applyBorder="1"/>
    <xf numFmtId="0" fontId="30" fillId="0" borderId="13" xfId="0" applyFont="1" applyFill="1" applyBorder="1"/>
    <xf numFmtId="0" fontId="30" fillId="0" borderId="0" xfId="0" applyFont="1" applyFill="1"/>
    <xf numFmtId="0" fontId="30" fillId="0" borderId="33" xfId="0" applyFont="1" applyFill="1" applyBorder="1"/>
    <xf numFmtId="166" fontId="30" fillId="0" borderId="0" xfId="0" applyNumberFormat="1" applyFont="1" applyFill="1" applyBorder="1"/>
    <xf numFmtId="0" fontId="30" fillId="0" borderId="0" xfId="0" applyFont="1" applyFill="1" applyAlignment="1">
      <alignment horizontal="left"/>
    </xf>
    <xf numFmtId="0" fontId="29" fillId="0" borderId="0" xfId="0" applyFont="1" applyFill="1"/>
    <xf numFmtId="0" fontId="24" fillId="7" borderId="0" xfId="0" applyFont="1" applyFill="1"/>
    <xf numFmtId="0" fontId="66" fillId="0" borderId="0" xfId="0" applyFont="1"/>
    <xf numFmtId="0" fontId="66" fillId="2" borderId="1" xfId="0" applyFont="1" applyFill="1" applyBorder="1" applyAlignment="1">
      <alignment horizontal="left" wrapText="1"/>
    </xf>
    <xf numFmtId="166" fontId="28" fillId="0" borderId="0" xfId="0" applyNumberFormat="1" applyFont="1" applyAlignment="1">
      <alignment horizontal="left"/>
    </xf>
    <xf numFmtId="165" fontId="27" fillId="0" borderId="0" xfId="0" applyNumberFormat="1" applyFont="1"/>
    <xf numFmtId="0" fontId="0" fillId="0" borderId="0" xfId="0" applyFill="1"/>
    <xf numFmtId="2" fontId="0" fillId="0" borderId="1" xfId="0" applyNumberFormat="1" applyBorder="1" applyAlignment="1">
      <alignment horizontal="center" vertical="center"/>
    </xf>
    <xf numFmtId="0" fontId="30" fillId="0" borderId="29" xfId="0" applyFont="1" applyFill="1" applyBorder="1"/>
    <xf numFmtId="0" fontId="27" fillId="0" borderId="0" xfId="10" applyFont="1" applyFill="1" applyBorder="1"/>
    <xf numFmtId="0" fontId="36" fillId="0" borderId="0" xfId="0" applyFont="1" applyAlignment="1">
      <alignment horizontal="left" vertical="center"/>
    </xf>
    <xf numFmtId="0" fontId="20" fillId="0" borderId="0" xfId="0" applyFont="1" applyFill="1" applyBorder="1" applyAlignment="1">
      <alignment horizontal="center" vertical="center" wrapText="1"/>
    </xf>
    <xf numFmtId="166" fontId="0" fillId="0" borderId="0" xfId="0" applyNumberFormat="1" applyFill="1" applyBorder="1" applyAlignment="1">
      <alignment horizontal="center" vertical="center"/>
    </xf>
    <xf numFmtId="166" fontId="0" fillId="0" borderId="0" xfId="0" applyNumberFormat="1" applyFill="1" applyBorder="1"/>
    <xf numFmtId="169" fontId="0" fillId="0" borderId="0" xfId="7" applyNumberFormat="1" applyFont="1" applyFill="1" applyBorder="1"/>
    <xf numFmtId="166" fontId="0" fillId="0" borderId="0" xfId="0" applyNumberFormat="1" applyFill="1" applyBorder="1" applyAlignment="1">
      <alignment vertical="center"/>
    </xf>
    <xf numFmtId="2" fontId="0" fillId="0" borderId="0" xfId="0" applyNumberFormat="1" applyFill="1" applyBorder="1"/>
    <xf numFmtId="0" fontId="31" fillId="10" borderId="1" xfId="0" applyFont="1" applyFill="1" applyBorder="1" applyAlignment="1">
      <alignment horizontal="left"/>
    </xf>
    <xf numFmtId="0" fontId="31" fillId="0" borderId="1" xfId="0" applyFont="1" applyBorder="1" applyAlignment="1"/>
    <xf numFmtId="0" fontId="31" fillId="0" borderId="0" xfId="0" applyFont="1" applyBorder="1" applyAlignment="1"/>
    <xf numFmtId="0" fontId="31" fillId="0" borderId="0" xfId="0" applyFont="1" applyBorder="1"/>
    <xf numFmtId="0" fontId="71" fillId="0" borderId="0" xfId="128" applyFont="1"/>
    <xf numFmtId="0" fontId="31" fillId="0" borderId="1" xfId="0" applyFont="1" applyBorder="1"/>
    <xf numFmtId="164" fontId="31" fillId="0" borderId="0" xfId="0" applyNumberFormat="1" applyFont="1"/>
    <xf numFmtId="0" fontId="65" fillId="0" borderId="0" xfId="0" applyFont="1"/>
    <xf numFmtId="165" fontId="31" fillId="0" borderId="0" xfId="0" applyNumberFormat="1" applyFont="1"/>
    <xf numFmtId="0" fontId="66" fillId="7" borderId="0" xfId="0" applyFont="1" applyFill="1"/>
    <xf numFmtId="0" fontId="31" fillId="0" borderId="1" xfId="129" applyFont="1" applyBorder="1" applyAlignment="1">
      <alignment horizontal="center"/>
    </xf>
    <xf numFmtId="0" fontId="31" fillId="0" borderId="1" xfId="129" applyFont="1" applyBorder="1"/>
    <xf numFmtId="0" fontId="66" fillId="0" borderId="1" xfId="129" applyFont="1" applyBorder="1"/>
    <xf numFmtId="0" fontId="72" fillId="7" borderId="0" xfId="0" applyFont="1" applyFill="1"/>
    <xf numFmtId="164" fontId="31" fillId="0" borderId="1" xfId="6" applyFont="1" applyBorder="1"/>
    <xf numFmtId="172" fontId="31" fillId="0" borderId="1" xfId="6" applyNumberFormat="1" applyFont="1" applyBorder="1"/>
    <xf numFmtId="172" fontId="67" fillId="0" borderId="1" xfId="6" applyNumberFormat="1" applyFont="1" applyBorder="1"/>
    <xf numFmtId="0" fontId="31" fillId="0" borderId="0" xfId="0" applyFont="1" applyAlignment="1">
      <alignment vertical="center"/>
    </xf>
    <xf numFmtId="0" fontId="73" fillId="0" borderId="14" xfId="0" applyFont="1" applyBorder="1"/>
    <xf numFmtId="0" fontId="31" fillId="0" borderId="19" xfId="0" applyFont="1" applyBorder="1"/>
    <xf numFmtId="0" fontId="66" fillId="0" borderId="19" xfId="0" applyFont="1" applyBorder="1"/>
    <xf numFmtId="0" fontId="31" fillId="0" borderId="20" xfId="0" applyFont="1" applyBorder="1"/>
    <xf numFmtId="0" fontId="31" fillId="0" borderId="0" xfId="0" applyFont="1" applyAlignment="1">
      <alignment horizontal="right" vertical="center"/>
    </xf>
    <xf numFmtId="0" fontId="31" fillId="0" borderId="20" xfId="0" applyFont="1" applyBorder="1" applyAlignment="1">
      <alignment horizontal="center"/>
    </xf>
    <xf numFmtId="0" fontId="31" fillId="0" borderId="13" xfId="0" applyFont="1" applyBorder="1" applyAlignment="1">
      <alignment horizontal="center"/>
    </xf>
    <xf numFmtId="0" fontId="66" fillId="0" borderId="20" xfId="0" applyFont="1" applyBorder="1" applyAlignment="1">
      <alignment horizontal="center"/>
    </xf>
    <xf numFmtId="0" fontId="31" fillId="3" borderId="4" xfId="0" applyFont="1" applyFill="1" applyBorder="1" applyAlignment="1">
      <alignment vertical="top" wrapText="1"/>
    </xf>
    <xf numFmtId="0" fontId="31" fillId="3" borderId="16" xfId="0" applyFont="1" applyFill="1" applyBorder="1" applyAlignment="1">
      <alignment vertical="top" wrapText="1"/>
    </xf>
    <xf numFmtId="0" fontId="31" fillId="3" borderId="5" xfId="0" applyFont="1" applyFill="1" applyBorder="1" applyAlignment="1">
      <alignment vertical="top" wrapText="1"/>
    </xf>
    <xf numFmtId="0" fontId="31" fillId="4" borderId="11" xfId="0" applyFont="1" applyFill="1" applyBorder="1" applyAlignment="1">
      <alignment vertical="top" wrapText="1"/>
    </xf>
    <xf numFmtId="0" fontId="31" fillId="5" borderId="11" xfId="0" applyFont="1" applyFill="1" applyBorder="1" applyAlignment="1">
      <alignment vertical="top" wrapText="1"/>
    </xf>
    <xf numFmtId="0" fontId="31" fillId="0" borderId="0" xfId="0" applyFont="1" applyAlignment="1">
      <alignment vertical="top" wrapText="1"/>
    </xf>
    <xf numFmtId="0" fontId="31" fillId="9" borderId="11" xfId="0" applyFont="1" applyFill="1" applyBorder="1" applyAlignment="1">
      <alignment vertical="top" wrapText="1"/>
    </xf>
    <xf numFmtId="0" fontId="31" fillId="6" borderId="11" xfId="0" applyFont="1" applyFill="1" applyBorder="1" applyAlignment="1">
      <alignment vertical="top" wrapText="1"/>
    </xf>
    <xf numFmtId="0" fontId="31" fillId="7" borderId="11" xfId="0" applyFont="1" applyFill="1" applyBorder="1" applyAlignment="1">
      <alignment vertical="top" wrapText="1"/>
    </xf>
    <xf numFmtId="0" fontId="31" fillId="3" borderId="6" xfId="0" applyFont="1" applyFill="1" applyBorder="1" applyAlignment="1">
      <alignment vertical="top" wrapText="1"/>
    </xf>
    <xf numFmtId="0" fontId="31" fillId="3" borderId="1" xfId="0" applyFont="1" applyFill="1" applyBorder="1" applyAlignment="1">
      <alignment vertical="top" wrapText="1"/>
    </xf>
    <xf numFmtId="0" fontId="31" fillId="3" borderId="3" xfId="0" applyFont="1" applyFill="1" applyBorder="1" applyAlignment="1">
      <alignment vertical="top" wrapText="1"/>
    </xf>
    <xf numFmtId="0" fontId="31" fillId="4" borderId="24" xfId="0" applyFont="1" applyFill="1" applyBorder="1" applyAlignment="1">
      <alignment vertical="top" wrapText="1"/>
    </xf>
    <xf numFmtId="0" fontId="31" fillId="4" borderId="21" xfId="0" applyFont="1" applyFill="1" applyBorder="1" applyAlignment="1">
      <alignment vertical="top" wrapText="1"/>
    </xf>
    <xf numFmtId="0" fontId="31" fillId="5" borderId="21" xfId="0" applyFont="1" applyFill="1" applyBorder="1" applyAlignment="1">
      <alignment vertical="top" wrapText="1"/>
    </xf>
    <xf numFmtId="0" fontId="31" fillId="9" borderId="20" xfId="0" applyFont="1" applyFill="1" applyBorder="1" applyAlignment="1">
      <alignment vertical="top" wrapText="1"/>
    </xf>
    <xf numFmtId="0" fontId="31" fillId="6" borderId="21" xfId="0" applyFont="1" applyFill="1" applyBorder="1" applyAlignment="1">
      <alignment vertical="top" wrapText="1"/>
    </xf>
    <xf numFmtId="0" fontId="31" fillId="7" borderId="21" xfId="0" applyFont="1" applyFill="1" applyBorder="1" applyAlignment="1">
      <alignment vertical="top" wrapText="1"/>
    </xf>
    <xf numFmtId="2" fontId="31" fillId="0" borderId="6" xfId="4" applyNumberFormat="1" applyFont="1" applyBorder="1" applyAlignment="1">
      <alignment vertical="center"/>
    </xf>
    <xf numFmtId="2" fontId="31" fillId="0" borderId="1" xfId="0" applyNumberFormat="1" applyFont="1" applyFill="1" applyBorder="1" applyAlignment="1">
      <alignment vertical="center"/>
    </xf>
    <xf numFmtId="2" fontId="31" fillId="0" borderId="22" xfId="0" applyNumberFormat="1" applyFont="1" applyFill="1" applyBorder="1" applyAlignment="1">
      <alignment vertical="center"/>
    </xf>
    <xf numFmtId="2" fontId="31" fillId="0" borderId="1" xfId="16" applyNumberFormat="1" applyFont="1" applyFill="1" applyBorder="1" applyAlignment="1">
      <alignment vertical="center"/>
    </xf>
    <xf numFmtId="0" fontId="31" fillId="0" borderId="1" xfId="0" applyFont="1" applyFill="1" applyBorder="1" applyAlignment="1">
      <alignment vertical="center"/>
    </xf>
    <xf numFmtId="0" fontId="31" fillId="0" borderId="3" xfId="0" applyFont="1" applyBorder="1" applyAlignment="1">
      <alignment vertical="center"/>
    </xf>
    <xf numFmtId="167" fontId="31" fillId="0" borderId="0" xfId="0" applyNumberFormat="1" applyFont="1"/>
    <xf numFmtId="2" fontId="31" fillId="0" borderId="1" xfId="16" applyNumberFormat="1" applyFont="1" applyBorder="1" applyAlignment="1">
      <alignment vertical="center"/>
    </xf>
    <xf numFmtId="2" fontId="31" fillId="0" borderId="0" xfId="0" applyNumberFormat="1" applyFont="1"/>
    <xf numFmtId="0" fontId="31" fillId="0" borderId="0" xfId="0" applyFont="1" applyAlignment="1">
      <alignment horizontal="right"/>
    </xf>
    <xf numFmtId="0" fontId="27" fillId="0" borderId="0" xfId="10" applyFont="1" applyFill="1"/>
    <xf numFmtId="0" fontId="38" fillId="0" borderId="0" xfId="10" applyFont="1" applyFill="1" applyBorder="1" applyAlignment="1">
      <alignment vertical="center" wrapText="1" readingOrder="1"/>
    </xf>
    <xf numFmtId="0" fontId="39" fillId="0" borderId="0" xfId="10" applyFont="1" applyFill="1" applyBorder="1" applyAlignment="1">
      <alignment horizontal="center" vertical="center" wrapText="1" readingOrder="1"/>
    </xf>
    <xf numFmtId="0" fontId="30" fillId="0" borderId="31" xfId="0" applyFont="1" applyFill="1" applyBorder="1"/>
    <xf numFmtId="0" fontId="30" fillId="0" borderId="0" xfId="0" applyFont="1" applyFill="1" applyBorder="1" applyAlignment="1">
      <alignment wrapText="1"/>
    </xf>
    <xf numFmtId="0" fontId="29" fillId="0" borderId="30" xfId="0" applyFont="1" applyFill="1" applyBorder="1"/>
    <xf numFmtId="0" fontId="30" fillId="0" borderId="15" xfId="0" applyFont="1" applyFill="1" applyBorder="1"/>
    <xf numFmtId="0" fontId="63" fillId="0" borderId="29" xfId="0" applyFont="1" applyFill="1" applyBorder="1"/>
    <xf numFmtId="0" fontId="30" fillId="0" borderId="15" xfId="0" applyFont="1" applyFill="1" applyBorder="1" applyAlignment="1">
      <alignment horizontal="center"/>
    </xf>
    <xf numFmtId="0" fontId="63" fillId="0" borderId="0" xfId="0" applyFont="1" applyFill="1" applyBorder="1"/>
    <xf numFmtId="0" fontId="27" fillId="0" borderId="15" xfId="0" applyFont="1" applyFill="1" applyBorder="1" applyAlignment="1">
      <alignment horizontal="left"/>
    </xf>
    <xf numFmtId="0" fontId="27" fillId="0" borderId="0" xfId="0" applyFont="1" applyFill="1" applyBorder="1" applyAlignment="1">
      <alignment wrapText="1"/>
    </xf>
    <xf numFmtId="0" fontId="27" fillId="0" borderId="0" xfId="0" applyFont="1" applyBorder="1" applyAlignment="1">
      <alignment wrapText="1"/>
    </xf>
    <xf numFmtId="0" fontId="27" fillId="0" borderId="0" xfId="0" applyFont="1" applyFill="1" applyAlignment="1">
      <alignment wrapText="1"/>
    </xf>
    <xf numFmtId="0" fontId="30" fillId="0" borderId="13" xfId="0" applyFont="1" applyFill="1" applyBorder="1" applyAlignment="1">
      <alignment wrapText="1"/>
    </xf>
    <xf numFmtId="2" fontId="30" fillId="0" borderId="0" xfId="0" applyNumberFormat="1" applyFont="1" applyFill="1" applyBorder="1" applyAlignment="1">
      <alignment horizontal="center" vertical="center"/>
    </xf>
    <xf numFmtId="0" fontId="27" fillId="0" borderId="0" xfId="10" applyFont="1" applyBorder="1" applyAlignment="1">
      <alignment wrapText="1"/>
    </xf>
    <xf numFmtId="2" fontId="27" fillId="0" borderId="0" xfId="0" applyNumberFormat="1" applyFont="1" applyBorder="1"/>
    <xf numFmtId="0" fontId="30" fillId="0" borderId="1" xfId="0" applyFont="1" applyFill="1" applyBorder="1"/>
    <xf numFmtId="0" fontId="0" fillId="0" borderId="0" xfId="0" applyAlignment="1">
      <alignment horizontal="left" vertical="center"/>
    </xf>
    <xf numFmtId="0" fontId="0" fillId="0" borderId="6" xfId="0" applyBorder="1" applyAlignment="1">
      <alignment horizontal="center" vertical="center"/>
    </xf>
    <xf numFmtId="0" fontId="36" fillId="0" borderId="7" xfId="0" applyFont="1" applyBorder="1" applyAlignment="1">
      <alignment horizontal="center" vertical="center"/>
    </xf>
    <xf numFmtId="166" fontId="27" fillId="0" borderId="1" xfId="10" applyNumberFormat="1" applyFont="1" applyBorder="1" applyAlignment="1">
      <alignment horizontal="center" vertical="center"/>
    </xf>
    <xf numFmtId="0" fontId="27" fillId="0" borderId="1" xfId="10" applyFont="1" applyBorder="1" applyAlignment="1">
      <alignment horizontal="center" vertical="center"/>
    </xf>
    <xf numFmtId="0" fontId="28" fillId="0" borderId="0" xfId="0" applyFont="1" applyBorder="1"/>
    <xf numFmtId="0" fontId="27" fillId="0" borderId="1" xfId="10" applyFont="1" applyBorder="1" applyAlignment="1">
      <alignment horizontal="center" vertical="center" wrapText="1"/>
    </xf>
    <xf numFmtId="0" fontId="29" fillId="0" borderId="0" xfId="0" applyFont="1" applyFill="1" applyBorder="1"/>
    <xf numFmtId="2" fontId="30" fillId="0" borderId="0" xfId="0" applyNumberFormat="1" applyFont="1" applyFill="1" applyBorder="1" applyAlignment="1">
      <alignment horizontal="right"/>
    </xf>
    <xf numFmtId="2" fontId="63" fillId="0" borderId="0" xfId="0" applyNumberFormat="1" applyFont="1" applyFill="1" applyBorder="1" applyAlignment="1">
      <alignment horizontal="right"/>
    </xf>
    <xf numFmtId="2" fontId="27" fillId="0" borderId="0" xfId="0" applyNumberFormat="1" applyFont="1" applyBorder="1" applyAlignment="1">
      <alignment horizontal="right"/>
    </xf>
    <xf numFmtId="2" fontId="30" fillId="0" borderId="33" xfId="0" applyNumberFormat="1" applyFont="1" applyFill="1" applyBorder="1" applyAlignment="1">
      <alignment horizontal="right"/>
    </xf>
    <xf numFmtId="2" fontId="30" fillId="0" borderId="0" xfId="0" applyNumberFormat="1" applyFont="1" applyFill="1" applyBorder="1" applyAlignment="1">
      <alignment horizontal="center"/>
    </xf>
    <xf numFmtId="0" fontId="35" fillId="0" borderId="0" xfId="0" applyFont="1" applyFill="1" applyBorder="1" applyAlignment="1">
      <alignment horizontal="left" wrapText="1"/>
    </xf>
    <xf numFmtId="0" fontId="30" fillId="0" borderId="1" xfId="0" applyFont="1" applyBorder="1"/>
    <xf numFmtId="165" fontId="30" fillId="0" borderId="0" xfId="0" applyNumberFormat="1" applyFont="1" applyFill="1" applyBorder="1" applyAlignment="1">
      <alignment horizontal="center"/>
    </xf>
    <xf numFmtId="2" fontId="27" fillId="0" borderId="0" xfId="0" applyNumberFormat="1" applyFont="1" applyFill="1" applyBorder="1"/>
    <xf numFmtId="0" fontId="27" fillId="0" borderId="0" xfId="0" applyFont="1" applyAlignment="1">
      <alignment horizontal="right"/>
    </xf>
    <xf numFmtId="43" fontId="31" fillId="0" borderId="0" xfId="0" applyNumberFormat="1" applyFont="1"/>
    <xf numFmtId="4" fontId="0" fillId="0" borderId="0" xfId="0" applyNumberFormat="1"/>
    <xf numFmtId="0" fontId="36" fillId="0" borderId="0" xfId="0" applyFont="1" applyBorder="1"/>
    <xf numFmtId="9" fontId="27" fillId="0" borderId="0" xfId="0" applyNumberFormat="1" applyFont="1" applyFill="1" applyBorder="1" applyAlignment="1">
      <alignment wrapText="1"/>
    </xf>
    <xf numFmtId="165" fontId="27" fillId="0" borderId="0" xfId="10" applyNumberFormat="1" applyFont="1"/>
    <xf numFmtId="2" fontId="27" fillId="0" borderId="0" xfId="0" applyNumberFormat="1" applyFont="1" applyBorder="1" applyAlignment="1">
      <alignment horizontal="center" vertical="center"/>
    </xf>
    <xf numFmtId="170" fontId="0" fillId="0" borderId="0" xfId="0" applyNumberFormat="1"/>
    <xf numFmtId="167" fontId="0" fillId="0" borderId="0" xfId="0" applyNumberFormat="1"/>
    <xf numFmtId="0" fontId="78" fillId="0" borderId="0" xfId="0" applyFont="1"/>
    <xf numFmtId="0" fontId="23" fillId="0" borderId="36" xfId="0" applyFont="1" applyFill="1" applyBorder="1"/>
    <xf numFmtId="0" fontId="31" fillId="34" borderId="11" xfId="0" applyFont="1" applyFill="1" applyBorder="1" applyAlignment="1">
      <alignment vertical="top" wrapText="1"/>
    </xf>
    <xf numFmtId="0" fontId="31" fillId="34" borderId="21" xfId="0" applyFont="1" applyFill="1" applyBorder="1" applyAlignment="1">
      <alignment vertical="top" wrapText="1"/>
    </xf>
    <xf numFmtId="0" fontId="77" fillId="0" borderId="0" xfId="0" applyFont="1"/>
    <xf numFmtId="0" fontId="79" fillId="0" borderId="0" xfId="0" applyFont="1" applyAlignment="1">
      <alignment vertical="center"/>
    </xf>
    <xf numFmtId="2" fontId="80" fillId="0" borderId="0" xfId="0" applyNumberFormat="1" applyFont="1"/>
    <xf numFmtId="0" fontId="66" fillId="8" borderId="1" xfId="0" applyFont="1" applyFill="1" applyBorder="1" applyAlignment="1">
      <alignment horizontal="center" wrapText="1"/>
    </xf>
    <xf numFmtId="0" fontId="31" fillId="0" borderId="1" xfId="140" applyFont="1" applyBorder="1"/>
    <xf numFmtId="173" fontId="31" fillId="0" borderId="1" xfId="6" applyNumberFormat="1" applyFont="1" applyBorder="1"/>
    <xf numFmtId="0" fontId="66" fillId="0" borderId="1" xfId="140" applyFont="1" applyBorder="1"/>
    <xf numFmtId="166" fontId="66" fillId="0" borderId="1" xfId="6" applyNumberFormat="1" applyFont="1" applyBorder="1"/>
    <xf numFmtId="0" fontId="31" fillId="0" borderId="18" xfId="140" applyFont="1" applyBorder="1"/>
    <xf numFmtId="164" fontId="31" fillId="0" borderId="18" xfId="6" applyFont="1" applyBorder="1"/>
    <xf numFmtId="173" fontId="31" fillId="0" borderId="18" xfId="6" applyNumberFormat="1" applyFont="1" applyBorder="1"/>
    <xf numFmtId="0" fontId="82" fillId="0" borderId="0" xfId="0" applyFont="1" applyFill="1" applyAlignment="1">
      <alignment horizontal="left"/>
    </xf>
    <xf numFmtId="0" fontId="82" fillId="0" borderId="0" xfId="0" applyFont="1"/>
    <xf numFmtId="0" fontId="83" fillId="0" borderId="0" xfId="137" applyFont="1"/>
    <xf numFmtId="0" fontId="81" fillId="0" borderId="0" xfId="0" applyFont="1"/>
    <xf numFmtId="0" fontId="82" fillId="0" borderId="0" xfId="0" applyFont="1" applyAlignment="1">
      <alignment horizontal="left" indent="1"/>
    </xf>
    <xf numFmtId="0" fontId="82" fillId="0" borderId="0" xfId="0" applyNumberFormat="1" applyFont="1"/>
    <xf numFmtId="0" fontId="84" fillId="0" borderId="0" xfId="0" applyFont="1" applyAlignment="1">
      <alignment horizontal="left" indent="1"/>
    </xf>
    <xf numFmtId="0" fontId="82" fillId="0" borderId="0" xfId="0" applyFont="1" applyAlignment="1">
      <alignment horizontal="left" indent="2"/>
    </xf>
    <xf numFmtId="9" fontId="83" fillId="0" borderId="0" xfId="7" applyFont="1"/>
    <xf numFmtId="0" fontId="82" fillId="0" borderId="0" xfId="0" applyFont="1" applyAlignment="1">
      <alignment horizontal="left" indent="3"/>
    </xf>
    <xf numFmtId="2" fontId="82" fillId="0" borderId="0" xfId="0" applyNumberFormat="1" applyFont="1"/>
    <xf numFmtId="0" fontId="81" fillId="0" borderId="0" xfId="10" applyFont="1"/>
    <xf numFmtId="165" fontId="81" fillId="0" borderId="0" xfId="10" applyNumberFormat="1" applyFont="1"/>
    <xf numFmtId="0" fontId="84" fillId="0" borderId="0" xfId="0" applyFont="1" applyAlignment="1">
      <alignment horizontal="left" indent="2"/>
    </xf>
    <xf numFmtId="0" fontId="81" fillId="0" borderId="0" xfId="0" applyFont="1" applyBorder="1"/>
    <xf numFmtId="0" fontId="81" fillId="0" borderId="0" xfId="0" applyFont="1" applyAlignment="1">
      <alignment horizontal="center"/>
    </xf>
    <xf numFmtId="0" fontId="81" fillId="0" borderId="0" xfId="0" applyFont="1" applyAlignment="1">
      <alignment wrapText="1"/>
    </xf>
    <xf numFmtId="0" fontId="81" fillId="0" borderId="0" xfId="0" applyFont="1" applyAlignment="1">
      <alignment horizontal="center" vertical="center"/>
    </xf>
    <xf numFmtId="2" fontId="81" fillId="0" borderId="0" xfId="0" applyNumberFormat="1" applyFont="1" applyBorder="1" applyAlignment="1">
      <alignment horizontal="center" vertical="center"/>
    </xf>
    <xf numFmtId="9" fontId="81" fillId="0" borderId="0" xfId="7" applyFont="1" applyBorder="1" applyAlignment="1">
      <alignment horizontal="center" vertical="center"/>
    </xf>
    <xf numFmtId="2" fontId="81" fillId="0" borderId="0" xfId="0" applyNumberFormat="1" applyFont="1" applyBorder="1"/>
    <xf numFmtId="0" fontId="81" fillId="0" borderId="0" xfId="10" applyFont="1" applyBorder="1"/>
    <xf numFmtId="0" fontId="81" fillId="0" borderId="0" xfId="10" applyFont="1" applyAlignment="1">
      <alignment horizontal="center"/>
    </xf>
    <xf numFmtId="0" fontId="81" fillId="0" borderId="0" xfId="10" applyFont="1" applyFill="1"/>
    <xf numFmtId="0" fontId="81" fillId="0" borderId="0" xfId="0" applyFont="1" applyAlignment="1">
      <alignment horizontal="right"/>
    </xf>
    <xf numFmtId="174" fontId="81" fillId="0" borderId="0" xfId="0" applyNumberFormat="1" applyFont="1"/>
    <xf numFmtId="166" fontId="81" fillId="0" borderId="0" xfId="0" applyNumberFormat="1" applyFont="1" applyAlignment="1">
      <alignment horizontal="center" vertical="center"/>
    </xf>
    <xf numFmtId="0" fontId="81" fillId="0" borderId="0" xfId="10" applyFont="1" applyAlignment="1">
      <alignment wrapText="1"/>
    </xf>
    <xf numFmtId="166" fontId="81" fillId="0" borderId="0" xfId="10" applyNumberFormat="1" applyFont="1"/>
    <xf numFmtId="0" fontId="81" fillId="0" borderId="0" xfId="0" applyFont="1" applyFill="1" applyBorder="1"/>
    <xf numFmtId="2" fontId="81" fillId="0" borderId="0" xfId="0" applyNumberFormat="1" applyFont="1" applyFill="1" applyBorder="1"/>
    <xf numFmtId="165" fontId="63" fillId="0" borderId="0" xfId="0" applyNumberFormat="1" applyFont="1" applyFill="1" applyBorder="1" applyAlignment="1">
      <alignment horizontal="right"/>
    </xf>
    <xf numFmtId="165" fontId="30" fillId="0" borderId="0" xfId="0" applyNumberFormat="1" applyFont="1" applyFill="1" applyBorder="1" applyAlignment="1">
      <alignment horizontal="right"/>
    </xf>
    <xf numFmtId="2" fontId="27" fillId="0" borderId="0" xfId="10" applyNumberFormat="1" applyFont="1"/>
    <xf numFmtId="165" fontId="27" fillId="0" borderId="1" xfId="10" applyNumberFormat="1" applyFont="1" applyBorder="1" applyAlignment="1">
      <alignment horizontal="center"/>
    </xf>
    <xf numFmtId="0" fontId="28" fillId="0" borderId="1" xfId="10" applyFont="1" applyBorder="1"/>
    <xf numFmtId="0" fontId="29" fillId="0" borderId="0" xfId="10" applyFont="1" applyAlignment="1">
      <alignment horizontal="center"/>
    </xf>
    <xf numFmtId="0" fontId="27" fillId="0" borderId="0" xfId="10" applyFont="1" applyAlignment="1">
      <alignment horizontal="center" vertical="center" wrapText="1"/>
    </xf>
    <xf numFmtId="165" fontId="28" fillId="0" borderId="0" xfId="10" applyNumberFormat="1" applyFont="1"/>
    <xf numFmtId="0" fontId="28" fillId="0" borderId="0" xfId="10" applyFont="1" applyBorder="1"/>
    <xf numFmtId="165" fontId="27" fillId="0" borderId="0" xfId="10" applyNumberFormat="1" applyFont="1" applyBorder="1" applyAlignment="1">
      <alignment horizontal="center"/>
    </xf>
    <xf numFmtId="165" fontId="28" fillId="0" borderId="0" xfId="10" applyNumberFormat="1" applyFont="1" applyBorder="1" applyAlignment="1">
      <alignment horizontal="center"/>
    </xf>
    <xf numFmtId="0" fontId="28" fillId="0" borderId="0" xfId="10" applyFont="1" applyBorder="1" applyAlignment="1">
      <alignment wrapText="1"/>
    </xf>
    <xf numFmtId="2" fontId="27" fillId="0" borderId="1" xfId="10" applyNumberFormat="1" applyFont="1" applyBorder="1" applyAlignment="1">
      <alignment horizontal="center"/>
    </xf>
    <xf numFmtId="0" fontId="35" fillId="0" borderId="0" xfId="10" applyFont="1" applyBorder="1"/>
    <xf numFmtId="1" fontId="35" fillId="0" borderId="0" xfId="10" applyNumberFormat="1" applyFont="1"/>
    <xf numFmtId="165" fontId="35" fillId="0" borderId="0" xfId="10" applyNumberFormat="1" applyFont="1" applyBorder="1" applyAlignment="1"/>
    <xf numFmtId="165" fontId="35" fillId="0" borderId="0" xfId="10" applyNumberFormat="1" applyFont="1" applyBorder="1" applyAlignment="1">
      <alignment wrapText="1"/>
    </xf>
    <xf numFmtId="165" fontId="75" fillId="0" borderId="0" xfId="10" applyNumberFormat="1" applyFont="1" applyBorder="1" applyAlignment="1">
      <alignment horizontal="center"/>
    </xf>
    <xf numFmtId="166" fontId="27" fillId="0" borderId="0" xfId="10" applyNumberFormat="1" applyFont="1" applyBorder="1" applyAlignment="1">
      <alignment horizontal="center"/>
    </xf>
    <xf numFmtId="165" fontId="27" fillId="0" borderId="0" xfId="10" applyNumberFormat="1" applyFont="1" applyBorder="1" applyAlignment="1">
      <alignment horizontal="left"/>
    </xf>
    <xf numFmtId="0" fontId="22" fillId="0" borderId="0" xfId="0" applyFont="1"/>
    <xf numFmtId="0" fontId="68" fillId="0" borderId="0" xfId="0" applyFont="1"/>
    <xf numFmtId="0" fontId="67" fillId="8" borderId="1" xfId="0" applyFont="1" applyFill="1" applyBorder="1" applyAlignment="1">
      <alignment horizontal="center" wrapText="1"/>
    </xf>
    <xf numFmtId="43" fontId="68" fillId="0" borderId="0" xfId="0" applyNumberFormat="1" applyFont="1"/>
    <xf numFmtId="0" fontId="25" fillId="0" borderId="0" xfId="0" applyFont="1"/>
    <xf numFmtId="175" fontId="31" fillId="0" borderId="1" xfId="6" applyNumberFormat="1" applyFont="1" applyBorder="1"/>
    <xf numFmtId="165" fontId="27" fillId="0" borderId="0" xfId="0" applyNumberFormat="1" applyFont="1" applyBorder="1" applyAlignment="1">
      <alignment horizontal="right"/>
    </xf>
    <xf numFmtId="165" fontId="30" fillId="0" borderId="33" xfId="0" applyNumberFormat="1" applyFont="1" applyFill="1" applyBorder="1" applyAlignment="1">
      <alignment horizontal="right"/>
    </xf>
    <xf numFmtId="175" fontId="67" fillId="0" borderId="1" xfId="6" applyNumberFormat="1" applyFont="1" applyBorder="1"/>
    <xf numFmtId="175" fontId="66" fillId="0" borderId="1" xfId="6" applyNumberFormat="1" applyFont="1" applyBorder="1"/>
    <xf numFmtId="165" fontId="27" fillId="0" borderId="0" xfId="10" applyNumberFormat="1" applyFont="1" applyFill="1" applyBorder="1" applyAlignment="1">
      <alignment horizontal="center"/>
    </xf>
    <xf numFmtId="166" fontId="27" fillId="0" borderId="1" xfId="10" applyNumberFormat="1" applyFont="1" applyBorder="1" applyAlignment="1">
      <alignment horizontal="center"/>
    </xf>
    <xf numFmtId="2" fontId="31" fillId="0" borderId="0" xfId="0" applyNumberFormat="1" applyFont="1" applyAlignment="1">
      <alignment horizontal="right"/>
    </xf>
    <xf numFmtId="0" fontId="31" fillId="3" borderId="12" xfId="0" applyFont="1" applyFill="1" applyBorder="1" applyAlignment="1">
      <alignment vertical="top" wrapText="1"/>
    </xf>
    <xf numFmtId="0" fontId="31" fillId="3" borderId="24" xfId="0" applyFont="1" applyFill="1" applyBorder="1" applyAlignment="1">
      <alignment vertical="top" wrapText="1"/>
    </xf>
    <xf numFmtId="165" fontId="31" fillId="0" borderId="1" xfId="0" applyNumberFormat="1" applyFont="1" applyFill="1" applyBorder="1" applyAlignment="1">
      <alignment vertical="center"/>
    </xf>
    <xf numFmtId="165" fontId="31" fillId="0" borderId="0" xfId="0" applyNumberFormat="1" applyFont="1" applyAlignment="1">
      <alignment horizontal="right"/>
    </xf>
    <xf numFmtId="175" fontId="31" fillId="0" borderId="0" xfId="6" applyNumberFormat="1" applyFont="1"/>
    <xf numFmtId="175" fontId="31" fillId="0" borderId="0" xfId="6" applyNumberFormat="1" applyFont="1" applyAlignment="1">
      <alignment horizontal="right"/>
    </xf>
    <xf numFmtId="0" fontId="66" fillId="8" borderId="1" xfId="10" applyFont="1" applyFill="1" applyBorder="1" applyAlignment="1">
      <alignment horizontal="center" wrapText="1"/>
    </xf>
    <xf numFmtId="0" fontId="66" fillId="35" borderId="1" xfId="10" applyFont="1" applyFill="1" applyBorder="1" applyAlignment="1">
      <alignment horizontal="center" wrapText="1"/>
    </xf>
    <xf numFmtId="175" fontId="68" fillId="0" borderId="1" xfId="6" applyNumberFormat="1" applyFont="1" applyBorder="1"/>
    <xf numFmtId="172" fontId="66" fillId="0" borderId="0" xfId="6" applyNumberFormat="1" applyFont="1" applyBorder="1"/>
    <xf numFmtId="169" fontId="31" fillId="0" borderId="1" xfId="7" applyNumberFormat="1" applyFont="1" applyBorder="1"/>
    <xf numFmtId="2" fontId="80" fillId="0" borderId="30" xfId="0" applyNumberFormat="1" applyFont="1" applyBorder="1"/>
    <xf numFmtId="2" fontId="80" fillId="0" borderId="15" xfId="0" applyNumberFormat="1" applyFont="1" applyBorder="1"/>
    <xf numFmtId="0" fontId="31" fillId="0" borderId="15" xfId="0" applyFont="1" applyBorder="1"/>
    <xf numFmtId="0" fontId="69" fillId="0" borderId="15" xfId="10" applyFont="1" applyBorder="1" applyAlignment="1">
      <alignment horizontal="right"/>
    </xf>
    <xf numFmtId="169" fontId="69" fillId="0" borderId="15" xfId="7" applyNumberFormat="1" applyFont="1" applyBorder="1"/>
    <xf numFmtId="0" fontId="66" fillId="35" borderId="6" xfId="10" applyFont="1" applyFill="1" applyBorder="1" applyAlignment="1">
      <alignment horizontal="center"/>
    </xf>
    <xf numFmtId="0" fontId="31" fillId="0" borderId="13" xfId="0" applyFont="1" applyBorder="1"/>
    <xf numFmtId="0" fontId="31" fillId="0" borderId="6" xfId="140" applyFont="1" applyBorder="1"/>
    <xf numFmtId="0" fontId="66" fillId="0" borderId="6" xfId="140" applyFont="1" applyBorder="1"/>
    <xf numFmtId="0" fontId="31" fillId="0" borderId="31" xfId="0" applyFont="1" applyBorder="1"/>
    <xf numFmtId="0" fontId="31" fillId="0" borderId="33" xfId="0" applyFont="1" applyBorder="1"/>
    <xf numFmtId="0" fontId="31" fillId="0" borderId="32" xfId="0" applyFont="1" applyBorder="1"/>
    <xf numFmtId="0" fontId="28" fillId="0" borderId="0" xfId="10" applyFont="1" applyAlignment="1">
      <alignment horizontal="center" vertical="center"/>
    </xf>
    <xf numFmtId="0" fontId="17" fillId="0" borderId="11" xfId="0" applyFont="1" applyBorder="1" applyAlignment="1">
      <alignment vertical="center"/>
    </xf>
    <xf numFmtId="0" fontId="17" fillId="0" borderId="21" xfId="0" applyFont="1" applyBorder="1" applyAlignment="1">
      <alignment vertical="center"/>
    </xf>
    <xf numFmtId="2" fontId="27" fillId="0" borderId="0" xfId="10" applyNumberFormat="1" applyFont="1" applyAlignment="1">
      <alignment horizontal="center" vertical="center"/>
    </xf>
    <xf numFmtId="2" fontId="23" fillId="0" borderId="1" xfId="0" applyNumberFormat="1" applyFont="1" applyFill="1" applyBorder="1" applyAlignment="1">
      <alignment horizontal="center" vertical="center"/>
    </xf>
    <xf numFmtId="0" fontId="31" fillId="0" borderId="1" xfId="0" applyFont="1" applyFill="1" applyBorder="1"/>
    <xf numFmtId="2" fontId="0" fillId="0" borderId="0" xfId="0" applyNumberFormat="1" applyAlignment="1">
      <alignment horizontal="center"/>
    </xf>
    <xf numFmtId="166" fontId="31" fillId="0" borderId="1" xfId="0" applyNumberFormat="1" applyFont="1" applyFill="1" applyBorder="1"/>
    <xf numFmtId="165" fontId="30" fillId="0" borderId="0" xfId="10" applyNumberFormat="1" applyFont="1" applyFill="1" applyBorder="1" applyAlignment="1">
      <alignment horizontal="left"/>
    </xf>
    <xf numFmtId="165" fontId="27" fillId="0" borderId="0" xfId="10" applyNumberFormat="1" applyFont="1" applyFill="1" applyBorder="1" applyAlignment="1">
      <alignment horizontal="left"/>
    </xf>
    <xf numFmtId="165" fontId="28" fillId="0" borderId="0" xfId="10" applyNumberFormat="1" applyFont="1" applyFill="1" applyBorder="1" applyAlignment="1">
      <alignment horizontal="center"/>
    </xf>
    <xf numFmtId="165" fontId="27" fillId="0" borderId="0" xfId="10" applyNumberFormat="1" applyFont="1" applyFill="1"/>
    <xf numFmtId="165" fontId="27" fillId="0" borderId="0" xfId="10" applyNumberFormat="1" applyFont="1" applyAlignment="1">
      <alignment horizontal="center"/>
    </xf>
    <xf numFmtId="0" fontId="0" fillId="0" borderId="0" xfId="0"/>
    <xf numFmtId="0" fontId="27" fillId="0" borderId="1" xfId="10" applyFont="1" applyBorder="1" applyAlignment="1">
      <alignment horizontal="left" vertical="center"/>
    </xf>
    <xf numFmtId="0" fontId="27" fillId="0" borderId="0" xfId="10" applyFont="1" applyBorder="1" applyAlignment="1"/>
    <xf numFmtId="0" fontId="87" fillId="0" borderId="21" xfId="0" applyFont="1" applyBorder="1" applyAlignment="1">
      <alignment vertical="center"/>
    </xf>
    <xf numFmtId="0" fontId="89" fillId="35" borderId="32" xfId="0" applyFont="1" applyFill="1" applyBorder="1" applyAlignment="1">
      <alignment horizontal="center" vertical="center"/>
    </xf>
    <xf numFmtId="0" fontId="87" fillId="0" borderId="32" xfId="0" applyFont="1" applyBorder="1" applyAlignment="1">
      <alignment horizontal="center" vertical="center"/>
    </xf>
    <xf numFmtId="0" fontId="76" fillId="0" borderId="32" xfId="0" applyFont="1" applyBorder="1" applyAlignment="1">
      <alignment horizontal="center" vertical="center"/>
    </xf>
    <xf numFmtId="0" fontId="87" fillId="0" borderId="11" xfId="0" applyFont="1" applyBorder="1" applyAlignment="1">
      <alignment vertical="center"/>
    </xf>
    <xf numFmtId="0" fontId="21" fillId="0" borderId="0" xfId="10" applyFont="1" applyBorder="1" applyAlignment="1"/>
    <xf numFmtId="165" fontId="30" fillId="0" borderId="0" xfId="0" applyNumberFormat="1" applyFont="1" applyFill="1" applyBorder="1" applyAlignment="1">
      <alignment horizontal="left"/>
    </xf>
    <xf numFmtId="165" fontId="30" fillId="0" borderId="0" xfId="0" applyNumberFormat="1" applyFont="1" applyFill="1" applyBorder="1"/>
    <xf numFmtId="165" fontId="27" fillId="0" borderId="0" xfId="0" applyNumberFormat="1" applyFont="1" applyBorder="1" applyAlignment="1">
      <alignment horizontal="left"/>
    </xf>
    <xf numFmtId="165" fontId="27" fillId="0" borderId="0" xfId="0" applyNumberFormat="1" applyFont="1" applyBorder="1"/>
    <xf numFmtId="0" fontId="29" fillId="0" borderId="0" xfId="0" applyFont="1" applyFill="1" applyBorder="1" applyAlignment="1">
      <alignment horizontal="left"/>
    </xf>
    <xf numFmtId="0" fontId="27" fillId="0" borderId="1" xfId="0" applyFont="1" applyBorder="1" applyAlignment="1">
      <alignment wrapText="1"/>
    </xf>
    <xf numFmtId="0" fontId="28" fillId="0" borderId="1" xfId="0" applyFont="1" applyBorder="1"/>
    <xf numFmtId="0" fontId="28" fillId="0" borderId="1" xfId="0" applyFont="1" applyBorder="1" applyAlignment="1">
      <alignment wrapText="1"/>
    </xf>
    <xf numFmtId="0" fontId="27" fillId="0" borderId="1" xfId="0" applyFont="1" applyBorder="1" applyAlignment="1">
      <alignment horizontal="center"/>
    </xf>
    <xf numFmtId="0" fontId="28" fillId="0" borderId="1" xfId="0" applyFont="1" applyBorder="1" applyAlignment="1">
      <alignment horizontal="left"/>
    </xf>
    <xf numFmtId="3" fontId="27" fillId="0" borderId="1" xfId="0" applyNumberFormat="1" applyFont="1" applyBorder="1"/>
    <xf numFmtId="0" fontId="91" fillId="0" borderId="0" xfId="0" applyFont="1" applyFill="1" applyBorder="1"/>
    <xf numFmtId="165" fontId="23" fillId="0" borderId="1" xfId="0" applyNumberFormat="1" applyFont="1" applyFill="1" applyBorder="1" applyAlignment="1">
      <alignment horizontal="center" vertical="center"/>
    </xf>
    <xf numFmtId="165" fontId="0" fillId="0" borderId="1" xfId="0" applyNumberFormat="1" applyFill="1" applyBorder="1" applyAlignment="1">
      <alignment horizontal="center" vertical="center"/>
    </xf>
    <xf numFmtId="0" fontId="30" fillId="0" borderId="0" xfId="0" applyFont="1" applyAlignment="1">
      <alignment horizontal="center"/>
    </xf>
    <xf numFmtId="165" fontId="0" fillId="0" borderId="0" xfId="0" applyNumberFormat="1"/>
    <xf numFmtId="0" fontId="28" fillId="0" borderId="0" xfId="0" applyFont="1" applyFill="1"/>
    <xf numFmtId="166" fontId="27" fillId="0" borderId="0" xfId="0" applyNumberFormat="1" applyFont="1" applyAlignment="1">
      <alignment horizontal="right"/>
    </xf>
    <xf numFmtId="0" fontId="37" fillId="0" borderId="0" xfId="0" applyFont="1" applyBorder="1"/>
    <xf numFmtId="165" fontId="0" fillId="0" borderId="0" xfId="0" applyNumberFormat="1" applyAlignment="1">
      <alignment horizontal="center" vertical="center"/>
    </xf>
    <xf numFmtId="0" fontId="31" fillId="0" borderId="0" xfId="10" applyFont="1" applyBorder="1" applyAlignment="1">
      <alignment horizontal="left" vertical="center"/>
    </xf>
    <xf numFmtId="0" fontId="30" fillId="0" borderId="0" xfId="0" applyFont="1" applyFill="1" applyAlignment="1">
      <alignment horizontal="center"/>
    </xf>
    <xf numFmtId="165" fontId="27" fillId="0" borderId="0" xfId="0" applyNumberFormat="1" applyFont="1" applyBorder="1" applyAlignment="1">
      <alignment horizontal="center"/>
    </xf>
    <xf numFmtId="0" fontId="29" fillId="0" borderId="12" xfId="0" applyFont="1" applyFill="1" applyBorder="1" applyAlignment="1">
      <alignment horizontal="left" wrapText="1"/>
    </xf>
    <xf numFmtId="165" fontId="28" fillId="0" borderId="0" xfId="0" applyNumberFormat="1" applyFont="1" applyAlignment="1">
      <alignment horizontal="left"/>
    </xf>
    <xf numFmtId="165" fontId="27" fillId="0" borderId="1" xfId="0" applyNumberFormat="1" applyFont="1" applyBorder="1"/>
    <xf numFmtId="0" fontId="0" fillId="0" borderId="0" xfId="0" applyAlignment="1">
      <alignment horizontal="center" vertical="center"/>
    </xf>
    <xf numFmtId="0" fontId="66" fillId="35" borderId="1" xfId="10" applyFont="1" applyFill="1" applyBorder="1" applyAlignment="1">
      <alignment horizontal="center"/>
    </xf>
    <xf numFmtId="0" fontId="27" fillId="0" borderId="1" xfId="0" applyFont="1" applyBorder="1" applyAlignment="1">
      <alignment horizontal="left"/>
    </xf>
    <xf numFmtId="14" fontId="27" fillId="0" borderId="1" xfId="0" applyNumberFormat="1" applyFont="1" applyBorder="1" applyAlignment="1">
      <alignment horizontal="left"/>
    </xf>
    <xf numFmtId="0" fontId="30" fillId="0" borderId="0" xfId="0" applyFont="1" applyFill="1" applyBorder="1" applyAlignment="1">
      <alignment horizontal="left" wrapText="1"/>
    </xf>
    <xf numFmtId="0" fontId="63" fillId="0" borderId="0" xfId="0" applyFont="1" applyFill="1" applyBorder="1" applyAlignment="1">
      <alignment horizontal="left" wrapText="1"/>
    </xf>
    <xf numFmtId="0" fontId="27" fillId="0" borderId="0" xfId="0" applyFont="1" applyAlignment="1">
      <alignment horizontal="left" wrapText="1"/>
    </xf>
    <xf numFmtId="0" fontId="27" fillId="0" borderId="1" xfId="0" applyFont="1" applyBorder="1" applyAlignment="1">
      <alignment horizontal="left" wrapText="1"/>
    </xf>
    <xf numFmtId="0" fontId="28" fillId="0" borderId="1" xfId="0" applyFont="1" applyBorder="1" applyAlignment="1">
      <alignment horizontal="center"/>
    </xf>
    <xf numFmtId="165" fontId="75" fillId="0" borderId="0" xfId="10" applyNumberFormat="1" applyFont="1" applyBorder="1" applyAlignment="1">
      <alignment horizontal="left"/>
    </xf>
    <xf numFmtId="0" fontId="27" fillId="0" borderId="1" xfId="10" applyFont="1" applyBorder="1" applyAlignment="1">
      <alignment horizontal="center"/>
    </xf>
    <xf numFmtId="0" fontId="27" fillId="10" borderId="4" xfId="0" applyFont="1" applyFill="1" applyBorder="1" applyAlignment="1">
      <alignment horizontal="left"/>
    </xf>
    <xf numFmtId="0" fontId="27" fillId="10" borderId="6" xfId="0" applyFont="1" applyFill="1" applyBorder="1" applyAlignment="1">
      <alignment horizontal="left"/>
    </xf>
    <xf numFmtId="0" fontId="27" fillId="10" borderId="7" xfId="0" applyFont="1" applyFill="1" applyBorder="1" applyAlignment="1">
      <alignment horizontal="left"/>
    </xf>
    <xf numFmtId="0" fontId="27" fillId="0" borderId="4" xfId="0" applyFont="1" applyBorder="1" applyAlignment="1">
      <alignment vertical="top"/>
    </xf>
    <xf numFmtId="0" fontId="27" fillId="0" borderId="6" xfId="0" applyFont="1" applyBorder="1" applyAlignment="1">
      <alignment vertical="top"/>
    </xf>
    <xf numFmtId="0" fontId="27" fillId="0" borderId="7" xfId="0" applyFont="1" applyBorder="1" applyAlignment="1">
      <alignment vertical="top"/>
    </xf>
    <xf numFmtId="0" fontId="27" fillId="0" borderId="5" xfId="0" applyFont="1" applyFill="1" applyBorder="1" applyAlignment="1">
      <alignment horizontal="center" wrapText="1"/>
    </xf>
    <xf numFmtId="165" fontId="27" fillId="0" borderId="3" xfId="0" applyNumberFormat="1" applyFont="1" applyFill="1" applyBorder="1" applyAlignment="1">
      <alignment horizontal="center"/>
    </xf>
    <xf numFmtId="165" fontId="30" fillId="0" borderId="3" xfId="0" applyNumberFormat="1" applyFont="1" applyBorder="1" applyAlignment="1">
      <alignment horizontal="center"/>
    </xf>
    <xf numFmtId="165" fontId="30" fillId="0" borderId="8" xfId="0" applyNumberFormat="1" applyFont="1" applyBorder="1" applyAlignment="1">
      <alignment horizontal="center"/>
    </xf>
    <xf numFmtId="0" fontId="27" fillId="0" borderId="34" xfId="10" applyFont="1" applyBorder="1"/>
    <xf numFmtId="165" fontId="27" fillId="0" borderId="35" xfId="0" applyNumberFormat="1" applyFont="1" applyFill="1" applyBorder="1" applyAlignment="1">
      <alignment horizontal="center"/>
    </xf>
    <xf numFmtId="0" fontId="30" fillId="0" borderId="1" xfId="0" applyFont="1" applyFill="1" applyBorder="1" applyAlignment="1">
      <alignment wrapText="1"/>
    </xf>
    <xf numFmtId="165" fontId="30" fillId="0" borderId="1" xfId="0" applyNumberFormat="1" applyFont="1" applyFill="1" applyBorder="1" applyAlignment="1">
      <alignment horizontal="center" vertical="center"/>
    </xf>
    <xf numFmtId="165" fontId="27" fillId="0" borderId="1" xfId="10" applyNumberFormat="1" applyFont="1" applyFill="1" applyBorder="1" applyAlignment="1">
      <alignment horizontal="center" vertical="center"/>
    </xf>
    <xf numFmtId="0" fontId="30" fillId="0" borderId="1" xfId="0" applyFont="1" applyBorder="1" applyAlignment="1">
      <alignment wrapText="1"/>
    </xf>
    <xf numFmtId="165" fontId="27" fillId="0" borderId="1" xfId="0" applyNumberFormat="1" applyFont="1" applyFill="1" applyBorder="1" applyAlignment="1">
      <alignment horizontal="center"/>
    </xf>
    <xf numFmtId="165" fontId="30" fillId="11" borderId="1" xfId="0" applyNumberFormat="1" applyFont="1" applyFill="1" applyBorder="1" applyAlignment="1">
      <alignment horizontal="center" vertical="center"/>
    </xf>
    <xf numFmtId="0" fontId="29" fillId="0" borderId="4" xfId="0" applyFont="1" applyBorder="1" applyAlignment="1">
      <alignment horizontal="center" wrapText="1"/>
    </xf>
    <xf numFmtId="0" fontId="29" fillId="0" borderId="16" xfId="0" applyFont="1" applyFill="1" applyBorder="1" applyAlignment="1">
      <alignment wrapText="1"/>
    </xf>
    <xf numFmtId="0" fontId="27" fillId="0" borderId="6" xfId="0" applyFont="1" applyBorder="1" applyAlignment="1">
      <alignment horizontal="center"/>
    </xf>
    <xf numFmtId="0" fontId="27" fillId="0" borderId="7" xfId="0" applyFont="1" applyBorder="1" applyAlignment="1">
      <alignment horizontal="center"/>
    </xf>
    <xf numFmtId="0" fontId="30" fillId="0" borderId="17" xfId="0" applyFont="1" applyFill="1" applyBorder="1"/>
    <xf numFmtId="165" fontId="30" fillId="11" borderId="17" xfId="0" applyNumberFormat="1" applyFont="1" applyFill="1" applyBorder="1" applyAlignment="1">
      <alignment horizontal="center" vertical="center"/>
    </xf>
    <xf numFmtId="165" fontId="30" fillId="0" borderId="17" xfId="0" applyNumberFormat="1" applyFont="1" applyFill="1" applyBorder="1" applyAlignment="1">
      <alignment horizontal="center" vertical="center"/>
    </xf>
    <xf numFmtId="0" fontId="29" fillId="0" borderId="34" xfId="0" applyFont="1" applyFill="1" applyBorder="1" applyAlignment="1"/>
    <xf numFmtId="165" fontId="29" fillId="0" borderId="46" xfId="0" applyNumberFormat="1" applyFont="1" applyFill="1" applyBorder="1" applyAlignment="1">
      <alignment horizontal="center"/>
    </xf>
    <xf numFmtId="0" fontId="30" fillId="0" borderId="46" xfId="0" applyFont="1" applyFill="1" applyBorder="1"/>
    <xf numFmtId="0" fontId="29" fillId="0" borderId="16" xfId="0" applyFont="1" applyFill="1" applyBorder="1" applyAlignment="1">
      <alignment horizontal="center" wrapText="1"/>
    </xf>
    <xf numFmtId="0" fontId="29" fillId="0" borderId="16" xfId="0" applyFont="1" applyFill="1" applyBorder="1" applyAlignment="1">
      <alignment horizontal="left" vertical="center" wrapText="1"/>
    </xf>
    <xf numFmtId="165" fontId="30" fillId="8" borderId="1" xfId="0" applyNumberFormat="1" applyFont="1" applyFill="1" applyBorder="1" applyAlignment="1">
      <alignment horizontal="center" vertical="center"/>
    </xf>
    <xf numFmtId="165" fontId="27" fillId="8" borderId="1" xfId="0" applyNumberFormat="1" applyFont="1" applyFill="1" applyBorder="1" applyAlignment="1">
      <alignment horizontal="center"/>
    </xf>
    <xf numFmtId="165" fontId="28" fillId="0" borderId="0" xfId="0" applyNumberFormat="1" applyFont="1" applyBorder="1" applyAlignment="1">
      <alignment horizontal="center" wrapText="1"/>
    </xf>
    <xf numFmtId="0" fontId="27" fillId="0" borderId="4" xfId="0" applyFont="1" applyBorder="1"/>
    <xf numFmtId="165" fontId="30" fillId="0" borderId="16" xfId="0" applyNumberFormat="1" applyFont="1" applyFill="1" applyBorder="1" applyAlignment="1">
      <alignment horizontal="center"/>
    </xf>
    <xf numFmtId="165" fontId="30" fillId="0" borderId="5" xfId="0" applyNumberFormat="1" applyFont="1" applyFill="1" applyBorder="1" applyAlignment="1">
      <alignment horizontal="center"/>
    </xf>
    <xf numFmtId="0" fontId="27" fillId="0" borderId="7" xfId="0" applyFont="1" applyBorder="1"/>
    <xf numFmtId="165" fontId="30" fillId="0" borderId="17" xfId="0" applyNumberFormat="1" applyFont="1" applyFill="1" applyBorder="1" applyAlignment="1">
      <alignment horizontal="center"/>
    </xf>
    <xf numFmtId="165" fontId="30" fillId="0" borderId="8" xfId="0" applyNumberFormat="1" applyFont="1" applyFill="1" applyBorder="1" applyAlignment="1">
      <alignment horizontal="center"/>
    </xf>
    <xf numFmtId="0" fontId="27" fillId="0" borderId="34" xfId="0" applyFont="1" applyFill="1" applyBorder="1"/>
    <xf numFmtId="0" fontId="29" fillId="0" borderId="28" xfId="0" applyFont="1" applyFill="1" applyBorder="1" applyAlignment="1">
      <alignment horizontal="center" wrapText="1"/>
    </xf>
    <xf numFmtId="0" fontId="27" fillId="0" borderId="25" xfId="0" applyFont="1" applyBorder="1" applyAlignment="1">
      <alignment horizontal="center"/>
    </xf>
    <xf numFmtId="0" fontId="27" fillId="0" borderId="26" xfId="0" applyFont="1" applyBorder="1" applyAlignment="1">
      <alignment horizontal="center"/>
    </xf>
    <xf numFmtId="0" fontId="30" fillId="0" borderId="0" xfId="0" applyFont="1" applyFill="1" applyBorder="1" applyAlignment="1">
      <alignment horizontal="left" wrapText="1"/>
    </xf>
    <xf numFmtId="0" fontId="63" fillId="0" borderId="0" xfId="0" applyFont="1" applyFill="1" applyBorder="1" applyAlignment="1">
      <alignment horizontal="left" wrapText="1"/>
    </xf>
    <xf numFmtId="0" fontId="27" fillId="0" borderId="0" xfId="0" applyFont="1" applyAlignment="1">
      <alignment horizontal="left" wrapText="1"/>
    </xf>
    <xf numFmtId="0" fontId="30" fillId="0" borderId="0" xfId="0" applyFont="1" applyFill="1" applyBorder="1" applyAlignment="1">
      <alignment horizontal="left" wrapText="1"/>
    </xf>
    <xf numFmtId="0" fontId="63" fillId="0" borderId="0" xfId="0" applyFont="1" applyFill="1" applyBorder="1" applyAlignment="1">
      <alignment horizontal="left" wrapText="1"/>
    </xf>
    <xf numFmtId="0" fontId="27" fillId="0" borderId="0" xfId="0" applyFont="1" applyAlignment="1">
      <alignment horizontal="left" wrapText="1"/>
    </xf>
    <xf numFmtId="0" fontId="27" fillId="0" borderId="0" xfId="0" applyFont="1" applyAlignment="1">
      <alignment horizontal="left" wrapText="1"/>
    </xf>
    <xf numFmtId="165" fontId="30" fillId="0" borderId="1" xfId="10" applyNumberFormat="1" applyFont="1" applyFill="1" applyBorder="1" applyAlignment="1">
      <alignment horizontal="center" vertical="center"/>
    </xf>
    <xf numFmtId="165" fontId="27" fillId="0" borderId="1" xfId="0" applyNumberFormat="1" applyFont="1" applyFill="1" applyBorder="1" applyAlignment="1">
      <alignment horizontal="center" vertical="center"/>
    </xf>
    <xf numFmtId="165" fontId="27" fillId="8" borderId="1" xfId="0" applyNumberFormat="1" applyFont="1" applyFill="1" applyBorder="1" applyAlignment="1">
      <alignment horizontal="center" vertical="center"/>
    </xf>
    <xf numFmtId="0" fontId="30" fillId="0" borderId="46" xfId="0" applyFont="1" applyFill="1" applyBorder="1" applyAlignment="1">
      <alignment wrapText="1"/>
    </xf>
    <xf numFmtId="0" fontId="30" fillId="0" borderId="46" xfId="0" applyFont="1" applyFill="1" applyBorder="1" applyAlignment="1">
      <alignment horizontal="left" wrapText="1"/>
    </xf>
    <xf numFmtId="2" fontId="27" fillId="0" borderId="13" xfId="0" applyNumberFormat="1" applyFont="1" applyBorder="1"/>
    <xf numFmtId="2" fontId="27" fillId="0" borderId="32" xfId="0" applyNumberFormat="1" applyFont="1" applyBorder="1"/>
    <xf numFmtId="0" fontId="27" fillId="0" borderId="0" xfId="0" applyFont="1" applyFill="1" applyBorder="1" applyAlignment="1">
      <alignment horizontal="left"/>
    </xf>
    <xf numFmtId="166" fontId="27" fillId="0" borderId="0" xfId="0" applyNumberFormat="1" applyFont="1" applyFill="1" applyBorder="1" applyAlignment="1">
      <alignment horizontal="left"/>
    </xf>
    <xf numFmtId="0" fontId="37" fillId="0" borderId="0" xfId="0" applyFont="1" applyFill="1"/>
    <xf numFmtId="0" fontId="37" fillId="0" borderId="0" xfId="0" applyFont="1" applyFill="1" applyBorder="1"/>
    <xf numFmtId="0" fontId="27" fillId="0" borderId="0" xfId="0" applyFont="1" applyFill="1" applyAlignment="1">
      <alignment horizontal="center"/>
    </xf>
    <xf numFmtId="166" fontId="27" fillId="0" borderId="0" xfId="0" applyNumberFormat="1" applyFont="1" applyFill="1"/>
    <xf numFmtId="165" fontId="28" fillId="0" borderId="0" xfId="0" applyNumberFormat="1" applyFont="1" applyFill="1"/>
    <xf numFmtId="166" fontId="28" fillId="0" borderId="0" xfId="0" applyNumberFormat="1" applyFont="1" applyFill="1"/>
    <xf numFmtId="2" fontId="27" fillId="0" borderId="0" xfId="0" applyNumberFormat="1" applyFont="1" applyFill="1"/>
    <xf numFmtId="0" fontId="27" fillId="0" borderId="0" xfId="10" applyFont="1" applyFill="1" applyAlignment="1">
      <alignment horizontal="left"/>
    </xf>
    <xf numFmtId="166" fontId="27" fillId="0" borderId="0" xfId="10" applyNumberFormat="1" applyFont="1" applyFill="1" applyAlignment="1">
      <alignment horizontal="left"/>
    </xf>
    <xf numFmtId="166" fontId="27" fillId="0" borderId="0" xfId="10" applyNumberFormat="1" applyFont="1" applyFill="1"/>
    <xf numFmtId="165" fontId="36" fillId="0" borderId="17" xfId="0" applyNumberFormat="1" applyFont="1" applyFill="1" applyBorder="1" applyAlignment="1">
      <alignment horizontal="center" vertical="center"/>
    </xf>
    <xf numFmtId="165" fontId="23" fillId="0" borderId="1" xfId="0" applyNumberFormat="1" applyFont="1" applyFill="1" applyBorder="1" applyAlignment="1">
      <alignment horizontal="center"/>
    </xf>
    <xf numFmtId="165" fontId="74" fillId="0" borderId="17" xfId="0" applyNumberFormat="1" applyFont="1" applyFill="1" applyBorder="1" applyAlignment="1">
      <alignment horizontal="center" vertical="center"/>
    </xf>
    <xf numFmtId="165" fontId="29" fillId="0" borderId="46" xfId="0" applyNumberFormat="1" applyFont="1" applyFill="1" applyBorder="1" applyAlignment="1">
      <alignment horizontal="center" vertical="center"/>
    </xf>
    <xf numFmtId="165" fontId="27" fillId="0" borderId="0" xfId="0" applyNumberFormat="1" applyFont="1" applyBorder="1" applyAlignment="1">
      <alignment horizontal="left" vertical="top"/>
    </xf>
    <xf numFmtId="165" fontId="30" fillId="0" borderId="0" xfId="0" applyNumberFormat="1" applyFont="1" applyFill="1" applyBorder="1" applyAlignment="1">
      <alignment horizontal="left" wrapText="1"/>
    </xf>
    <xf numFmtId="165" fontId="30" fillId="0" borderId="0" xfId="0" applyNumberFormat="1" applyFont="1" applyFill="1"/>
    <xf numFmtId="165" fontId="30" fillId="0" borderId="0" xfId="0" applyNumberFormat="1" applyFont="1" applyFill="1" applyAlignment="1">
      <alignment horizontal="left"/>
    </xf>
    <xf numFmtId="1" fontId="30" fillId="0" borderId="0" xfId="0" applyNumberFormat="1" applyFont="1" applyFill="1" applyBorder="1" applyAlignment="1">
      <alignment wrapText="1"/>
    </xf>
    <xf numFmtId="176" fontId="31" fillId="0" borderId="0" xfId="0" applyNumberFormat="1" applyFont="1"/>
    <xf numFmtId="10" fontId="27" fillId="0" borderId="11" xfId="10" applyNumberFormat="1" applyFont="1" applyFill="1" applyBorder="1" applyAlignment="1">
      <alignment horizontal="center" vertical="center"/>
    </xf>
    <xf numFmtId="9" fontId="27" fillId="0" borderId="1" xfId="7" applyFont="1" applyBorder="1" applyAlignment="1">
      <alignment horizontal="center"/>
    </xf>
    <xf numFmtId="9" fontId="27" fillId="0" borderId="0" xfId="10" applyNumberFormat="1" applyFont="1"/>
    <xf numFmtId="0" fontId="27" fillId="0" borderId="0" xfId="0" applyFont="1" applyBorder="1" applyAlignment="1">
      <alignment horizontal="center" vertical="center"/>
    </xf>
    <xf numFmtId="0" fontId="27" fillId="0" borderId="9" xfId="0" applyFont="1" applyFill="1" applyBorder="1"/>
    <xf numFmtId="10" fontId="27" fillId="0" borderId="10" xfId="10" applyNumberFormat="1" applyFont="1" applyFill="1" applyBorder="1" applyAlignment="1">
      <alignment horizontal="center" vertical="center"/>
    </xf>
    <xf numFmtId="10" fontId="27" fillId="0" borderId="35" xfId="10" applyNumberFormat="1" applyFont="1" applyFill="1" applyBorder="1" applyAlignment="1">
      <alignment horizontal="center" vertical="center"/>
    </xf>
    <xf numFmtId="165" fontId="27" fillId="0" borderId="1" xfId="0" applyNumberFormat="1" applyFont="1" applyBorder="1" applyAlignment="1">
      <alignment horizontal="left"/>
    </xf>
    <xf numFmtId="165" fontId="31" fillId="0" borderId="1" xfId="0" applyNumberFormat="1" applyFont="1" applyBorder="1"/>
    <xf numFmtId="175" fontId="68" fillId="0" borderId="1" xfId="6" applyNumberFormat="1" applyFont="1" applyBorder="1" applyAlignment="1">
      <alignment horizontal="center"/>
    </xf>
    <xf numFmtId="175" fontId="68" fillId="0" borderId="1" xfId="6" applyNumberFormat="1" applyFont="1" applyFill="1" applyBorder="1"/>
    <xf numFmtId="0" fontId="23" fillId="0" borderId="0" xfId="0" applyFont="1" applyAlignment="1">
      <alignment horizontal="left" indent="2"/>
    </xf>
    <xf numFmtId="0" fontId="30" fillId="0" borderId="1" xfId="10" applyFont="1" applyBorder="1"/>
    <xf numFmtId="9" fontId="23" fillId="0" borderId="1" xfId="0" applyNumberFormat="1" applyFont="1" applyBorder="1" applyAlignment="1">
      <alignment horizontal="left" indent="2"/>
    </xf>
    <xf numFmtId="0" fontId="29" fillId="0" borderId="0" xfId="10" applyFont="1"/>
    <xf numFmtId="10" fontId="27" fillId="0" borderId="0" xfId="10" applyNumberFormat="1" applyFont="1" applyAlignment="1">
      <alignment horizontal="left"/>
    </xf>
    <xf numFmtId="0" fontId="81" fillId="0" borderId="0" xfId="0" applyFont="1" applyBorder="1" applyAlignment="1">
      <alignment horizontal="center" vertical="center"/>
    </xf>
    <xf numFmtId="0" fontId="81" fillId="0" borderId="0" xfId="0" applyFont="1" applyBorder="1" applyAlignment="1">
      <alignment horizontal="center"/>
    </xf>
    <xf numFmtId="0" fontId="27" fillId="0" borderId="9" xfId="0" applyFont="1" applyBorder="1"/>
    <xf numFmtId="169" fontId="27" fillId="0" borderId="10" xfId="7" applyNumberFormat="1" applyFont="1" applyBorder="1"/>
    <xf numFmtId="9" fontId="27" fillId="0" borderId="10" xfId="7" applyFont="1" applyBorder="1"/>
    <xf numFmtId="0" fontId="27" fillId="0" borderId="0" xfId="0" applyFont="1" applyFill="1" applyBorder="1" applyAlignment="1">
      <alignment horizontal="center"/>
    </xf>
    <xf numFmtId="0" fontId="27" fillId="0" borderId="0" xfId="0" applyFont="1" applyBorder="1" applyAlignment="1">
      <alignment horizontal="center"/>
    </xf>
    <xf numFmtId="0" fontId="30" fillId="0" borderId="9" xfId="0" applyFont="1" applyFill="1" applyBorder="1" applyAlignment="1">
      <alignment horizontal="left"/>
    </xf>
    <xf numFmtId="169" fontId="30" fillId="0" borderId="10" xfId="7" applyNumberFormat="1" applyFont="1" applyFill="1" applyBorder="1" applyAlignment="1">
      <alignment horizontal="left"/>
    </xf>
    <xf numFmtId="2" fontId="27" fillId="0" borderId="0" xfId="0" applyNumberFormat="1" applyFont="1" applyBorder="1" applyAlignment="1">
      <alignment horizontal="center"/>
    </xf>
    <xf numFmtId="0" fontId="27" fillId="0" borderId="0" xfId="10" applyFont="1" applyBorder="1" applyAlignment="1">
      <alignment horizontal="left"/>
    </xf>
    <xf numFmtId="169" fontId="27" fillId="0" borderId="10" xfId="10" applyNumberFormat="1" applyFont="1" applyFill="1" applyBorder="1" applyAlignment="1">
      <alignment horizontal="center" vertical="center"/>
    </xf>
    <xf numFmtId="0" fontId="31" fillId="0" borderId="1" xfId="0" applyFont="1" applyBorder="1" applyAlignment="1">
      <alignment wrapText="1"/>
    </xf>
    <xf numFmtId="2" fontId="27" fillId="0" borderId="1" xfId="10" applyNumberFormat="1" applyFont="1" applyFill="1" applyBorder="1" applyAlignment="1">
      <alignment horizontal="center"/>
    </xf>
    <xf numFmtId="0" fontId="66" fillId="2" borderId="1" xfId="0" applyFont="1" applyFill="1" applyBorder="1" applyAlignment="1">
      <alignment horizontal="left" vertical="center" wrapText="1"/>
    </xf>
    <xf numFmtId="0" fontId="63" fillId="0" borderId="0" xfId="0" applyFont="1" applyFill="1" applyBorder="1" applyAlignment="1">
      <alignment horizontal="left" wrapText="1"/>
    </xf>
    <xf numFmtId="0" fontId="0" fillId="0" borderId="0" xfId="0" applyFill="1" applyAlignment="1">
      <alignment horizontal="left" vertical="center"/>
    </xf>
    <xf numFmtId="165" fontId="36" fillId="0" borderId="0" xfId="0" applyNumberFormat="1" applyFont="1" applyFill="1" applyBorder="1" applyAlignment="1">
      <alignment horizontal="center" vertical="center"/>
    </xf>
    <xf numFmtId="165" fontId="23" fillId="0" borderId="1" xfId="0" applyNumberFormat="1" applyFont="1" applyBorder="1" applyAlignment="1">
      <alignment horizontal="center"/>
    </xf>
    <xf numFmtId="166" fontId="31" fillId="0" borderId="0" xfId="0" applyNumberFormat="1" applyFont="1"/>
    <xf numFmtId="169" fontId="31" fillId="0" borderId="0" xfId="7" applyNumberFormat="1" applyFont="1"/>
    <xf numFmtId="0" fontId="29" fillId="0" borderId="5" xfId="0" applyFont="1" applyFill="1" applyBorder="1" applyAlignment="1">
      <alignment horizontal="left" vertical="center" wrapText="1"/>
    </xf>
    <xf numFmtId="0" fontId="27" fillId="0" borderId="13" xfId="0" applyFont="1" applyBorder="1" applyAlignment="1">
      <alignment horizontal="left" vertical="center" wrapText="1"/>
    </xf>
    <xf numFmtId="0" fontId="30" fillId="0" borderId="3" xfId="0" applyFont="1" applyFill="1" applyBorder="1" applyAlignment="1">
      <alignment horizontal="left" vertical="center" wrapText="1"/>
    </xf>
    <xf numFmtId="0" fontId="30" fillId="0" borderId="3" xfId="0" applyFont="1" applyFill="1" applyBorder="1" applyAlignment="1">
      <alignment wrapText="1"/>
    </xf>
    <xf numFmtId="0" fontId="30" fillId="0" borderId="3" xfId="0" applyFont="1" applyBorder="1" applyAlignment="1">
      <alignment horizontal="left" vertical="center" wrapText="1"/>
    </xf>
    <xf numFmtId="0" fontId="30" fillId="0" borderId="8" xfId="0" applyFont="1" applyFill="1" applyBorder="1" applyAlignment="1">
      <alignment horizontal="left" vertical="center" wrapText="1"/>
    </xf>
    <xf numFmtId="0" fontId="30" fillId="0" borderId="35" xfId="0" applyFont="1" applyFill="1" applyBorder="1" applyAlignment="1">
      <alignment wrapText="1"/>
    </xf>
    <xf numFmtId="0" fontId="27" fillId="0" borderId="0" xfId="10" applyFont="1" applyAlignment="1"/>
    <xf numFmtId="0" fontId="31" fillId="0" borderId="0" xfId="0" applyFont="1" applyAlignment="1"/>
    <xf numFmtId="0" fontId="31" fillId="0" borderId="0" xfId="0" applyFont="1" applyFill="1" applyBorder="1" applyAlignment="1">
      <alignment horizontal="left"/>
    </xf>
    <xf numFmtId="164" fontId="23" fillId="0" borderId="1" xfId="6" applyFont="1" applyFill="1" applyBorder="1" applyAlignment="1">
      <alignment horizontal="center" vertical="center"/>
    </xf>
    <xf numFmtId="0" fontId="27" fillId="0" borderId="0" xfId="10" applyFont="1" applyAlignment="1">
      <alignment horizontal="right"/>
    </xf>
    <xf numFmtId="0" fontId="28" fillId="0" borderId="1" xfId="10" applyFont="1" applyBorder="1" applyAlignment="1">
      <alignment horizontal="center" vertical="center"/>
    </xf>
    <xf numFmtId="2" fontId="23" fillId="0" borderId="0" xfId="0" applyNumberFormat="1" applyFont="1"/>
    <xf numFmtId="165" fontId="27" fillId="0" borderId="0" xfId="10" applyNumberFormat="1" applyFont="1" applyAlignment="1">
      <alignment horizontal="right"/>
    </xf>
    <xf numFmtId="165" fontId="28" fillId="0" borderId="0" xfId="10" applyNumberFormat="1" applyFont="1" applyAlignment="1">
      <alignment horizontal="right"/>
    </xf>
    <xf numFmtId="9" fontId="27" fillId="0" borderId="1" xfId="7" applyFont="1" applyFill="1" applyBorder="1" applyAlignment="1">
      <alignment horizontal="center"/>
    </xf>
    <xf numFmtId="2" fontId="27" fillId="10" borderId="1" xfId="10" applyNumberFormat="1" applyFont="1" applyFill="1" applyBorder="1" applyAlignment="1">
      <alignment horizontal="left" vertical="center" wrapText="1"/>
    </xf>
    <xf numFmtId="0" fontId="30" fillId="0" borderId="3" xfId="0" applyFont="1" applyBorder="1" applyAlignment="1">
      <alignment wrapText="1"/>
    </xf>
    <xf numFmtId="0" fontId="30" fillId="0" borderId="8" xfId="0" applyFont="1" applyFill="1" applyBorder="1"/>
    <xf numFmtId="0" fontId="27" fillId="0" borderId="13" xfId="0" applyFont="1" applyBorder="1" applyAlignment="1">
      <alignment wrapText="1"/>
    </xf>
    <xf numFmtId="0" fontId="30" fillId="0" borderId="8" xfId="0" applyFont="1" applyFill="1" applyBorder="1" applyAlignment="1">
      <alignment wrapText="1"/>
    </xf>
    <xf numFmtId="0" fontId="27" fillId="0" borderId="31" xfId="0" applyFont="1" applyBorder="1" applyAlignment="1">
      <alignment horizontal="center"/>
    </xf>
    <xf numFmtId="0" fontId="30" fillId="0" borderId="35" xfId="0" applyFont="1" applyFill="1" applyBorder="1"/>
    <xf numFmtId="0" fontId="66" fillId="35" borderId="1" xfId="10" applyFont="1" applyFill="1" applyBorder="1" applyAlignment="1">
      <alignment horizontal="center"/>
    </xf>
    <xf numFmtId="0" fontId="78" fillId="0" borderId="0" xfId="0" applyFont="1" applyBorder="1"/>
    <xf numFmtId="169" fontId="69" fillId="0" borderId="12" xfId="7" applyNumberFormat="1" applyFont="1" applyBorder="1"/>
    <xf numFmtId="0" fontId="28" fillId="0" borderId="0" xfId="10" applyFont="1" applyAlignment="1">
      <alignment horizontal="right"/>
    </xf>
    <xf numFmtId="0" fontId="27" fillId="0" borderId="0" xfId="10" applyFont="1" applyFill="1" applyBorder="1" applyAlignment="1">
      <alignment wrapText="1"/>
    </xf>
    <xf numFmtId="0" fontId="28" fillId="0" borderId="0" xfId="0" applyFont="1" applyAlignment="1">
      <alignment horizontal="center"/>
    </xf>
    <xf numFmtId="165" fontId="80" fillId="0" borderId="0" xfId="0" applyNumberFormat="1" applyFont="1"/>
    <xf numFmtId="175" fontId="31" fillId="0" borderId="0" xfId="0" applyNumberFormat="1" applyFont="1"/>
    <xf numFmtId="0" fontId="31" fillId="0" borderId="0" xfId="0" applyFont="1" applyFill="1"/>
    <xf numFmtId="0" fontId="92" fillId="0" borderId="1" xfId="0" applyFont="1" applyFill="1" applyBorder="1" applyAlignment="1">
      <alignment wrapText="1"/>
    </xf>
    <xf numFmtId="0" fontId="67" fillId="35" borderId="1" xfId="10" applyFont="1" applyFill="1" applyBorder="1" applyAlignment="1">
      <alignment horizontal="center"/>
    </xf>
    <xf numFmtId="0" fontId="30" fillId="0" borderId="0" xfId="0" applyFont="1" applyAlignment="1"/>
    <xf numFmtId="172" fontId="68" fillId="0" borderId="1" xfId="6" applyNumberFormat="1" applyFont="1" applyBorder="1"/>
    <xf numFmtId="175" fontId="67" fillId="0" borderId="1" xfId="6" applyNumberFormat="1" applyFont="1" applyFill="1" applyBorder="1"/>
    <xf numFmtId="172" fontId="68" fillId="0" borderId="1" xfId="6" applyNumberFormat="1" applyFont="1" applyFill="1" applyBorder="1"/>
    <xf numFmtId="0" fontId="68" fillId="0" borderId="1" xfId="6" applyNumberFormat="1" applyFont="1" applyBorder="1"/>
    <xf numFmtId="0" fontId="68" fillId="0" borderId="1" xfId="6" applyNumberFormat="1" applyFont="1" applyFill="1" applyBorder="1"/>
    <xf numFmtId="0" fontId="68" fillId="0" borderId="1" xfId="6" applyNumberFormat="1" applyFont="1" applyBorder="1" applyAlignment="1"/>
    <xf numFmtId="172" fontId="67" fillId="0" borderId="1" xfId="6" applyNumberFormat="1" applyFont="1" applyBorder="1" applyAlignment="1"/>
    <xf numFmtId="172" fontId="68" fillId="0" borderId="1" xfId="6" applyNumberFormat="1" applyFont="1" applyBorder="1" applyAlignment="1"/>
    <xf numFmtId="0" fontId="68" fillId="0" borderId="1" xfId="140" applyFont="1" applyBorder="1"/>
    <xf numFmtId="0" fontId="67" fillId="0" borderId="1" xfId="140" applyFont="1" applyBorder="1"/>
    <xf numFmtId="0" fontId="24" fillId="0" borderId="0" xfId="0" applyFont="1" applyAlignment="1">
      <alignment horizontal="left" vertical="center"/>
    </xf>
    <xf numFmtId="0" fontId="74" fillId="0" borderId="0" xfId="0" applyFont="1" applyFill="1" applyAlignment="1">
      <alignment horizontal="left" vertical="center" wrapText="1"/>
    </xf>
    <xf numFmtId="2" fontId="74" fillId="0" borderId="0" xfId="0" applyNumberFormat="1" applyFont="1" applyFill="1" applyAlignment="1">
      <alignment horizontal="center" vertical="center"/>
    </xf>
    <xf numFmtId="0" fontId="36" fillId="0" borderId="0" xfId="0" applyFont="1" applyAlignment="1">
      <alignment horizontal="center" vertical="center"/>
    </xf>
    <xf numFmtId="0" fontId="0" fillId="0" borderId="0" xfId="0" applyFont="1"/>
    <xf numFmtId="165" fontId="0" fillId="0" borderId="0" xfId="0" applyNumberFormat="1" applyFont="1" applyAlignment="1">
      <alignment wrapText="1"/>
    </xf>
    <xf numFmtId="165" fontId="23" fillId="8" borderId="1" xfId="0" applyNumberFormat="1" applyFont="1" applyFill="1" applyBorder="1" applyAlignment="1">
      <alignment horizontal="center" vertical="center"/>
    </xf>
    <xf numFmtId="165" fontId="23" fillId="8" borderId="17" xfId="0" applyNumberFormat="1" applyFont="1" applyFill="1" applyBorder="1" applyAlignment="1">
      <alignment horizontal="center" vertical="center"/>
    </xf>
    <xf numFmtId="165" fontId="74" fillId="0" borderId="17" xfId="0" applyNumberFormat="1" applyFont="1" applyBorder="1" applyAlignment="1">
      <alignment horizontal="center" vertical="center"/>
    </xf>
    <xf numFmtId="0" fontId="24" fillId="0" borderId="0" xfId="0" applyFont="1"/>
    <xf numFmtId="0" fontId="66" fillId="0" borderId="0" xfId="0" applyFont="1" applyAlignment="1">
      <alignment horizontal="left"/>
    </xf>
    <xf numFmtId="2" fontId="0" fillId="0" borderId="17" xfId="0" applyNumberFormat="1" applyBorder="1" applyAlignment="1">
      <alignment horizontal="center" vertical="center"/>
    </xf>
    <xf numFmtId="165" fontId="23" fillId="8" borderId="18" xfId="0" applyNumberFormat="1" applyFont="1" applyFill="1" applyBorder="1" applyAlignment="1">
      <alignment horizontal="center" vertical="center"/>
    </xf>
    <xf numFmtId="165" fontId="0" fillId="0" borderId="18" xfId="0" applyNumberFormat="1" applyFill="1" applyBorder="1" applyAlignment="1">
      <alignment horizontal="center" vertical="center"/>
    </xf>
    <xf numFmtId="165" fontId="23" fillId="0" borderId="18" xfId="0" applyNumberFormat="1" applyFont="1" applyFill="1" applyBorder="1" applyAlignment="1">
      <alignment horizontal="center"/>
    </xf>
    <xf numFmtId="0" fontId="0" fillId="0" borderId="47" xfId="0" applyBorder="1" applyAlignment="1">
      <alignment horizontal="center" vertical="center"/>
    </xf>
    <xf numFmtId="165" fontId="0" fillId="0" borderId="48" xfId="0" applyNumberFormat="1" applyFill="1" applyBorder="1" applyAlignment="1">
      <alignment horizontal="center" vertical="center"/>
    </xf>
    <xf numFmtId="165" fontId="0" fillId="0" borderId="3" xfId="0" applyNumberFormat="1" applyFill="1" applyBorder="1" applyAlignment="1">
      <alignment horizontal="center" vertical="center"/>
    </xf>
    <xf numFmtId="165" fontId="36" fillId="0" borderId="8" xfId="0" applyNumberFormat="1" applyFont="1" applyFill="1" applyBorder="1" applyAlignment="1">
      <alignment horizontal="center" vertical="center"/>
    </xf>
    <xf numFmtId="0" fontId="36" fillId="0" borderId="34" xfId="0" applyFont="1" applyBorder="1" applyAlignment="1">
      <alignment horizontal="center" vertical="center" wrapText="1"/>
    </xf>
    <xf numFmtId="0" fontId="74" fillId="8" borderId="46" xfId="0" applyFont="1" applyFill="1" applyBorder="1" applyAlignment="1">
      <alignment horizontal="center" vertical="center" wrapText="1"/>
    </xf>
    <xf numFmtId="0" fontId="36" fillId="0" borderId="46" xfId="0" applyFont="1" applyFill="1" applyBorder="1" applyAlignment="1">
      <alignment horizontal="center" vertical="center" wrapText="1"/>
    </xf>
    <xf numFmtId="0" fontId="74" fillId="0" borderId="46" xfId="0" applyFont="1" applyFill="1" applyBorder="1" applyAlignment="1">
      <alignment horizontal="center" vertical="center" wrapText="1"/>
    </xf>
    <xf numFmtId="0" fontId="36" fillId="0" borderId="35" xfId="0" applyFont="1" applyFill="1" applyBorder="1" applyAlignment="1">
      <alignment horizontal="center" vertical="center" wrapText="1"/>
    </xf>
    <xf numFmtId="0" fontId="36" fillId="0" borderId="0" xfId="0" applyFont="1"/>
    <xf numFmtId="0" fontId="0" fillId="0" borderId="6" xfId="0" applyFill="1" applyBorder="1" applyAlignment="1">
      <alignment horizontal="center"/>
    </xf>
    <xf numFmtId="0" fontId="0" fillId="0" borderId="1" xfId="0" applyBorder="1" applyAlignment="1">
      <alignment horizontal="center"/>
    </xf>
    <xf numFmtId="10" fontId="0" fillId="0" borderId="1" xfId="7" applyNumberFormat="1" applyFont="1" applyBorder="1" applyAlignment="1">
      <alignment horizontal="center"/>
    </xf>
    <xf numFmtId="2" fontId="0" fillId="0" borderId="1" xfId="0" applyNumberFormat="1" applyBorder="1" applyAlignment="1">
      <alignment horizontal="center"/>
    </xf>
    <xf numFmtId="2" fontId="0" fillId="0" borderId="3" xfId="0" applyNumberFormat="1" applyBorder="1" applyAlignment="1">
      <alignment horizontal="center"/>
    </xf>
    <xf numFmtId="0" fontId="0" fillId="0" borderId="7" xfId="0" applyFill="1" applyBorder="1" applyAlignment="1">
      <alignment horizontal="center"/>
    </xf>
    <xf numFmtId="0" fontId="0" fillId="0" borderId="17" xfId="0" applyBorder="1" applyAlignment="1">
      <alignment horizontal="center"/>
    </xf>
    <xf numFmtId="10" fontId="0" fillId="0" borderId="17" xfId="7" applyNumberFormat="1" applyFont="1" applyBorder="1" applyAlignment="1">
      <alignment horizontal="center"/>
    </xf>
    <xf numFmtId="2" fontId="0" fillId="0" borderId="17" xfId="0" applyNumberFormat="1" applyBorder="1" applyAlignment="1">
      <alignment horizontal="center"/>
    </xf>
    <xf numFmtId="2" fontId="0" fillId="0" borderId="8" xfId="0" applyNumberFormat="1" applyBorder="1" applyAlignment="1">
      <alignment horizontal="center"/>
    </xf>
    <xf numFmtId="0" fontId="36" fillId="0" borderId="4" xfId="0" applyFont="1" applyFill="1" applyBorder="1" applyAlignment="1">
      <alignment horizontal="center" vertical="center"/>
    </xf>
    <xf numFmtId="0" fontId="36" fillId="0" borderId="16"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Alignment="1"/>
    <xf numFmtId="0" fontId="0" fillId="0" borderId="0" xfId="0" applyBorder="1" applyAlignment="1">
      <alignment horizontal="center" readingOrder="1"/>
    </xf>
    <xf numFmtId="165" fontId="0" fillId="0" borderId="0" xfId="0" applyNumberFormat="1" applyBorder="1" applyAlignment="1">
      <alignment horizontal="center"/>
    </xf>
    <xf numFmtId="0" fontId="29" fillId="0" borderId="4" xfId="0" applyFont="1" applyBorder="1" applyAlignment="1">
      <alignment horizontal="center" vertical="center" wrapText="1"/>
    </xf>
    <xf numFmtId="0" fontId="29" fillId="0" borderId="16" xfId="0" applyFont="1" applyFill="1" applyBorder="1" applyAlignment="1">
      <alignment vertical="center" wrapText="1"/>
    </xf>
    <xf numFmtId="0" fontId="29" fillId="0" borderId="16" xfId="0" applyFont="1" applyFill="1" applyBorder="1" applyAlignment="1">
      <alignment horizontal="center" vertical="center" wrapText="1"/>
    </xf>
    <xf numFmtId="0" fontId="27" fillId="0" borderId="6" xfId="0" applyFont="1" applyBorder="1" applyAlignment="1">
      <alignment horizontal="center" vertical="center"/>
    </xf>
    <xf numFmtId="0" fontId="30" fillId="0" borderId="1" xfId="0" applyFont="1" applyFill="1" applyBorder="1" applyAlignment="1">
      <alignment vertical="center"/>
    </xf>
    <xf numFmtId="0" fontId="27" fillId="0" borderId="7" xfId="0" applyFont="1" applyBorder="1" applyAlignment="1">
      <alignment horizontal="center" vertical="center"/>
    </xf>
    <xf numFmtId="0" fontId="30" fillId="0" borderId="17" xfId="0" applyFont="1" applyFill="1" applyBorder="1" applyAlignment="1">
      <alignment vertical="center"/>
    </xf>
    <xf numFmtId="0" fontId="29" fillId="0" borderId="34" xfId="0" applyFont="1" applyFill="1" applyBorder="1" applyAlignment="1">
      <alignment vertical="center"/>
    </xf>
    <xf numFmtId="0" fontId="23" fillId="0" borderId="0" xfId="0" applyFont="1" applyAlignment="1">
      <alignment vertical="top"/>
    </xf>
    <xf numFmtId="0" fontId="27" fillId="0" borderId="1" xfId="10" applyFont="1" applyBorder="1" applyAlignment="1">
      <alignment horizontal="left" vertical="center" wrapText="1"/>
    </xf>
    <xf numFmtId="0" fontId="28" fillId="0" borderId="1" xfId="10" applyFont="1" applyBorder="1" applyAlignment="1">
      <alignment horizontal="left" vertical="center" wrapText="1"/>
    </xf>
    <xf numFmtId="0" fontId="28" fillId="0" borderId="1" xfId="10" applyFont="1" applyBorder="1" applyAlignment="1">
      <alignment horizontal="center" vertical="center" wrapText="1"/>
    </xf>
    <xf numFmtId="0" fontId="27" fillId="0" borderId="1" xfId="10" applyFont="1" applyBorder="1" applyAlignment="1">
      <alignment horizontal="right"/>
    </xf>
    <xf numFmtId="166" fontId="28" fillId="0" borderId="1" xfId="10" applyNumberFormat="1" applyFont="1" applyBorder="1" applyAlignment="1">
      <alignment horizontal="center"/>
    </xf>
    <xf numFmtId="0" fontId="28" fillId="0" borderId="1" xfId="10" applyFont="1" applyBorder="1" applyAlignment="1">
      <alignment horizontal="center"/>
    </xf>
    <xf numFmtId="165" fontId="28" fillId="0" borderId="1" xfId="10" applyNumberFormat="1" applyFont="1" applyBorder="1" applyAlignment="1">
      <alignment horizontal="center"/>
    </xf>
    <xf numFmtId="2" fontId="27" fillId="0" borderId="1" xfId="10" applyNumberFormat="1" applyFont="1" applyBorder="1" applyAlignment="1">
      <alignment horizontal="left" vertical="center" wrapText="1"/>
    </xf>
    <xf numFmtId="0" fontId="27" fillId="0" borderId="0" xfId="10" applyFont="1" applyAlignment="1">
      <alignment horizontal="left" vertical="center" wrapText="1"/>
    </xf>
    <xf numFmtId="1" fontId="27" fillId="0" borderId="1" xfId="10" applyNumberFormat="1" applyFont="1" applyBorder="1" applyAlignment="1">
      <alignment horizontal="center"/>
    </xf>
    <xf numFmtId="1" fontId="27" fillId="0" borderId="1" xfId="10" applyNumberFormat="1" applyFont="1" applyBorder="1" applyAlignment="1">
      <alignment horizontal="center" wrapText="1"/>
    </xf>
    <xf numFmtId="1" fontId="28" fillId="0" borderId="0" xfId="10" applyNumberFormat="1" applyFont="1"/>
    <xf numFmtId="0" fontId="27" fillId="0" borderId="1" xfId="10" applyFont="1" applyFill="1" applyBorder="1" applyAlignment="1">
      <alignment horizontal="center"/>
    </xf>
    <xf numFmtId="1" fontId="27" fillId="0" borderId="1" xfId="10" applyNumberFormat="1" applyFont="1" applyFill="1" applyBorder="1" applyAlignment="1">
      <alignment horizontal="center"/>
    </xf>
    <xf numFmtId="0" fontId="33" fillId="0" borderId="1" xfId="0" applyFont="1" applyBorder="1" applyAlignment="1">
      <alignment horizontal="center"/>
    </xf>
    <xf numFmtId="9" fontId="33" fillId="0" borderId="1" xfId="0" applyNumberFormat="1" applyFont="1" applyBorder="1" applyAlignment="1">
      <alignment horizontal="center"/>
    </xf>
    <xf numFmtId="0" fontId="93" fillId="0" borderId="1" xfId="0" applyFont="1" applyBorder="1" applyAlignment="1">
      <alignment horizontal="center" wrapText="1"/>
    </xf>
    <xf numFmtId="0" fontId="93" fillId="0" borderId="1" xfId="0" applyFont="1" applyBorder="1" applyAlignment="1">
      <alignment horizontal="center"/>
    </xf>
    <xf numFmtId="0" fontId="74" fillId="0" borderId="49" xfId="0" applyFont="1" applyFill="1" applyBorder="1" applyAlignment="1">
      <alignment horizontal="left" vertical="center" wrapText="1"/>
    </xf>
    <xf numFmtId="2" fontId="74" fillId="0" borderId="50" xfId="0" applyNumberFormat="1" applyFont="1" applyFill="1" applyBorder="1" applyAlignment="1">
      <alignment horizontal="center" vertical="center"/>
    </xf>
    <xf numFmtId="0" fontId="36" fillId="0" borderId="51" xfId="0" applyFont="1" applyBorder="1" applyAlignment="1">
      <alignment horizontal="center" vertical="center"/>
    </xf>
    <xf numFmtId="0" fontId="74" fillId="0" borderId="34" xfId="0" applyFont="1" applyFill="1" applyBorder="1" applyAlignment="1">
      <alignment horizontal="left" vertical="center" wrapText="1"/>
    </xf>
    <xf numFmtId="2" fontId="74" fillId="0" borderId="46" xfId="0" applyNumberFormat="1" applyFont="1" applyFill="1" applyBorder="1" applyAlignment="1">
      <alignment horizontal="center" vertical="center"/>
    </xf>
    <xf numFmtId="0" fontId="36" fillId="0" borderId="35" xfId="0" applyFont="1" applyBorder="1" applyAlignment="1">
      <alignment horizontal="center" vertical="center"/>
    </xf>
    <xf numFmtId="2" fontId="23" fillId="0" borderId="18" xfId="0" applyNumberFormat="1" applyFont="1" applyFill="1" applyBorder="1" applyAlignment="1">
      <alignment horizontal="center" vertical="center"/>
    </xf>
    <xf numFmtId="164" fontId="23" fillId="0" borderId="18" xfId="6" applyFont="1" applyFill="1" applyBorder="1" applyAlignment="1">
      <alignment horizontal="center" vertical="center"/>
    </xf>
    <xf numFmtId="165" fontId="23" fillId="0" borderId="18" xfId="0" applyNumberFormat="1" applyFont="1" applyFill="1" applyBorder="1" applyAlignment="1">
      <alignment horizontal="center" vertical="center"/>
    </xf>
    <xf numFmtId="165" fontId="23" fillId="0" borderId="18" xfId="0" applyNumberFormat="1" applyFont="1" applyBorder="1" applyAlignment="1">
      <alignment horizontal="center"/>
    </xf>
    <xf numFmtId="165" fontId="23" fillId="0" borderId="3" xfId="0" applyNumberFormat="1" applyFont="1" applyBorder="1" applyAlignment="1">
      <alignment horizontal="center"/>
    </xf>
    <xf numFmtId="2" fontId="23" fillId="0" borderId="17" xfId="0" applyNumberFormat="1" applyFont="1" applyFill="1" applyBorder="1" applyAlignment="1">
      <alignment horizontal="center" vertical="center"/>
    </xf>
    <xf numFmtId="164" fontId="23" fillId="0" borderId="17" xfId="6" applyFont="1" applyFill="1" applyBorder="1" applyAlignment="1">
      <alignment horizontal="center" vertical="center"/>
    </xf>
    <xf numFmtId="165" fontId="0" fillId="0" borderId="17" xfId="0" applyNumberFormat="1" applyFill="1" applyBorder="1" applyAlignment="1">
      <alignment horizontal="center" vertical="center"/>
    </xf>
    <xf numFmtId="165" fontId="23" fillId="0" borderId="17" xfId="0" applyNumberFormat="1" applyFont="1" applyFill="1" applyBorder="1" applyAlignment="1">
      <alignment horizontal="center" vertical="center"/>
    </xf>
    <xf numFmtId="165" fontId="23" fillId="0" borderId="17" xfId="0" applyNumberFormat="1" applyFont="1" applyBorder="1" applyAlignment="1">
      <alignment horizontal="center"/>
    </xf>
    <xf numFmtId="165" fontId="23" fillId="0" borderId="48" xfId="0" applyNumberFormat="1" applyFont="1" applyBorder="1" applyAlignment="1">
      <alignment horizontal="left" wrapText="1"/>
    </xf>
    <xf numFmtId="165" fontId="23" fillId="0" borderId="3" xfId="0" applyNumberFormat="1" applyFont="1" applyBorder="1" applyAlignment="1">
      <alignment horizontal="left" wrapText="1"/>
    </xf>
    <xf numFmtId="165" fontId="23" fillId="0" borderId="8" xfId="0" applyNumberFormat="1" applyFont="1" applyBorder="1" applyAlignment="1">
      <alignment horizontal="left" wrapText="1"/>
    </xf>
    <xf numFmtId="0" fontId="0" fillId="0" borderId="47"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36" fillId="0" borderId="34" xfId="0" applyFont="1" applyFill="1" applyBorder="1" applyAlignment="1">
      <alignment horizontal="center" vertical="center" wrapText="1"/>
    </xf>
    <xf numFmtId="0" fontId="0" fillId="0" borderId="6" xfId="0" applyBorder="1" applyAlignment="1">
      <alignment horizontal="center" readingOrder="1"/>
    </xf>
    <xf numFmtId="165" fontId="0" fillId="0" borderId="3" xfId="0" applyNumberFormat="1" applyBorder="1" applyAlignment="1">
      <alignment horizontal="center"/>
    </xf>
    <xf numFmtId="0" fontId="0" fillId="0" borderId="7" xfId="0" applyBorder="1" applyAlignment="1">
      <alignment horizontal="center" readingOrder="1"/>
    </xf>
    <xf numFmtId="165" fontId="0" fillId="0" borderId="8" xfId="0" applyNumberFormat="1" applyBorder="1" applyAlignment="1">
      <alignment horizontal="center"/>
    </xf>
    <xf numFmtId="0" fontId="0" fillId="0" borderId="47" xfId="0" applyBorder="1" applyAlignment="1">
      <alignment horizontal="center" readingOrder="1"/>
    </xf>
    <xf numFmtId="165" fontId="0" fillId="0" borderId="48" xfId="0" applyNumberFormat="1" applyBorder="1" applyAlignment="1">
      <alignment horizontal="center"/>
    </xf>
    <xf numFmtId="0" fontId="36" fillId="0" borderId="34" xfId="0" applyFont="1" applyBorder="1" applyAlignment="1">
      <alignment horizontal="center" vertical="center" wrapText="1" readingOrder="1"/>
    </xf>
    <xf numFmtId="0" fontId="36" fillId="0" borderId="35" xfId="0" applyFont="1" applyBorder="1" applyAlignment="1">
      <alignment horizontal="center" vertical="center" wrapText="1" readingOrder="1"/>
    </xf>
    <xf numFmtId="0" fontId="21" fillId="0" borderId="1" xfId="0" applyFont="1" applyFill="1" applyBorder="1" applyAlignment="1">
      <alignment vertical="top" wrapText="1"/>
    </xf>
    <xf numFmtId="0" fontId="28" fillId="0" borderId="1" xfId="0" applyFont="1" applyBorder="1" applyAlignment="1">
      <alignment horizontal="center"/>
    </xf>
    <xf numFmtId="0" fontId="28" fillId="0" borderId="1" xfId="0" applyFont="1" applyBorder="1" applyAlignment="1">
      <alignment horizontal="center" wrapText="1"/>
    </xf>
    <xf numFmtId="0" fontId="27" fillId="0" borderId="13" xfId="0" applyFont="1" applyFill="1" applyBorder="1" applyAlignment="1">
      <alignment horizontal="left" vertical="center" wrapText="1"/>
    </xf>
    <xf numFmtId="2" fontId="30" fillId="0" borderId="3" xfId="0" applyNumberFormat="1" applyFont="1" applyFill="1" applyBorder="1" applyAlignment="1">
      <alignment horizontal="left" vertical="center" wrapText="1"/>
    </xf>
    <xf numFmtId="2" fontId="30" fillId="0" borderId="1" xfId="0" applyNumberFormat="1" applyFont="1" applyFill="1" applyBorder="1" applyAlignment="1">
      <alignment horizontal="center" vertical="center"/>
    </xf>
    <xf numFmtId="2" fontId="30" fillId="0" borderId="3" xfId="0" applyNumberFormat="1" applyFont="1" applyFill="1" applyBorder="1" applyAlignment="1">
      <alignment horizontal="center" vertical="center"/>
    </xf>
    <xf numFmtId="2" fontId="27" fillId="0" borderId="1" xfId="0" applyNumberFormat="1" applyFont="1" applyBorder="1" applyAlignment="1">
      <alignment horizontal="center"/>
    </xf>
    <xf numFmtId="0" fontId="28" fillId="0" borderId="0" xfId="0" applyFont="1" applyFill="1" applyAlignment="1">
      <alignment horizontal="center"/>
    </xf>
    <xf numFmtId="165" fontId="27" fillId="0" borderId="0" xfId="0" applyNumberFormat="1" applyFont="1" applyFill="1" applyAlignment="1">
      <alignment horizont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0" fontId="86" fillId="0" borderId="10" xfId="0" applyFont="1" applyBorder="1" applyAlignment="1">
      <alignment horizontal="center" vertical="center"/>
    </xf>
    <xf numFmtId="165" fontId="70" fillId="0" borderId="32" xfId="0" applyNumberFormat="1" applyFont="1" applyBorder="1" applyAlignment="1">
      <alignment horizontal="center" vertical="center"/>
    </xf>
    <xf numFmtId="0" fontId="27" fillId="0" borderId="0" xfId="10" applyFont="1" applyAlignment="1">
      <alignment horizontal="center"/>
    </xf>
    <xf numFmtId="0" fontId="86" fillId="0" borderId="10" xfId="0" applyFont="1" applyBorder="1" applyAlignment="1">
      <alignment horizontal="center" vertical="center" wrapText="1"/>
    </xf>
    <xf numFmtId="166" fontId="27" fillId="0" borderId="1" xfId="0" applyNumberFormat="1" applyFont="1" applyBorder="1" applyAlignment="1">
      <alignment horizontal="center"/>
    </xf>
    <xf numFmtId="0" fontId="27" fillId="0" borderId="1" xfId="0" applyFont="1" applyBorder="1" applyAlignment="1">
      <alignment horizontal="center" wrapText="1"/>
    </xf>
    <xf numFmtId="0" fontId="27" fillId="0" borderId="1" xfId="0" applyFont="1" applyBorder="1" applyAlignment="1">
      <alignment horizontal="center"/>
    </xf>
    <xf numFmtId="0" fontId="27" fillId="0" borderId="0" xfId="0" applyFont="1" applyAlignment="1">
      <alignment vertical="center"/>
    </xf>
    <xf numFmtId="0" fontId="27" fillId="0" borderId="0" xfId="10" applyFont="1" applyAlignment="1">
      <alignment horizontal="left" vertical="center"/>
    </xf>
    <xf numFmtId="0" fontId="27" fillId="0" borderId="0" xfId="0" applyFont="1" applyAlignment="1">
      <alignment horizontal="center" vertical="center" wrapText="1"/>
    </xf>
    <xf numFmtId="166" fontId="27" fillId="0" borderId="0" xfId="0" applyNumberFormat="1" applyFont="1" applyAlignment="1">
      <alignment horizontal="center" vertical="center"/>
    </xf>
    <xf numFmtId="0" fontId="28" fillId="0" borderId="0" xfId="0" applyFont="1" applyAlignment="1">
      <alignment horizontal="center" vertical="center"/>
    </xf>
    <xf numFmtId="165" fontId="28" fillId="0" borderId="0" xfId="10" applyNumberFormat="1" applyFont="1" applyAlignment="1">
      <alignment horizontal="center" vertical="center"/>
    </xf>
    <xf numFmtId="0" fontId="30" fillId="0" borderId="1" xfId="10" applyFont="1" applyFill="1" applyBorder="1" applyAlignment="1">
      <alignment horizontal="center" vertical="center" wrapText="1" readingOrder="1"/>
    </xf>
    <xf numFmtId="3" fontId="30" fillId="0" borderId="1" xfId="10" applyNumberFormat="1" applyFont="1" applyFill="1" applyBorder="1" applyAlignment="1">
      <alignment horizontal="center" vertical="center" wrapText="1" readingOrder="1"/>
    </xf>
    <xf numFmtId="166" fontId="30" fillId="0" borderId="1" xfId="10" applyNumberFormat="1" applyFont="1" applyFill="1" applyBorder="1" applyAlignment="1">
      <alignment horizontal="center" vertical="center" wrapText="1" readingOrder="1"/>
    </xf>
    <xf numFmtId="167" fontId="30" fillId="0" borderId="1" xfId="10" applyNumberFormat="1" applyFont="1" applyFill="1" applyBorder="1" applyAlignment="1">
      <alignment horizontal="center" vertical="center" wrapText="1" readingOrder="1"/>
    </xf>
    <xf numFmtId="0" fontId="30" fillId="0" borderId="6" xfId="10" applyFont="1" applyFill="1" applyBorder="1" applyAlignment="1">
      <alignment vertical="center" wrapText="1" readingOrder="1"/>
    </xf>
    <xf numFmtId="0" fontId="30" fillId="0" borderId="3" xfId="10" applyFont="1" applyFill="1" applyBorder="1" applyAlignment="1">
      <alignment horizontal="center" vertical="center" wrapText="1" readingOrder="1"/>
    </xf>
    <xf numFmtId="166" fontId="30" fillId="0" borderId="3" xfId="10" applyNumberFormat="1" applyFont="1" applyFill="1" applyBorder="1" applyAlignment="1">
      <alignment horizontal="center" vertical="center" wrapText="1" readingOrder="1"/>
    </xf>
    <xf numFmtId="167" fontId="30" fillId="0" borderId="3" xfId="10" applyNumberFormat="1" applyFont="1" applyFill="1" applyBorder="1" applyAlignment="1">
      <alignment horizontal="center" vertical="center" wrapText="1" readingOrder="1"/>
    </xf>
    <xf numFmtId="0" fontId="30" fillId="0" borderId="7" xfId="10" applyFont="1" applyFill="1" applyBorder="1" applyAlignment="1">
      <alignment vertical="center" wrapText="1" readingOrder="1"/>
    </xf>
    <xf numFmtId="0" fontId="30" fillId="0" borderId="17" xfId="10" applyFont="1" applyFill="1" applyBorder="1" applyAlignment="1">
      <alignment horizontal="center" vertical="center" wrapText="1" readingOrder="1"/>
    </xf>
    <xf numFmtId="0" fontId="30" fillId="0" borderId="8" xfId="10" applyFont="1" applyFill="1" applyBorder="1" applyAlignment="1">
      <alignment horizontal="center" vertical="center" wrapText="1" readingOrder="1"/>
    </xf>
    <xf numFmtId="0" fontId="30" fillId="0" borderId="47" xfId="10" applyFont="1" applyFill="1" applyBorder="1" applyAlignment="1">
      <alignment vertical="center" wrapText="1" readingOrder="1"/>
    </xf>
    <xf numFmtId="0" fontId="30" fillId="0" borderId="18" xfId="10" applyFont="1" applyFill="1" applyBorder="1" applyAlignment="1">
      <alignment horizontal="center" vertical="center" wrapText="1" readingOrder="1"/>
    </xf>
    <xf numFmtId="0" fontId="30" fillId="0" borderId="48" xfId="10" applyFont="1" applyFill="1" applyBorder="1" applyAlignment="1">
      <alignment horizontal="center" vertical="center" wrapText="1" readingOrder="1"/>
    </xf>
    <xf numFmtId="0" fontId="29" fillId="0" borderId="34" xfId="10" applyFont="1" applyFill="1" applyBorder="1" applyAlignment="1">
      <alignment vertical="center" wrapText="1" readingOrder="1"/>
    </xf>
    <xf numFmtId="0" fontId="29" fillId="0" borderId="46" xfId="10" applyFont="1" applyFill="1" applyBorder="1" applyAlignment="1">
      <alignment horizontal="center" vertical="center" wrapText="1" readingOrder="1"/>
    </xf>
    <xf numFmtId="0" fontId="29" fillId="0" borderId="35" xfId="10" applyFont="1" applyFill="1" applyBorder="1" applyAlignment="1">
      <alignment horizontal="center" vertical="center" wrapText="1" readingOrder="1"/>
    </xf>
    <xf numFmtId="0" fontId="28" fillId="0" borderId="0" xfId="10" applyFont="1" applyFill="1" applyAlignment="1">
      <alignment horizontal="center" vertical="center" wrapText="1"/>
    </xf>
    <xf numFmtId="0" fontId="28" fillId="0" borderId="0" xfId="10" applyFont="1" applyAlignment="1">
      <alignment horizontal="center" vertical="center" wrapText="1"/>
    </xf>
    <xf numFmtId="2" fontId="30" fillId="0" borderId="0" xfId="0" applyNumberFormat="1" applyFont="1" applyFill="1" applyAlignment="1">
      <alignment horizontal="center" vertical="center"/>
    </xf>
    <xf numFmtId="0" fontId="30" fillId="0" borderId="0" xfId="0" applyFont="1" applyFill="1" applyAlignment="1">
      <alignment vertical="center"/>
    </xf>
    <xf numFmtId="0" fontId="30" fillId="0" borderId="0" xfId="0" applyFont="1" applyFill="1" applyAlignment="1">
      <alignment horizontal="center" vertical="center"/>
    </xf>
    <xf numFmtId="0" fontId="30" fillId="0" borderId="0" xfId="0" applyFont="1" applyFill="1" applyBorder="1" applyAlignment="1">
      <alignment horizontal="left" wrapText="1"/>
    </xf>
    <xf numFmtId="0" fontId="27" fillId="0" borderId="1" xfId="0" applyFont="1" applyBorder="1" applyAlignment="1">
      <alignment horizontal="center"/>
    </xf>
    <xf numFmtId="0" fontId="30" fillId="0" borderId="0" xfId="0" applyFont="1" applyAlignment="1">
      <alignment horizontal="left" wrapText="1"/>
    </xf>
    <xf numFmtId="0" fontId="28" fillId="0" borderId="1" xfId="0" applyFont="1" applyBorder="1" applyAlignment="1">
      <alignment horizontal="left" wrapText="1"/>
    </xf>
    <xf numFmtId="49" fontId="27" fillId="0" borderId="0" xfId="0" quotePrefix="1" applyNumberFormat="1" applyFont="1" applyAlignment="1">
      <alignment horizontal="left"/>
    </xf>
    <xf numFmtId="0" fontId="63" fillId="0" borderId="0" xfId="0" applyFont="1" applyAlignment="1">
      <alignment wrapText="1"/>
    </xf>
    <xf numFmtId="0" fontId="27" fillId="0" borderId="18" xfId="10" applyFont="1" applyBorder="1" applyAlignment="1">
      <alignment horizontal="center"/>
    </xf>
    <xf numFmtId="0" fontId="27" fillId="0" borderId="18" xfId="10" applyFont="1" applyFill="1" applyBorder="1" applyAlignment="1">
      <alignment horizontal="center"/>
    </xf>
    <xf numFmtId="2" fontId="27" fillId="0" borderId="18" xfId="10" applyNumberFormat="1" applyFont="1" applyBorder="1" applyAlignment="1">
      <alignment horizontal="center"/>
    </xf>
    <xf numFmtId="9" fontId="27" fillId="0" borderId="18" xfId="7" applyFont="1" applyBorder="1" applyAlignment="1">
      <alignment horizontal="center"/>
    </xf>
    <xf numFmtId="2" fontId="28" fillId="0" borderId="18" xfId="10" applyNumberFormat="1" applyFont="1" applyBorder="1" applyAlignment="1">
      <alignment horizontal="left" vertical="center" wrapText="1"/>
    </xf>
    <xf numFmtId="1" fontId="27" fillId="0" borderId="18" xfId="10" applyNumberFormat="1" applyFont="1" applyBorder="1" applyAlignment="1">
      <alignment horizontal="center"/>
    </xf>
    <xf numFmtId="0" fontId="28" fillId="0" borderId="34" xfId="10" applyFont="1" applyFill="1" applyBorder="1" applyAlignment="1">
      <alignment horizontal="center"/>
    </xf>
    <xf numFmtId="0" fontId="28" fillId="0" borderId="46" xfId="10" applyFont="1" applyFill="1" applyBorder="1" applyAlignment="1">
      <alignment horizontal="center" wrapText="1"/>
    </xf>
    <xf numFmtId="0" fontId="28" fillId="0" borderId="46" xfId="10" applyFont="1" applyFill="1" applyBorder="1" applyAlignment="1">
      <alignment horizontal="center"/>
    </xf>
    <xf numFmtId="0" fontId="28" fillId="0" borderId="35" xfId="10" applyFont="1" applyFill="1" applyBorder="1" applyAlignment="1">
      <alignment horizontal="center" wrapText="1"/>
    </xf>
    <xf numFmtId="0" fontId="27" fillId="0" borderId="47" xfId="10" applyFont="1" applyBorder="1" applyAlignment="1">
      <alignment horizontal="left" wrapText="1"/>
    </xf>
    <xf numFmtId="1" fontId="27" fillId="0" borderId="48" xfId="10" applyNumberFormat="1" applyFont="1" applyBorder="1" applyAlignment="1">
      <alignment horizontal="center"/>
    </xf>
    <xf numFmtId="0" fontId="27" fillId="0" borderId="6" xfId="10" applyFont="1" applyBorder="1" applyAlignment="1">
      <alignment horizontal="left" wrapText="1"/>
    </xf>
    <xf numFmtId="1" fontId="27" fillId="0" borderId="3" xfId="10" applyNumberFormat="1" applyFont="1" applyBorder="1" applyAlignment="1">
      <alignment horizontal="center" wrapText="1"/>
    </xf>
    <xf numFmtId="1" fontId="27" fillId="0" borderId="3" xfId="10" applyNumberFormat="1" applyFont="1" applyBorder="1" applyAlignment="1">
      <alignment horizontal="center"/>
    </xf>
    <xf numFmtId="0" fontId="27" fillId="0" borderId="0" xfId="10" applyFont="1" applyBorder="1" applyAlignment="1">
      <alignment horizontal="left" vertical="center" wrapText="1"/>
    </xf>
    <xf numFmtId="0" fontId="27" fillId="0" borderId="6" xfId="10" applyFont="1" applyBorder="1" applyAlignment="1">
      <alignment horizontal="left"/>
    </xf>
    <xf numFmtId="0" fontId="27" fillId="0" borderId="7" xfId="10" applyFont="1" applyBorder="1" applyAlignment="1">
      <alignment horizontal="left" wrapText="1"/>
    </xf>
    <xf numFmtId="0" fontId="27" fillId="0" borderId="17" xfId="10" applyFont="1" applyBorder="1" applyAlignment="1">
      <alignment horizontal="center"/>
    </xf>
    <xf numFmtId="0" fontId="27" fillId="0" borderId="17" xfId="10" applyFont="1" applyFill="1" applyBorder="1" applyAlignment="1">
      <alignment horizontal="center"/>
    </xf>
    <xf numFmtId="2" fontId="27" fillId="0" borderId="17" xfId="10" applyNumberFormat="1" applyFont="1" applyBorder="1" applyAlignment="1">
      <alignment horizontal="center"/>
    </xf>
    <xf numFmtId="9" fontId="27" fillId="0" borderId="17" xfId="7" applyFont="1" applyBorder="1" applyAlignment="1">
      <alignment horizontal="center"/>
    </xf>
    <xf numFmtId="2" fontId="27" fillId="10" borderId="17" xfId="10" applyNumberFormat="1" applyFont="1" applyFill="1" applyBorder="1" applyAlignment="1">
      <alignment horizontal="left" vertical="center" wrapText="1"/>
    </xf>
    <xf numFmtId="1" fontId="27" fillId="0" borderId="17" xfId="10" applyNumberFormat="1" applyFont="1" applyBorder="1" applyAlignment="1">
      <alignment horizontal="center"/>
    </xf>
    <xf numFmtId="1" fontId="27" fillId="0" borderId="8" xfId="10" applyNumberFormat="1" applyFont="1" applyBorder="1" applyAlignment="1">
      <alignment horizontal="center"/>
    </xf>
    <xf numFmtId="0" fontId="63" fillId="0" borderId="0" xfId="0" applyFont="1" applyFill="1" applyBorder="1" applyAlignment="1">
      <alignment horizontal="left" wrapText="1"/>
    </xf>
    <xf numFmtId="0" fontId="30" fillId="0" borderId="0" xfId="0" applyFont="1" applyFill="1" applyBorder="1" applyAlignment="1">
      <alignment horizontal="left" wrapText="1"/>
    </xf>
    <xf numFmtId="0" fontId="28" fillId="0" borderId="1" xfId="0" applyFont="1" applyBorder="1" applyAlignment="1">
      <alignment horizontal="left" wrapText="1"/>
    </xf>
    <xf numFmtId="0" fontId="28" fillId="0" borderId="1" xfId="0" applyFont="1" applyBorder="1" applyAlignment="1">
      <alignment horizontal="center"/>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7" fillId="0" borderId="1" xfId="0" applyFont="1" applyBorder="1" applyAlignment="1">
      <alignment horizontal="center" vertical="center"/>
    </xf>
    <xf numFmtId="0" fontId="85" fillId="0" borderId="11" xfId="0" applyFont="1" applyFill="1" applyBorder="1" applyAlignment="1">
      <alignment horizontal="center" vertical="center"/>
    </xf>
    <xf numFmtId="0" fontId="85" fillId="0" borderId="21" xfId="0" applyFont="1" applyFill="1" applyBorder="1" applyAlignment="1">
      <alignment horizontal="center" vertical="center"/>
    </xf>
    <xf numFmtId="0" fontId="85" fillId="0" borderId="32" xfId="0" applyFont="1" applyFill="1" applyBorder="1" applyAlignment="1">
      <alignment horizontal="center" vertical="center"/>
    </xf>
    <xf numFmtId="0" fontId="90" fillId="0" borderId="32" xfId="0" applyFont="1" applyFill="1" applyBorder="1" applyAlignment="1">
      <alignment horizontal="center" vertical="center"/>
    </xf>
    <xf numFmtId="0" fontId="73" fillId="0" borderId="9" xfId="0" applyFont="1" applyBorder="1" applyAlignment="1">
      <alignment horizontal="center"/>
    </xf>
    <xf numFmtId="0" fontId="73" fillId="0" borderId="14" xfId="0" applyFont="1" applyBorder="1" applyAlignment="1">
      <alignment horizontal="center"/>
    </xf>
    <xf numFmtId="165" fontId="0" fillId="0" borderId="0" xfId="0" applyNumberFormat="1" applyFont="1" applyAlignment="1">
      <alignment horizontal="left" wrapText="1"/>
    </xf>
    <xf numFmtId="0" fontId="66" fillId="35" borderId="2" xfId="10" applyFont="1" applyFill="1" applyBorder="1" applyAlignment="1">
      <alignment horizontal="center" wrapText="1"/>
    </xf>
    <xf numFmtId="0" fontId="66" fillId="35" borderId="27" xfId="10" applyFont="1" applyFill="1" applyBorder="1" applyAlignment="1">
      <alignment horizontal="center" wrapText="1"/>
    </xf>
    <xf numFmtId="0" fontId="66" fillId="35" borderId="23" xfId="10" applyFont="1" applyFill="1" applyBorder="1" applyAlignment="1">
      <alignment horizontal="center" wrapText="1"/>
    </xf>
    <xf numFmtId="0" fontId="27" fillId="0" borderId="0" xfId="0" applyFont="1" applyAlignment="1">
      <alignment horizontal="left" vertical="center" wrapText="1"/>
    </xf>
    <xf numFmtId="0" fontId="27" fillId="0" borderId="16" xfId="0" applyFont="1" applyBorder="1" applyAlignment="1">
      <alignment horizontal="left"/>
    </xf>
    <xf numFmtId="0" fontId="27" fillId="0" borderId="5" xfId="0" applyFont="1" applyBorder="1" applyAlignment="1">
      <alignment horizontal="left"/>
    </xf>
    <xf numFmtId="14" fontId="27" fillId="0" borderId="1" xfId="0" applyNumberFormat="1" applyFont="1" applyBorder="1" applyAlignment="1">
      <alignment horizontal="left"/>
    </xf>
    <xf numFmtId="0" fontId="27" fillId="0" borderId="3" xfId="0" applyFont="1" applyBorder="1" applyAlignment="1">
      <alignment horizontal="left"/>
    </xf>
    <xf numFmtId="0" fontId="27" fillId="0" borderId="17" xfId="0" applyFont="1" applyBorder="1" applyAlignment="1">
      <alignment horizontal="left"/>
    </xf>
    <xf numFmtId="0" fontId="27" fillId="0" borderId="8" xfId="0" applyFont="1" applyBorder="1" applyAlignment="1">
      <alignment horizontal="left"/>
    </xf>
    <xf numFmtId="0" fontId="63" fillId="0" borderId="0" xfId="0" applyFont="1" applyFill="1" applyBorder="1" applyAlignment="1">
      <alignment horizontal="left" wrapText="1"/>
    </xf>
    <xf numFmtId="0" fontId="30" fillId="0" borderId="0" xfId="0" applyFont="1" applyFill="1" applyBorder="1" applyAlignment="1">
      <alignment horizontal="left" wrapText="1"/>
    </xf>
    <xf numFmtId="0" fontId="27" fillId="0" borderId="0" xfId="0" applyFont="1" applyAlignment="1">
      <alignment horizontal="left" wrapText="1"/>
    </xf>
    <xf numFmtId="0" fontId="27" fillId="0" borderId="1" xfId="0" applyFont="1" applyBorder="1" applyAlignment="1">
      <alignment horizontal="center"/>
    </xf>
    <xf numFmtId="0" fontId="30" fillId="0" borderId="0" xfId="0" applyFont="1" applyAlignment="1">
      <alignment horizontal="left" wrapText="1"/>
    </xf>
    <xf numFmtId="0" fontId="27" fillId="0" borderId="1" xfId="0" applyFont="1" applyBorder="1" applyAlignment="1">
      <alignment horizontal="left" wrapText="1"/>
    </xf>
    <xf numFmtId="0" fontId="28" fillId="0" borderId="1" xfId="0" applyFont="1" applyBorder="1" applyAlignment="1">
      <alignment horizontal="left" wrapText="1"/>
    </xf>
    <xf numFmtId="0" fontId="28" fillId="0" borderId="1" xfId="0" applyFont="1" applyBorder="1" applyAlignment="1">
      <alignment horizontal="center"/>
    </xf>
    <xf numFmtId="0" fontId="70" fillId="0" borderId="19" xfId="0" applyFont="1" applyBorder="1" applyAlignment="1">
      <alignment vertical="center"/>
    </xf>
    <xf numFmtId="0" fontId="70" fillId="0" borderId="21" xfId="0" applyFont="1" applyBorder="1" applyAlignment="1">
      <alignment vertical="center"/>
    </xf>
    <xf numFmtId="0" fontId="17" fillId="0" borderId="19" xfId="0" applyFont="1" applyBorder="1" applyAlignment="1">
      <alignment vertical="center" wrapText="1"/>
    </xf>
    <xf numFmtId="0" fontId="17" fillId="0" borderId="21" xfId="0" applyFont="1" applyBorder="1" applyAlignment="1">
      <alignment vertical="center" wrapText="1"/>
    </xf>
    <xf numFmtId="14" fontId="27" fillId="0" borderId="17" xfId="0" applyNumberFormat="1" applyFont="1" applyBorder="1" applyAlignment="1">
      <alignment horizontal="left"/>
    </xf>
    <xf numFmtId="0" fontId="63" fillId="0" borderId="0" xfId="0" applyFont="1" applyFill="1" applyAlignment="1">
      <alignment horizontal="left" wrapText="1"/>
    </xf>
    <xf numFmtId="165" fontId="35" fillId="0" borderId="0" xfId="10" applyNumberFormat="1" applyFont="1" applyBorder="1" applyAlignment="1">
      <alignment horizontal="left" wrapText="1"/>
    </xf>
    <xf numFmtId="165" fontId="75" fillId="0" borderId="0" xfId="10" applyNumberFormat="1" applyFont="1" applyBorder="1" applyAlignment="1">
      <alignment horizontal="left"/>
    </xf>
    <xf numFmtId="0" fontId="27" fillId="0" borderId="0" xfId="0" applyFont="1" applyFill="1" applyAlignment="1">
      <alignment horizontal="left" wrapText="1"/>
    </xf>
    <xf numFmtId="0" fontId="27" fillId="0" borderId="0" xfId="10" applyFont="1" applyFill="1" applyAlignment="1">
      <alignment horizontal="left" wrapText="1"/>
    </xf>
    <xf numFmtId="0" fontId="85" fillId="0" borderId="9" xfId="0" applyFont="1" applyFill="1" applyBorder="1" applyAlignment="1">
      <alignment horizontal="center" vertical="center"/>
    </xf>
    <xf numFmtId="0" fontId="85" fillId="0" borderId="14" xfId="0" applyFont="1" applyFill="1" applyBorder="1" applyAlignment="1">
      <alignment horizontal="center" vertical="center"/>
    </xf>
    <xf numFmtId="0" fontId="85" fillId="0" borderId="10" xfId="0" applyFont="1" applyFill="1" applyBorder="1" applyAlignment="1">
      <alignment horizontal="center" vertical="center"/>
    </xf>
    <xf numFmtId="0" fontId="90" fillId="0" borderId="9" xfId="0" applyFont="1" applyFill="1" applyBorder="1" applyAlignment="1">
      <alignment horizontal="center" vertical="center"/>
    </xf>
    <xf numFmtId="0" fontId="90" fillId="0" borderId="14" xfId="0" applyFont="1" applyFill="1" applyBorder="1" applyAlignment="1">
      <alignment horizontal="center" vertical="center"/>
    </xf>
    <xf numFmtId="0" fontId="90" fillId="0" borderId="10" xfId="0" applyFont="1" applyFill="1" applyBorder="1" applyAlignment="1">
      <alignment horizontal="center" vertical="center"/>
    </xf>
  </cellXfs>
  <cellStyles count="167">
    <cellStyle name="20% - Accent1 2" xfId="38"/>
    <cellStyle name="20% - Accent2 2" xfId="39"/>
    <cellStyle name="20% - Accent3 2" xfId="40"/>
    <cellStyle name="20% - Accent4 2" xfId="41"/>
    <cellStyle name="20% - Accent5 2" xfId="42"/>
    <cellStyle name="20% - Accent6 2" xfId="43"/>
    <cellStyle name="40% - Accent1 2" xfId="44"/>
    <cellStyle name="40% - Accent2 2" xfId="45"/>
    <cellStyle name="40% - Accent3 2" xfId="46"/>
    <cellStyle name="40% - Accent4 2" xfId="47"/>
    <cellStyle name="40% - Accent5 2" xfId="48"/>
    <cellStyle name="40% - Accent6 2" xfId="49"/>
    <cellStyle name="60% - Accent1 2" xfId="50"/>
    <cellStyle name="60% - Accent2 2" xfId="51"/>
    <cellStyle name="60% - Accent3 2" xfId="52"/>
    <cellStyle name="60% - Accent4 2" xfId="53"/>
    <cellStyle name="60% - Accent5 2" xfId="54"/>
    <cellStyle name="60% - Accent6 2" xfId="55"/>
    <cellStyle name="Accent1 2" xfId="56"/>
    <cellStyle name="Accent2 2" xfId="57"/>
    <cellStyle name="Accent3 2" xfId="58"/>
    <cellStyle name="Accent4 2" xfId="59"/>
    <cellStyle name="Accent5 2" xfId="60"/>
    <cellStyle name="Accent6 2" xfId="61"/>
    <cellStyle name="Bad 2" xfId="62"/>
    <cellStyle name="Calculation 2" xfId="63"/>
    <cellStyle name="Check Cell 2" xfId="64"/>
    <cellStyle name="Comma" xfId="6" builtinId="3"/>
    <cellStyle name="Comma 2" xfId="11"/>
    <cellStyle name="Comma 2 2" xfId="110"/>
    <cellStyle name="Comma 2 2 2" xfId="118"/>
    <cellStyle name="Comma 2 2 2 2" xfId="157"/>
    <cellStyle name="Comma 2 2 3" xfId="134"/>
    <cellStyle name="Comma 2 2 3 2" xfId="165"/>
    <cellStyle name="Comma 2 2 4" xfId="155"/>
    <cellStyle name="Comma 2 3" xfId="116"/>
    <cellStyle name="Comma 2 3 2" xfId="156"/>
    <cellStyle name="Comma 2 4" xfId="105"/>
    <cellStyle name="Comma 2 4 2" xfId="154"/>
    <cellStyle name="Comma 2 5" xfId="65"/>
    <cellStyle name="Comma 2 5 2" xfId="153"/>
    <cellStyle name="Comma 2 6" xfId="147"/>
    <cellStyle name="Comma 3" xfId="15"/>
    <cellStyle name="Comma 3 2" xfId="151"/>
    <cellStyle name="Comma 4" xfId="144"/>
    <cellStyle name="Comma 4 2" xfId="130"/>
    <cellStyle name="Comma 4 2 2" xfId="161"/>
    <cellStyle name="Explanatory Text" xfId="128" builtinId="53"/>
    <cellStyle name="Explanatory Text 2" xfId="66"/>
    <cellStyle name="Good 2" xfId="67"/>
    <cellStyle name="Heading 1 2" xfId="68"/>
    <cellStyle name="Heading 2 2" xfId="69"/>
    <cellStyle name="Heading 3 2" xfId="70"/>
    <cellStyle name="Heading 4 2" xfId="71"/>
    <cellStyle name="Hyperlink" xfId="17" builtinId="8"/>
    <cellStyle name="Hyperlink 2" xfId="72"/>
    <cellStyle name="Hyperlink 3" xfId="20"/>
    <cellStyle name="Input 2" xfId="73"/>
    <cellStyle name="Linked Cell 2" xfId="74"/>
    <cellStyle name="Neutral 2" xfId="75"/>
    <cellStyle name="Normal" xfId="0" builtinId="0"/>
    <cellStyle name="Normal 10" xfId="121"/>
    <cellStyle name="Normal 11" xfId="124"/>
    <cellStyle name="Normal 12" xfId="35"/>
    <cellStyle name="Normal 13" xfId="19"/>
    <cellStyle name="Normal 14" xfId="133"/>
    <cellStyle name="Normal 14 2" xfId="135"/>
    <cellStyle name="Normal 14 2 2" xfId="141"/>
    <cellStyle name="Normal 14 3" xfId="164"/>
    <cellStyle name="Normal 15" xfId="137"/>
    <cellStyle name="Normal 15 2" xfId="166"/>
    <cellStyle name="Normal 2" xfId="4"/>
    <cellStyle name="Normal 2 2" xfId="1"/>
    <cellStyle name="Normal 2 2 2" xfId="10"/>
    <cellStyle name="Normal 2 2 2 2" xfId="114"/>
    <cellStyle name="Normal 2 2 2 3" xfId="34"/>
    <cellStyle name="Normal 2 2 3" xfId="109"/>
    <cellStyle name="Normal 2 2 3 2" xfId="125"/>
    <cellStyle name="Normal 2 2 4" xfId="104"/>
    <cellStyle name="Normal 2 2 5" xfId="97"/>
    <cellStyle name="Normal 2 2 6" xfId="90"/>
    <cellStyle name="Normal 2 2 7" xfId="28"/>
    <cellStyle name="Normal 2 3" xfId="106"/>
    <cellStyle name="Normal 2 3 2" xfId="111"/>
    <cellStyle name="Normal 2 3 3" xfId="139"/>
    <cellStyle name="Normal 2 4" xfId="108"/>
    <cellStyle name="Normal 2 5" xfId="27"/>
    <cellStyle name="Normal 2 5 2" xfId="123"/>
    <cellStyle name="Normal 2 5 3" xfId="103"/>
    <cellStyle name="Normal 2 6" xfId="16"/>
    <cellStyle name="Normal 2 6 2" xfId="96"/>
    <cellStyle name="Normal 20" xfId="9"/>
    <cellStyle name="Normal 20 2" xfId="146"/>
    <cellStyle name="Normal 3" xfId="2"/>
    <cellStyle name="Normal 3 2" xfId="13"/>
    <cellStyle name="Normal 3 2 2" xfId="88"/>
    <cellStyle name="Normal 3 2 3" xfId="81"/>
    <cellStyle name="Normal 3 2 4" xfId="26"/>
    <cellStyle name="Normal 3 2 5" xfId="127"/>
    <cellStyle name="Normal 3 2 5 2" xfId="159"/>
    <cellStyle name="Normal 3 2 6" xfId="138"/>
    <cellStyle name="Normal 3 2 7" xfId="149"/>
    <cellStyle name="Normal 3 3" xfId="84"/>
    <cellStyle name="Normal 3 3 2" xfId="117"/>
    <cellStyle name="Normal 3 3 3" xfId="107"/>
    <cellStyle name="Normal 3 4" xfId="98"/>
    <cellStyle name="Normal 3 5" xfId="91"/>
    <cellStyle name="Normal 3 6" xfId="36"/>
    <cellStyle name="Normal 3 7" xfId="29"/>
    <cellStyle name="Normal 3 8" xfId="21"/>
    <cellStyle name="Normal 3 9" xfId="142"/>
    <cellStyle name="Normal 4" xfId="5"/>
    <cellStyle name="Normal 4 2" xfId="14"/>
    <cellStyle name="Normal 4 2 2" xfId="113"/>
    <cellStyle name="Normal 4 2 3" xfId="150"/>
    <cellStyle name="Normal 4 3" xfId="99"/>
    <cellStyle name="Normal 4 4" xfId="92"/>
    <cellStyle name="Normal 4 5" xfId="82"/>
    <cellStyle name="Normal 4 6" xfId="30"/>
    <cellStyle name="Normal 4 7" xfId="22"/>
    <cellStyle name="Normal 4 8" xfId="143"/>
    <cellStyle name="Normal 5" xfId="8"/>
    <cellStyle name="Normal 5 2" xfId="12"/>
    <cellStyle name="Normal 5 2 2" xfId="85"/>
    <cellStyle name="Normal 5 2 2 2" xfId="129"/>
    <cellStyle name="Normal 5 2 2 2 2" xfId="140"/>
    <cellStyle name="Normal 5 2 2 2 3" xfId="160"/>
    <cellStyle name="Normal 5 2 3" xfId="148"/>
    <cellStyle name="Normal 5 3" xfId="93"/>
    <cellStyle name="Normal 5 4" xfId="37"/>
    <cellStyle name="Normal 5 5" xfId="31"/>
    <cellStyle name="Normal 5 6" xfId="23"/>
    <cellStyle name="Normal 5 7" xfId="145"/>
    <cellStyle name="Normal 6" xfId="24"/>
    <cellStyle name="Normal 6 2" xfId="100"/>
    <cellStyle name="Normal 6 3" xfId="94"/>
    <cellStyle name="Normal 6 4" xfId="86"/>
    <cellStyle name="Normal 6 5" xfId="32"/>
    <cellStyle name="Normal 6 6" xfId="126"/>
    <cellStyle name="Normal 6 6 2" xfId="136"/>
    <cellStyle name="Normal 6 6 3" xfId="158"/>
    <cellStyle name="Normal 7" xfId="83"/>
    <cellStyle name="Normal 7 2" xfId="115"/>
    <cellStyle name="Normal 7 3" xfId="119"/>
    <cellStyle name="Normal 7 4" xfId="102"/>
    <cellStyle name="Normal 8" xfId="89"/>
    <cellStyle name="Normal 9" xfId="3"/>
    <cellStyle name="Normal 9 2" xfId="120"/>
    <cellStyle name="Note 2" xfId="76"/>
    <cellStyle name="Note 2 2" xfId="112"/>
    <cellStyle name="Output 2" xfId="77"/>
    <cellStyle name="Percent" xfId="7" builtinId="5"/>
    <cellStyle name="Percent 2" xfId="18"/>
    <cellStyle name="Percent 2 2" xfId="101"/>
    <cellStyle name="Percent 2 3" xfId="95"/>
    <cellStyle name="Percent 2 4" xfId="87"/>
    <cellStyle name="Percent 2 5" xfId="33"/>
    <cellStyle name="Percent 2 6" xfId="25"/>
    <cellStyle name="Percent 2 7" xfId="131"/>
    <cellStyle name="Percent 2 7 2" xfId="162"/>
    <cellStyle name="Percent 2 8" xfId="132"/>
    <cellStyle name="Percent 2 8 2" xfId="163"/>
    <cellStyle name="Percent 2 9" xfId="152"/>
    <cellStyle name="Percent 3" xfId="122"/>
    <cellStyle name="Title 2" xfId="78"/>
    <cellStyle name="Total 2" xfId="79"/>
    <cellStyle name="Warning Text 2" xfId="80"/>
  </cellStyles>
  <dxfs count="13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
      <font>
        <color theme="6"/>
      </font>
      <fill>
        <patternFill>
          <bgColor theme="6" tint="0.59996337778862885"/>
        </patternFill>
      </fill>
    </dxf>
  </dxfs>
  <tableStyles count="0" defaultTableStyle="TableStyleMedium2" defaultPivotStyle="PivotStyleMedium9"/>
  <colors>
    <mruColors>
      <color rgb="FF9933FF"/>
      <color rgb="FFD9D9D9"/>
      <color rgb="FF8064A2"/>
      <color rgb="FFE9F6D2"/>
      <color rgb="FFD2ECB6"/>
      <color rgb="FFFFD9D9"/>
      <color rgb="FF9BBB59"/>
      <color rgb="FF4BACC6"/>
      <color rgb="FFF79646"/>
      <color rgb="FF772C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GB"/>
              <a:t>Normalised leakage position</a:t>
            </a:r>
          </a:p>
        </c:rich>
      </c:tx>
      <c:overlay val="0"/>
      <c:spPr>
        <a:noFill/>
        <a:ln>
          <a:noFill/>
        </a:ln>
        <a:effectLst/>
      </c:spPr>
    </c:title>
    <c:autoTitleDeleted val="0"/>
    <c:plotArea>
      <c:layout/>
      <c:scatterChart>
        <c:scatterStyle val="lineMarker"/>
        <c:varyColors val="0"/>
        <c:ser>
          <c:idx val="2"/>
          <c:order val="0"/>
          <c:spPr>
            <a:ln w="19050" cap="rnd">
              <a:noFill/>
              <a:round/>
            </a:ln>
            <a:effectLst/>
          </c:spPr>
          <c:marker>
            <c:symbol val="circle"/>
            <c:size val="5"/>
            <c:spPr>
              <a:solidFill>
                <a:schemeClr val="accent1"/>
              </a:solidFill>
              <a:ln>
                <a:solidFill>
                  <a:schemeClr val="accent1"/>
                </a:solidFill>
              </a:ln>
            </c:spPr>
          </c:marker>
          <c:dLbls>
            <c:dLbl>
              <c:idx val="0"/>
              <c:layout>
                <c:manualLayout>
                  <c:x val="1.4374721748393377E-2"/>
                  <c:y val="-2.7895521870338842E-2"/>
                </c:manualLayout>
              </c:layout>
              <c:tx>
                <c:rich>
                  <a:bodyPr/>
                  <a:lstStyle/>
                  <a:p>
                    <a:fld id="{58E29A36-3DEE-4E9F-BF07-17DE254FEF40}"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D202-D34B-88FF-3F1F9E926F16}"/>
                </c:ext>
                <c:ext xmlns:c15="http://schemas.microsoft.com/office/drawing/2012/chart" uri="{CE6537A1-D6FC-4f65-9D91-7224C49458BB}">
                  <c15:dlblFieldTable/>
                  <c15:showDataLabelsRange val="1"/>
                </c:ext>
              </c:extLst>
            </c:dLbl>
            <c:dLbl>
              <c:idx val="1"/>
              <c:layout>
                <c:manualLayout>
                  <c:x val="-0.12355726798234806"/>
                  <c:y val="2.3489239319657639E-2"/>
                </c:manualLayout>
              </c:layout>
              <c:tx>
                <c:rich>
                  <a:bodyPr/>
                  <a:lstStyle/>
                  <a:p>
                    <a:fld id="{C861EC80-8996-46FE-BAB3-C7EEC426DAC5}"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D202-D34B-88FF-3F1F9E926F16}"/>
                </c:ext>
                <c:ext xmlns:c15="http://schemas.microsoft.com/office/drawing/2012/chart" uri="{CE6537A1-D6FC-4f65-9D91-7224C49458BB}">
                  <c15:dlblFieldTable/>
                  <c15:showDataLabelsRange val="1"/>
                </c:ext>
              </c:extLst>
            </c:dLbl>
            <c:dLbl>
              <c:idx val="2"/>
              <c:layout>
                <c:manualLayout>
                  <c:x val="-0.11331159910834918"/>
                  <c:y val="0.10258107586716793"/>
                </c:manualLayout>
              </c:layout>
              <c:tx>
                <c:rich>
                  <a:bodyPr/>
                  <a:lstStyle/>
                  <a:p>
                    <a:fld id="{78BC0DF4-873B-4B46-A4FC-B2176A6CA777}"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D202-D34B-88FF-3F1F9E926F16}"/>
                </c:ext>
                <c:ext xmlns:c15="http://schemas.microsoft.com/office/drawing/2012/chart" uri="{CE6537A1-D6FC-4f65-9D91-7224C49458BB}">
                  <c15:dlblFieldTable/>
                  <c15:showDataLabelsRange val="1"/>
                </c:ext>
              </c:extLst>
            </c:dLbl>
            <c:dLbl>
              <c:idx val="3"/>
              <c:layout>
                <c:manualLayout>
                  <c:x val="-5.8455560223149974E-2"/>
                  <c:y val="-5.5790812492050826E-2"/>
                </c:manualLayout>
              </c:layout>
              <c:tx>
                <c:rich>
                  <a:bodyPr/>
                  <a:lstStyle/>
                  <a:p>
                    <a:fld id="{97136D36-28FC-4106-8182-435C9F44B3FE}"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D202-D34B-88FF-3F1F9E926F16}"/>
                </c:ext>
                <c:ext xmlns:c15="http://schemas.microsoft.com/office/drawing/2012/chart" uri="{CE6537A1-D6FC-4f65-9D91-7224C49458BB}">
                  <c15:dlblFieldTable/>
                  <c15:showDataLabelsRange val="1"/>
                </c:ext>
              </c:extLst>
            </c:dLbl>
            <c:dLbl>
              <c:idx val="4"/>
              <c:layout>
                <c:manualLayout>
                  <c:x val="4.7938322964540866E-3"/>
                  <c:y val="7.7497124922133301E-2"/>
                </c:manualLayout>
              </c:layout>
              <c:tx>
                <c:rich>
                  <a:bodyPr/>
                  <a:lstStyle/>
                  <a:p>
                    <a:fld id="{9A538BFB-46DE-4336-BC50-E98EA3EA57C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1.2587135926260892E-2"/>
                  <c:y val="6.0219686195613215E-2"/>
                </c:manualLayout>
              </c:layout>
              <c:tx>
                <c:rich>
                  <a:bodyPr/>
                  <a:lstStyle/>
                  <a:p>
                    <a:fld id="{7F8003FD-679F-47BD-8F8D-26B47424B656}"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D202-D34B-88FF-3F1F9E926F16}"/>
                </c:ext>
                <c:ext xmlns:c15="http://schemas.microsoft.com/office/drawing/2012/chart" uri="{CE6537A1-D6FC-4f65-9D91-7224C49458BB}">
                  <c15:dlblFieldTable/>
                  <c15:showDataLabelsRange val="1"/>
                </c:ext>
              </c:extLst>
            </c:dLbl>
            <c:dLbl>
              <c:idx val="6"/>
              <c:layout>
                <c:manualLayout>
                  <c:x val="-3.719239796790845E-2"/>
                  <c:y val="9.5424133882792653E-2"/>
                </c:manualLayout>
              </c:layout>
              <c:tx>
                <c:rich>
                  <a:bodyPr/>
                  <a:lstStyle/>
                  <a:p>
                    <a:fld id="{B015F0BD-DAC3-4168-AC95-F1A725F6B5AB}"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D202-D34B-88FF-3F1F9E926F16}"/>
                </c:ext>
                <c:ext xmlns:c15="http://schemas.microsoft.com/office/drawing/2012/chart" uri="{CE6537A1-D6FC-4f65-9D91-7224C49458BB}">
                  <c15:dlblFieldTable/>
                  <c15:showDataLabelsRange val="1"/>
                </c:ext>
              </c:extLst>
            </c:dLbl>
            <c:dLbl>
              <c:idx val="7"/>
              <c:layout>
                <c:manualLayout>
                  <c:x val="-0.10819909776245221"/>
                  <c:y val="7.5436308346919195E-2"/>
                </c:manualLayout>
              </c:layout>
              <c:tx>
                <c:rich>
                  <a:bodyPr/>
                  <a:lstStyle/>
                  <a:p>
                    <a:fld id="{096A39BA-425E-4E4B-B177-D4619075EBE7}"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D202-D34B-88FF-3F1F9E926F16}"/>
                </c:ext>
                <c:ext xmlns:c15="http://schemas.microsoft.com/office/drawing/2012/chart" uri="{CE6537A1-D6FC-4f65-9D91-7224C49458BB}">
                  <c15:dlblFieldTable/>
                  <c15:showDataLabelsRange val="1"/>
                </c:ext>
              </c:extLst>
            </c:dLbl>
            <c:dLbl>
              <c:idx val="8"/>
              <c:layout>
                <c:manualLayout>
                  <c:x val="-6.606227025849132E-3"/>
                  <c:y val="0.10484121184532082"/>
                </c:manualLayout>
              </c:layout>
              <c:tx>
                <c:rich>
                  <a:bodyPr/>
                  <a:lstStyle/>
                  <a:p>
                    <a:fld id="{EC921EC1-9263-4B41-8264-E8AA8E953109}"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D202-D34B-88FF-3F1F9E926F16}"/>
                </c:ext>
                <c:ext xmlns:c15="http://schemas.microsoft.com/office/drawing/2012/chart" uri="{CE6537A1-D6FC-4f65-9D91-7224C49458BB}">
                  <c15:dlblFieldTable/>
                  <c15:showDataLabelsRange val="1"/>
                </c:ext>
              </c:extLst>
            </c:dLbl>
            <c:dLbl>
              <c:idx val="9"/>
              <c:layout>
                <c:manualLayout>
                  <c:x val="-5.0905790574992948E-3"/>
                  <c:y val="-6.6996427208713447E-2"/>
                </c:manualLayout>
              </c:layout>
              <c:tx>
                <c:rich>
                  <a:bodyPr/>
                  <a:lstStyle/>
                  <a:p>
                    <a:fld id="{D3DBA28D-8957-4DEF-A63C-3C60BC1151E6}"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D202-D34B-88FF-3F1F9E926F16}"/>
                </c:ext>
                <c:ext xmlns:c15="http://schemas.microsoft.com/office/drawing/2012/chart" uri="{CE6537A1-D6FC-4f65-9D91-7224C49458BB}">
                  <c15:dlblFieldTable/>
                  <c15:showDataLabelsRange val="1"/>
                </c:ext>
              </c:extLst>
            </c:dLbl>
            <c:dLbl>
              <c:idx val="10"/>
              <c:layout>
                <c:manualLayout>
                  <c:x val="6.6148529730007857E-2"/>
                  <c:y val="0.15103712444295367"/>
                </c:manualLayout>
              </c:layout>
              <c:tx>
                <c:rich>
                  <a:bodyPr/>
                  <a:lstStyle/>
                  <a:p>
                    <a:fld id="{3DA6092B-886E-4CB2-B429-B1EA9837BC9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1"/>
              <c:layout>
                <c:manualLayout>
                  <c:x val="2.6992696602317196E-2"/>
                  <c:y val="-8.5339993293789815E-2"/>
                </c:manualLayout>
              </c:layout>
              <c:tx>
                <c:rich>
                  <a:bodyPr/>
                  <a:lstStyle/>
                  <a:p>
                    <a:fld id="{358AA5C8-701C-46FA-ADE6-8CC3B0332508}"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D202-D34B-88FF-3F1F9E926F16}"/>
                </c:ext>
                <c:ext xmlns:c15="http://schemas.microsoft.com/office/drawing/2012/chart" uri="{CE6537A1-D6FC-4f65-9D91-7224C49458BB}">
                  <c15:dlblFieldTable/>
                  <c15:showDataLabelsRange val="1"/>
                </c:ext>
              </c:extLst>
            </c:dLbl>
            <c:dLbl>
              <c:idx val="12"/>
              <c:layout>
                <c:manualLayout>
                  <c:x val="-2.1621621621621755E-2"/>
                  <c:y val="-5.7254553972372821E-2"/>
                </c:manualLayout>
              </c:layout>
              <c:tx>
                <c:rich>
                  <a:bodyPr/>
                  <a:lstStyle/>
                  <a:p>
                    <a:fld id="{C3C0B267-E385-4B8F-8B67-A2F989A43582}"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D202-D34B-88FF-3F1F9E926F16}"/>
                </c:ext>
                <c:ext xmlns:c15="http://schemas.microsoft.com/office/drawing/2012/chart" uri="{CE6537A1-D6FC-4f65-9D91-7224C49458BB}">
                  <c15:dlblFieldTable/>
                  <c15:showDataLabelsRange val="1"/>
                </c:ext>
              </c:extLst>
            </c:dLbl>
            <c:dLbl>
              <c:idx val="13"/>
              <c:layout>
                <c:manualLayout>
                  <c:x val="7.1988690406685086E-3"/>
                  <c:y val="-2.8627276986186442E-2"/>
                </c:manualLayout>
              </c:layout>
              <c:tx>
                <c:rich>
                  <a:bodyPr/>
                  <a:lstStyle/>
                  <a:p>
                    <a:r>
                      <a:rPr lang="en-US"/>
                      <a:t>UUW</a:t>
                    </a: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D202-D34B-88FF-3F1F9E926F16}"/>
                </c:ext>
                <c:ext xmlns:c15="http://schemas.microsoft.com/office/drawing/2012/chart" uri="{CE6537A1-D6FC-4f65-9D91-7224C49458BB}"/>
              </c:extLst>
            </c:dLbl>
            <c:dLbl>
              <c:idx val="14"/>
              <c:layout>
                <c:manualLayout>
                  <c:x val="-0.12020204991490913"/>
                  <c:y val="-2.6621804433036234E-2"/>
                </c:manualLayout>
              </c:layout>
              <c:tx>
                <c:rich>
                  <a:bodyPr/>
                  <a:lstStyle/>
                  <a:p>
                    <a:fld id="{FDFFB817-881E-4AA5-B6F1-70F63F69F5AD}"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D202-D34B-88FF-3F1F9E926F16}"/>
                </c:ext>
                <c:ext xmlns:c15="http://schemas.microsoft.com/office/drawing/2012/chart" uri="{CE6537A1-D6FC-4f65-9D91-7224C49458BB}">
                  <c15:dlblFieldTable/>
                  <c15:showDataLabelsRange val="1"/>
                </c:ext>
              </c:extLst>
            </c:dLbl>
            <c:dLbl>
              <c:idx val="15"/>
              <c:layout>
                <c:manualLayout>
                  <c:x val="-1.2592352420350466E-2"/>
                  <c:y val="-9.0653043789590312E-2"/>
                </c:manualLayout>
              </c:layout>
              <c:tx>
                <c:rich>
                  <a:bodyPr/>
                  <a:lstStyle/>
                  <a:p>
                    <a:fld id="{9893FD31-6BE2-4BC0-AFF4-C0AECD69574E}"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D202-D34B-88FF-3F1F9E926F16}"/>
                </c:ext>
                <c:ext xmlns:c15="http://schemas.microsoft.com/office/drawing/2012/chart" uri="{CE6537A1-D6FC-4f65-9D91-7224C49458BB}">
                  <c15:dlblFieldTable/>
                  <c15:showDataLabelsRange val="1"/>
                </c:ext>
              </c:extLst>
            </c:dLbl>
            <c:dLbl>
              <c:idx val="16"/>
              <c:layout>
                <c:manualLayout>
                  <c:x val="8.5319318943639279E-3"/>
                  <c:y val="-9.0987229862475441E-2"/>
                </c:manualLayout>
              </c:layout>
              <c:tx>
                <c:rich>
                  <a:bodyPr/>
                  <a:lstStyle/>
                  <a:p>
                    <a:fld id="{6226A3C5-7D08-45BE-9C93-19483104D717}" type="CELLRANGE">
                      <a:rPr lang="en-US"/>
                      <a:pPr/>
                      <a:t>[CELLRANGE]</a:t>
                    </a:fld>
                    <a:endParaRPr lang="en-GB"/>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D202-D34B-88FF-3F1F9E926F16}"/>
                </c:ext>
                <c:ext xmlns:c15="http://schemas.microsoft.com/office/drawing/2012/chart" uri="{CE6537A1-D6FC-4f65-9D91-7224C49458BB}">
                  <c15:dlblFieldTable/>
                  <c15:showDataLabelsRange val="1"/>
                </c:ext>
              </c:extLst>
            </c:dLbl>
            <c:spPr>
              <a:solidFill>
                <a:sysClr val="window" lastClr="FFFFFF"/>
              </a:solidFill>
              <a:ln>
                <a:solidFill>
                  <a:sysClr val="window" lastClr="FFFFFF">
                    <a:lumMod val="75000"/>
                  </a:sysClr>
                </a:solidFill>
              </a:ln>
              <a:effectLst/>
            </c:spPr>
            <c:dLblPos val="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xVal>
            <c:numRef>
              <c:f>'Leakage assessment'!$E$34:$E$50</c:f>
              <c:numCache>
                <c:formatCode>0.000</c:formatCode>
                <c:ptCount val="17"/>
                <c:pt idx="0">
                  <c:v>8.3861874559548983</c:v>
                </c:pt>
                <c:pt idx="1">
                  <c:v>4.2230024152785042</c:v>
                </c:pt>
                <c:pt idx="2">
                  <c:v>5.2068473609129811</c:v>
                </c:pt>
                <c:pt idx="3">
                  <c:v>4.7788022017788849</c:v>
                </c:pt>
                <c:pt idx="4">
                  <c:v>6.5508370306849111</c:v>
                </c:pt>
                <c:pt idx="5">
                  <c:v>8.1674473067915692</c:v>
                </c:pt>
                <c:pt idx="6">
                  <c:v>5.9537246049661396</c:v>
                </c:pt>
                <c:pt idx="7">
                  <c:v>5.1421111619884803</c:v>
                </c:pt>
                <c:pt idx="8">
                  <c:v>6.3165315474092347</c:v>
                </c:pt>
                <c:pt idx="9">
                  <c:v>7.5863445797564379</c:v>
                </c:pt>
                <c:pt idx="10">
                  <c:v>7.0102619565128919</c:v>
                </c:pt>
                <c:pt idx="11">
                  <c:v>5.4593373493975905</c:v>
                </c:pt>
                <c:pt idx="12">
                  <c:v>16.493591988944033</c:v>
                </c:pt>
                <c:pt idx="13">
                  <c:v>9.030796005885799</c:v>
                </c:pt>
                <c:pt idx="14">
                  <c:v>5.2858722402539504</c:v>
                </c:pt>
                <c:pt idx="15">
                  <c:v>5.6163191491642204</c:v>
                </c:pt>
                <c:pt idx="16">
                  <c:v>7.089961770871871</c:v>
                </c:pt>
              </c:numCache>
            </c:numRef>
          </c:xVal>
          <c:yVal>
            <c:numRef>
              <c:f>'Leakage assessment'!$H$34:$H$50</c:f>
              <c:numCache>
                <c:formatCode>0.000</c:formatCode>
                <c:ptCount val="17"/>
                <c:pt idx="0">
                  <c:v>88.557205908526853</c:v>
                </c:pt>
                <c:pt idx="1">
                  <c:v>70.185312399129302</c:v>
                </c:pt>
                <c:pt idx="2">
                  <c:v>63.232698061268152</c:v>
                </c:pt>
                <c:pt idx="3">
                  <c:v>120.05591479141815</c:v>
                </c:pt>
                <c:pt idx="4">
                  <c:v>81.896951540963158</c:v>
                </c:pt>
                <c:pt idx="5">
                  <c:v>83.408071748878925</c:v>
                </c:pt>
                <c:pt idx="6">
                  <c:v>68.496597082564364</c:v>
                </c:pt>
                <c:pt idx="7">
                  <c:v>73.308251192131806</c:v>
                </c:pt>
                <c:pt idx="8">
                  <c:v>75.024093954280517</c:v>
                </c:pt>
                <c:pt idx="9">
                  <c:v>86.060280715158413</c:v>
                </c:pt>
                <c:pt idx="10">
                  <c:v>88.130035155281377</c:v>
                </c:pt>
                <c:pt idx="11">
                  <c:v>91.446137324168902</c:v>
                </c:pt>
                <c:pt idx="12">
                  <c:v>125.62848559108009</c:v>
                </c:pt>
                <c:pt idx="13">
                  <c:v>111.32203633518594</c:v>
                </c:pt>
                <c:pt idx="14">
                  <c:v>99.294885710380541</c:v>
                </c:pt>
                <c:pt idx="15">
                  <c:v>104.21037165841416</c:v>
                </c:pt>
                <c:pt idx="16">
                  <c:v>94.668268883749619</c:v>
                </c:pt>
              </c:numCache>
            </c:numRef>
          </c:yVal>
          <c:smooth val="0"/>
          <c:extLst xmlns:c16r2="http://schemas.microsoft.com/office/drawing/2015/06/chart">
            <c:ext xmlns:c16="http://schemas.microsoft.com/office/drawing/2014/chart" uri="{C3380CC4-5D6E-409C-BE32-E72D297353CC}">
              <c16:uniqueId val="{00000011-D202-D34B-88FF-3F1F9E926F16}"/>
            </c:ext>
            <c:ext xmlns:c15="http://schemas.microsoft.com/office/drawing/2012/chart" uri="{02D57815-91ED-43cb-92C2-25804820EDAC}">
              <c15:datalabelsRange>
                <c15:f>'Leakage assessment'!$A$34:$A$50</c15:f>
                <c15:dlblRangeCache>
                  <c:ptCount val="17"/>
                  <c:pt idx="0">
                    <c:v>AFW</c:v>
                  </c:pt>
                  <c:pt idx="1">
                    <c:v>ANH</c:v>
                  </c:pt>
                  <c:pt idx="2">
                    <c:v>BRL</c:v>
                  </c:pt>
                  <c:pt idx="3">
                    <c:v>HDD</c:v>
                  </c:pt>
                  <c:pt idx="4">
                    <c:v>NES</c:v>
                  </c:pt>
                  <c:pt idx="5">
                    <c:v>PRT</c:v>
                  </c:pt>
                  <c:pt idx="6">
                    <c:v>SES</c:v>
                  </c:pt>
                  <c:pt idx="7">
                    <c:v>SEW</c:v>
                  </c:pt>
                  <c:pt idx="8">
                    <c:v>SRN</c:v>
                  </c:pt>
                  <c:pt idx="9">
                    <c:v>SSC</c:v>
                  </c:pt>
                  <c:pt idx="10">
                    <c:v>SVE</c:v>
                  </c:pt>
                  <c:pt idx="11">
                    <c:v>SWB</c:v>
                  </c:pt>
                  <c:pt idx="12">
                    <c:v>TMS</c:v>
                  </c:pt>
                  <c:pt idx="13">
                    <c:v>NWT</c:v>
                  </c:pt>
                  <c:pt idx="14">
                    <c:v>WSH</c:v>
                  </c:pt>
                  <c:pt idx="15">
                    <c:v>WSX</c:v>
                  </c:pt>
                  <c:pt idx="16">
                    <c:v>YKY</c:v>
                  </c:pt>
                </c15:dlblRangeCache>
              </c15:datalabelsRange>
            </c:ext>
          </c:extLst>
        </c:ser>
        <c:ser>
          <c:idx val="0"/>
          <c:order val="1"/>
          <c:tx>
            <c:v>UQ m3/km/day 2025</c:v>
          </c:tx>
          <c:spPr>
            <a:ln w="28575">
              <a:solidFill>
                <a:schemeClr val="accent4"/>
              </a:solidFill>
            </a:ln>
          </c:spPr>
          <c:marker>
            <c:symbol val="none"/>
          </c:marker>
          <c:xVal>
            <c:numRef>
              <c:f>'Leakage assessment'!$S$2:$S$3</c:f>
              <c:numCache>
                <c:formatCode>General</c:formatCode>
                <c:ptCount val="2"/>
                <c:pt idx="0">
                  <c:v>5.29</c:v>
                </c:pt>
                <c:pt idx="1">
                  <c:v>5.29</c:v>
                </c:pt>
              </c:numCache>
              <c:extLst xmlns:c15="http://schemas.microsoft.com/office/drawing/2012/chart" xmlns:c16r2="http://schemas.microsoft.com/office/drawing/2015/06/chart"/>
            </c:numRef>
          </c:xVal>
          <c:yVal>
            <c:numRef>
              <c:f>'Leakage assessment'!$T$2:$T$3</c:f>
              <c:numCache>
                <c:formatCode>General</c:formatCode>
                <c:ptCount val="2"/>
                <c:pt idx="0">
                  <c:v>0</c:v>
                </c:pt>
                <c:pt idx="1">
                  <c:v>180</c:v>
                </c:pt>
              </c:numCache>
              <c:extLst xmlns:c15="http://schemas.microsoft.com/office/drawing/2012/chart" xmlns:c16r2="http://schemas.microsoft.com/office/drawing/2015/06/chart"/>
            </c:numRef>
          </c:yVal>
          <c:smooth val="0"/>
          <c:extLst xmlns:c15="http://schemas.microsoft.com/office/drawing/2012/chart" xmlns:c16r2="http://schemas.microsoft.com/office/drawing/2015/06/chart">
            <c:ext xmlns:c16="http://schemas.microsoft.com/office/drawing/2014/chart" uri="{C3380CC4-5D6E-409C-BE32-E72D297353CC}">
              <c16:uniqueId val="{00000012-D202-D34B-88FF-3F1F9E926F16}"/>
            </c:ext>
          </c:extLst>
        </c:ser>
        <c:ser>
          <c:idx val="1"/>
          <c:order val="2"/>
          <c:tx>
            <c:v>UQ l/prop/d 2025</c:v>
          </c:tx>
          <c:spPr>
            <a:ln w="28575">
              <a:solidFill>
                <a:schemeClr val="accent4"/>
              </a:solidFill>
            </a:ln>
          </c:spPr>
          <c:marker>
            <c:symbol val="none"/>
          </c:marker>
          <c:xVal>
            <c:numRef>
              <c:f>'Leakage assessment'!$S$5:$S$6</c:f>
              <c:numCache>
                <c:formatCode>General</c:formatCode>
                <c:ptCount val="2"/>
                <c:pt idx="0">
                  <c:v>0</c:v>
                </c:pt>
                <c:pt idx="1">
                  <c:v>22</c:v>
                </c:pt>
              </c:numCache>
              <c:extLst xmlns:c15="http://schemas.microsoft.com/office/drawing/2012/chart" xmlns:c16r2="http://schemas.microsoft.com/office/drawing/2015/06/chart"/>
            </c:numRef>
          </c:xVal>
          <c:yVal>
            <c:numRef>
              <c:f>'Leakage assessment'!$T$5:$T$6</c:f>
              <c:numCache>
                <c:formatCode>General</c:formatCode>
                <c:ptCount val="2"/>
                <c:pt idx="0">
                  <c:v>75.02</c:v>
                </c:pt>
                <c:pt idx="1">
                  <c:v>75.02</c:v>
                </c:pt>
              </c:numCache>
              <c:extLst xmlns:c15="http://schemas.microsoft.com/office/drawing/2012/chart" xmlns:c16r2="http://schemas.microsoft.com/office/drawing/2015/06/chart"/>
            </c:numRef>
          </c:yVal>
          <c:smooth val="0"/>
          <c:extLst xmlns:c15="http://schemas.microsoft.com/office/drawing/2012/chart" xmlns:c16r2="http://schemas.microsoft.com/office/drawing/2015/06/chart">
            <c:ext xmlns:c16="http://schemas.microsoft.com/office/drawing/2014/chart" uri="{C3380CC4-5D6E-409C-BE32-E72D297353CC}">
              <c16:uniqueId val="{00000013-D202-D34B-88FF-3F1F9E926F16}"/>
            </c:ext>
          </c:extLst>
        </c:ser>
        <c:dLbls>
          <c:showLegendKey val="0"/>
          <c:showVal val="0"/>
          <c:showCatName val="0"/>
          <c:showSerName val="0"/>
          <c:showPercent val="0"/>
          <c:showBubbleSize val="0"/>
        </c:dLbls>
        <c:axId val="601495688"/>
        <c:axId val="601496080"/>
        <c:extLst xmlns:c16r2="http://schemas.microsoft.com/office/drawing/2015/06/chart">
          <c:ext xmlns:c15="http://schemas.microsoft.com/office/drawing/2012/chart" uri="{02D57815-91ED-43cb-92C2-25804820EDAC}">
            <c15:filteredScatterSeries>
              <c15:ser>
                <c:idx val="3"/>
                <c:order val="3"/>
                <c:tx>
                  <c:v>UQ m3/km/d 2019-20</c:v>
                </c:tx>
                <c:spPr>
                  <a:ln w="28575">
                    <a:solidFill>
                      <a:schemeClr val="accent1"/>
                    </a:solidFill>
                  </a:ln>
                </c:spPr>
                <c:marker>
                  <c:symbol val="none"/>
                </c:marker>
                <c:xVal>
                  <c:numRef>
                    <c:extLst xmlns:c16r2="http://schemas.microsoft.com/office/drawing/2015/06/chart">
                      <c:ext uri="{02D57815-91ED-43cb-92C2-25804820EDAC}">
                        <c15:formulaRef>
                          <c15:sqref>'Leakage assessment'!$S$9:$S$10</c15:sqref>
                        </c15:formulaRef>
                      </c:ext>
                    </c:extLst>
                    <c:numCache>
                      <c:formatCode>General</c:formatCode>
                      <c:ptCount val="2"/>
                      <c:pt idx="0">
                        <c:v>6.25</c:v>
                      </c:pt>
                      <c:pt idx="1">
                        <c:v>6.25</c:v>
                      </c:pt>
                    </c:numCache>
                  </c:numRef>
                </c:xVal>
                <c:yVal>
                  <c:numRef>
                    <c:extLst xmlns:c16r2="http://schemas.microsoft.com/office/drawing/2015/06/chart">
                      <c:ext uri="{02D57815-91ED-43cb-92C2-25804820EDAC}">
                        <c15:formulaRef>
                          <c15:sqref>'Leakage assessment'!$T$9:$T$10</c15:sqref>
                        </c15:formulaRef>
                      </c:ext>
                    </c:extLst>
                    <c:numCache>
                      <c:formatCode>General</c:formatCode>
                      <c:ptCount val="2"/>
                      <c:pt idx="0">
                        <c:v>0</c:v>
                      </c:pt>
                      <c:pt idx="1">
                        <c:v>180</c:v>
                      </c:pt>
                    </c:numCache>
                  </c:numRef>
                </c:yVal>
                <c:smooth val="0"/>
                <c:extLst xmlns:c16r2="http://schemas.microsoft.com/office/drawing/2015/06/chart">
                  <c:ext xmlns:c16="http://schemas.microsoft.com/office/drawing/2014/chart" uri="{C3380CC4-5D6E-409C-BE32-E72D297353CC}">
                    <c16:uniqueId val="{00000000-3338-4E56-BC7C-6E4B95235B56}"/>
                  </c:ext>
                </c:extLst>
              </c15:ser>
            </c15:filteredScatterSeries>
            <c15:filteredScatterSeries>
              <c15:ser>
                <c:idx val="4"/>
                <c:order val="4"/>
                <c:tx>
                  <c:v>UQ l/prop/d 2019-20</c:v>
                </c:tx>
                <c:spPr>
                  <a:ln w="28575">
                    <a:solidFill>
                      <a:schemeClr val="accent1"/>
                    </a:solidFill>
                  </a:ln>
                </c:spPr>
                <c:marker>
                  <c:symbol val="none"/>
                </c:marker>
                <c:xVal>
                  <c:numRef>
                    <c:extLst xmlns:c15="http://schemas.microsoft.com/office/drawing/2012/chart" xmlns:c16r2="http://schemas.microsoft.com/office/drawing/2015/06/chart">
                      <c:ext xmlns:c15="http://schemas.microsoft.com/office/drawing/2012/chart" uri="{02D57815-91ED-43cb-92C2-25804820EDAC}">
                        <c15:formulaRef>
                          <c15:sqref>'Leakage assessment'!$S$12:$S$13</c15:sqref>
                        </c15:formulaRef>
                      </c:ext>
                    </c:extLst>
                    <c:numCache>
                      <c:formatCode>General</c:formatCode>
                      <c:ptCount val="2"/>
                      <c:pt idx="0">
                        <c:v>0</c:v>
                      </c:pt>
                      <c:pt idx="1">
                        <c:v>22</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'Leakage assessment'!$T$12:$T$13</c15:sqref>
                        </c15:formulaRef>
                      </c:ext>
                    </c:extLst>
                    <c:numCache>
                      <c:formatCode>General</c:formatCode>
                      <c:ptCount val="2"/>
                      <c:pt idx="0">
                        <c:v>93.33</c:v>
                      </c:pt>
                      <c:pt idx="1">
                        <c:v>93.33</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1-3338-4E56-BC7C-6E4B95235B56}"/>
                  </c:ext>
                </c:extLst>
              </c15:ser>
            </c15:filteredScatterSeries>
          </c:ext>
        </c:extLst>
      </c:scatterChart>
      <c:valAx>
        <c:axId val="601495688"/>
        <c:scaling>
          <c:orientation val="minMax"/>
          <c:max val="18"/>
          <c:min val="2"/>
        </c:scaling>
        <c:delete val="0"/>
        <c:axPos val="b"/>
        <c:majorGridlines>
          <c:spPr>
            <a:ln w="15875" cap="flat" cmpd="sng" algn="ctr">
              <a:solidFill>
                <a:schemeClr val="tx1">
                  <a:lumMod val="15000"/>
                  <a:lumOff val="85000"/>
                </a:schemeClr>
              </a:solidFill>
              <a:round/>
            </a:ln>
            <a:effectLst/>
          </c:spPr>
        </c:majorGridlines>
        <c:title>
          <c:tx>
            <c:rich>
              <a:bodyPr/>
              <a:lstStyle/>
              <a:p>
                <a:pPr>
                  <a:defRPr/>
                </a:pPr>
                <a:r>
                  <a:rPr lang="en-GB"/>
                  <a:t>Leakage (m3/km of mains/day)</a:t>
                </a:r>
              </a:p>
            </c:rich>
          </c:tx>
          <c:layout>
            <c:manualLayout>
              <c:xMode val="edge"/>
              <c:yMode val="edge"/>
              <c:x val="0.36656340114191538"/>
              <c:y val="0.93531693503445801"/>
            </c:manualLayout>
          </c:layout>
          <c:overlay val="0"/>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601496080"/>
        <c:crosses val="autoZero"/>
        <c:crossBetween val="midCat"/>
        <c:majorUnit val="2"/>
      </c:valAx>
      <c:valAx>
        <c:axId val="601496080"/>
        <c:scaling>
          <c:orientation val="minMax"/>
          <c:max val="160"/>
          <c:min val="4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Leakage (l/property/day)</a:t>
                </a:r>
              </a:p>
            </c:rich>
          </c:tx>
          <c:overlay val="0"/>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601495688"/>
        <c:crosses val="autoZero"/>
        <c:crossBetween val="midCat"/>
      </c:valAx>
    </c:plotArea>
    <c:plotVisOnly val="1"/>
    <c:dispBlanksAs val="gap"/>
    <c:showDLblsOverMax val="0"/>
    <c:extLst xmlns:c16r2="http://schemas.microsoft.com/office/drawing/2015/06/chart"/>
  </c:chart>
  <c:spPr>
    <a:ln w="6350">
      <a:solidFill>
        <a:schemeClr val="bg1">
          <a:lumMod val="75000"/>
        </a:schemeClr>
      </a:solidFill>
    </a:ln>
  </c:spPr>
  <c:txPr>
    <a:bodyPr/>
    <a:lstStyle/>
    <a:p>
      <a:pPr>
        <a:defRPr sz="1000"/>
      </a:pPr>
      <a:endParaRPr lang="en-US"/>
    </a:p>
  </c:txPr>
  <c:printSettings>
    <c:headerFooter/>
    <c:pageMargins b="0.75" l="0.7" r="0.7" t="0.75" header="0.3" footer="0.3"/>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31750</xdr:colOff>
      <xdr:row>1</xdr:row>
      <xdr:rowOff>196849</xdr:rowOff>
    </xdr:from>
    <xdr:to>
      <xdr:col>5</xdr:col>
      <xdr:colOff>120650</xdr:colOff>
      <xdr:row>57</xdr:row>
      <xdr:rowOff>185737</xdr:rowOff>
    </xdr:to>
    <xdr:sp macro="" textlink="">
      <xdr:nvSpPr>
        <xdr:cNvPr id="6" name="TextBox 5">
          <a:extLst>
            <a:ext uri="{FF2B5EF4-FFF2-40B4-BE49-F238E27FC236}">
              <a16:creationId xmlns="" xmlns:a16="http://schemas.microsoft.com/office/drawing/2014/main" id="{00000000-0008-0000-0000-000003000000}"/>
            </a:ext>
          </a:extLst>
        </xdr:cNvPr>
        <xdr:cNvSpPr txBox="1"/>
      </xdr:nvSpPr>
      <xdr:spPr>
        <a:xfrm>
          <a:off x="122238" y="454024"/>
          <a:ext cx="9966325" cy="11861801"/>
        </a:xfrm>
        <a:prstGeom prst="rect">
          <a:avLst/>
        </a:prstGeom>
        <a:solidFill>
          <a:schemeClr val="bg2">
            <a:lumMod val="75000"/>
          </a:schemeClr>
        </a:solidFill>
        <a:ln w="12700" cmpd="sng">
          <a:solidFill>
            <a:schemeClr val="tx1"/>
          </a:solidFill>
        </a:ln>
        <a:scene3d>
          <a:camera prst="orthographicFront"/>
          <a:lightRig rig="threePt" dir="t"/>
        </a:scene3d>
        <a:sp3d prstMaterial="matte"/>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sng">
              <a:solidFill>
                <a:schemeClr val="dk1"/>
              </a:solidFill>
              <a:effectLst/>
              <a:latin typeface="+mn-lt"/>
              <a:ea typeface="+mn-ea"/>
              <a:cs typeface="+mn-cs"/>
            </a:rPr>
            <a:t>Supply demand balance</a:t>
          </a:r>
          <a:r>
            <a:rPr lang="en-GB" sz="1100" b="1" i="0" u="sng" baseline="0">
              <a:solidFill>
                <a:schemeClr val="dk1"/>
              </a:solidFill>
              <a:effectLst/>
              <a:latin typeface="+mn-lt"/>
              <a:ea typeface="+mn-ea"/>
              <a:cs typeface="+mn-cs"/>
            </a:rPr>
            <a:t> e</a:t>
          </a:r>
          <a:r>
            <a:rPr lang="en-GB" sz="1100" b="1" i="0" u="sng">
              <a:solidFill>
                <a:schemeClr val="dk1"/>
              </a:solidFill>
              <a:effectLst/>
              <a:latin typeface="+mn-lt"/>
              <a:ea typeface="+mn-ea"/>
              <a:cs typeface="+mn-cs"/>
            </a:rPr>
            <a:t>nhancement feeder model</a:t>
          </a:r>
          <a:endParaRPr lang="en-GB" sz="1100" b="1" i="0" u="sng" baseline="0">
            <a:solidFill>
              <a:schemeClr val="dk1"/>
            </a:solidFill>
            <a:effectLst/>
            <a:latin typeface="+mn-lt"/>
            <a:ea typeface="+mn-ea"/>
            <a:cs typeface="+mn-cs"/>
          </a:endParaRPr>
        </a:p>
        <a:p>
          <a:endParaRPr lang="en-GB" sz="1000">
            <a:effectLst/>
          </a:endParaRPr>
        </a:p>
        <a:p>
          <a:r>
            <a:rPr lang="en-GB" sz="1100" b="1" baseline="0">
              <a:solidFill>
                <a:schemeClr val="dk1"/>
              </a:solidFill>
              <a:effectLst/>
              <a:latin typeface="+mn-lt"/>
              <a:ea typeface="+mn-ea"/>
              <a:cs typeface="+mn-cs"/>
            </a:rPr>
            <a:t>Objective</a:t>
          </a:r>
          <a:endParaRPr lang="en-GB" sz="1000">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To assess enhancement totex expenditure the companies submit in their PR19 business plan submissions to deliver</a:t>
          </a:r>
          <a:r>
            <a:rPr lang="en-GB" sz="1100" baseline="0">
              <a:solidFill>
                <a:schemeClr val="dk1"/>
              </a:solidFill>
              <a:effectLst/>
              <a:latin typeface="+mn-lt"/>
              <a:ea typeface="+mn-ea"/>
              <a:cs typeface="+mn-cs"/>
            </a:rPr>
            <a:t> s</a:t>
          </a:r>
          <a:r>
            <a:rPr lang="en-GB" sz="1100">
              <a:solidFill>
                <a:schemeClr val="dk1"/>
              </a:solidFill>
              <a:effectLst/>
              <a:latin typeface="+mn-lt"/>
              <a:ea typeface="+mn-ea"/>
              <a:cs typeface="+mn-cs"/>
            </a:rPr>
            <a:t>upply-demand balance enhancement solutions to ensure they can provide resilient supplies during periods of </a:t>
          </a:r>
          <a:r>
            <a:rPr lang="en-GB" sz="1100" baseline="0">
              <a:solidFill>
                <a:schemeClr val="dk1"/>
              </a:solidFill>
              <a:effectLst/>
              <a:latin typeface="+mn-lt"/>
              <a:ea typeface="+mn-ea"/>
              <a:cs typeface="+mn-cs"/>
            </a:rPr>
            <a:t>drought</a:t>
          </a:r>
          <a:r>
            <a:rPr lang="en-GB" sz="1100">
              <a:solidFill>
                <a:schemeClr val="dk1"/>
              </a:solidFill>
              <a:effectLst/>
              <a:latin typeface="+mn-lt"/>
              <a:ea typeface="+mn-ea"/>
              <a:cs typeface="+mn-cs"/>
            </a:rPr>
            <a:t>.</a:t>
          </a:r>
        </a:p>
        <a:p>
          <a:endParaRPr lang="en-GB" sz="1100"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Approach</a:t>
          </a:r>
        </a:p>
        <a:p>
          <a:endParaRPr lang="en-GB" sz="1100" baseline="0">
            <a:solidFill>
              <a:schemeClr val="dk1"/>
            </a:solidFill>
            <a:effectLst/>
            <a:latin typeface="+mn-lt"/>
            <a:ea typeface="+mn-ea"/>
            <a:cs typeface="+mn-cs"/>
          </a:endParaRPr>
        </a:p>
        <a:p>
          <a:pPr rtl="0" fontAlgn="base"/>
          <a:r>
            <a:rPr lang="en-GB" sz="1100" b="0" i="0">
              <a:solidFill>
                <a:schemeClr val="dk1"/>
              </a:solidFill>
              <a:effectLst/>
              <a:latin typeface="+mn-lt"/>
              <a:ea typeface="+mn-ea"/>
              <a:cs typeface="+mn-cs"/>
            </a:rPr>
            <a:t>For our assessment we consider the totex expenditure for supply option expenditure (dry year critical period, DYCP,  and dry year annual average, DYAA) and demand option expenditure (dry year critical period, DYCP,  and dry year annual average, DYAA) as a combined supply demand-balance enhancement assessment. For companies where this total does not represent a material amount we undertake a shallow dive approach applying the company specific efficiency challenge, otherwise we complete a deep dive approach using the information provided within the companies’ submissions.  </a:t>
          </a:r>
          <a:r>
            <a:rPr lang="en-US" sz="1100" b="0" i="0">
              <a:solidFill>
                <a:schemeClr val="dk1"/>
              </a:solidFill>
              <a:effectLst/>
              <a:latin typeface="+mn-lt"/>
              <a:ea typeface="+mn-ea"/>
              <a:cs typeface="+mn-cs"/>
            </a:rPr>
            <a:t> </a:t>
          </a:r>
          <a:endParaRPr lang="en-US" b="0" i="0">
            <a:effectLst/>
          </a:endParaRPr>
        </a:p>
        <a:p>
          <a:pPr rtl="0" fontAlgn="base"/>
          <a:r>
            <a:rPr lang="en-GB" sz="1100" b="0" i="0">
              <a:solidFill>
                <a:schemeClr val="dk1"/>
              </a:solidFill>
              <a:effectLst/>
              <a:latin typeface="+mn-lt"/>
              <a:ea typeface="+mn-ea"/>
              <a:cs typeface="+mn-cs"/>
            </a:rPr>
            <a:t>In the deep dive we disaggregate the totex expenditure into five supply-demand balance enhancement components which we assess separately. We now assess</a:t>
          </a:r>
          <a:r>
            <a:rPr lang="en-GB" sz="1100" b="0" i="0" baseline="0">
              <a:solidFill>
                <a:schemeClr val="dk1"/>
              </a:solidFill>
              <a:effectLst/>
              <a:latin typeface="+mn-lt"/>
              <a:ea typeface="+mn-ea"/>
              <a:cs typeface="+mn-cs"/>
            </a:rPr>
            <a:t> the</a:t>
          </a:r>
          <a:r>
            <a:rPr lang="en-GB" sz="1100" b="0" i="0">
              <a:solidFill>
                <a:schemeClr val="dk1"/>
              </a:solidFill>
              <a:effectLst/>
              <a:latin typeface="+mn-lt"/>
              <a:ea typeface="+mn-ea"/>
              <a:cs typeface="+mn-cs"/>
            </a:rPr>
            <a:t> sixth component, strategic regional solutions, that was included in this model at the initial assessment of plans,</a:t>
          </a:r>
          <a:r>
            <a:rPr lang="en-GB" sz="1100" b="0" i="0" baseline="0">
              <a:solidFill>
                <a:schemeClr val="dk1"/>
              </a:solidFill>
              <a:effectLst/>
              <a:latin typeface="+mn-lt"/>
              <a:ea typeface="+mn-ea"/>
              <a:cs typeface="+mn-cs"/>
            </a:rPr>
            <a:t> in a separate model. </a:t>
          </a:r>
          <a:r>
            <a:rPr lang="en-GB" sz="1100" b="0" i="0">
              <a:solidFill>
                <a:schemeClr val="dk1"/>
              </a:solidFill>
              <a:effectLst/>
              <a:latin typeface="+mn-lt"/>
              <a:ea typeface="+mn-ea"/>
              <a:cs typeface="+mn-cs"/>
            </a:rPr>
            <a:t>The</a:t>
          </a:r>
          <a:r>
            <a:rPr lang="en-GB" sz="1100" b="0" i="0" baseline="0">
              <a:solidFill>
                <a:schemeClr val="dk1"/>
              </a:solidFill>
              <a:effectLst/>
              <a:latin typeface="+mn-lt"/>
              <a:ea typeface="+mn-ea"/>
              <a:cs typeface="+mn-cs"/>
            </a:rPr>
            <a:t> five components are</a:t>
          </a:r>
          <a:r>
            <a:rPr lang="en-GB" sz="1100" b="0" i="0">
              <a:solidFill>
                <a:schemeClr val="dk1"/>
              </a:solidFill>
              <a:effectLst/>
              <a:latin typeface="+mn-lt"/>
              <a:ea typeface="+mn-ea"/>
              <a:cs typeface="+mn-cs"/>
            </a:rPr>
            <a:t>:</a:t>
          </a:r>
          <a:r>
            <a:rPr lang="en-US" sz="1100" b="0" i="0">
              <a:solidFill>
                <a:schemeClr val="dk1"/>
              </a:solidFill>
              <a:effectLst/>
              <a:latin typeface="+mn-lt"/>
              <a:ea typeface="+mn-ea"/>
              <a:cs typeface="+mn-cs"/>
            </a:rPr>
            <a:t> </a:t>
          </a:r>
        </a:p>
        <a:p>
          <a:pPr rtl="0" fontAlgn="base"/>
          <a:endParaRPr lang="en-US" b="0" i="0">
            <a:effectLst/>
          </a:endParaRPr>
        </a:p>
        <a:p>
          <a:pPr rtl="0" fontAlgn="base"/>
          <a:r>
            <a:rPr lang="en-GB" sz="1100" b="1" i="0">
              <a:solidFill>
                <a:schemeClr val="dk1"/>
              </a:solidFill>
              <a:effectLst/>
              <a:latin typeface="+mn-lt"/>
              <a:ea typeface="+mn-ea"/>
              <a:cs typeface="+mn-cs"/>
            </a:rPr>
            <a:t>2020-25 supply-demand balance enhancement</a:t>
          </a:r>
          <a:r>
            <a:rPr lang="en-US" sz="1100" b="1" i="0">
              <a:solidFill>
                <a:schemeClr val="dk1"/>
              </a:solidFill>
              <a:effectLst/>
              <a:latin typeface="+mn-lt"/>
              <a:ea typeface="+mn-ea"/>
              <a:cs typeface="+mn-cs"/>
            </a:rPr>
            <a:t> </a:t>
          </a:r>
        </a:p>
        <a:p>
          <a:pPr rtl="0" fontAlgn="base"/>
          <a:endParaRPr lang="en-US" sz="1100" b="1" i="0">
            <a:solidFill>
              <a:schemeClr val="dk1"/>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en-GB" sz="1100" dirty="0">
              <a:solidFill>
                <a:sysClr val="windowText" lastClr="000000"/>
              </a:solidFill>
            </a:rPr>
            <a:t>This component considers supply-side and customer demand-side (water efficiency) solutions delivering supply-demand balance benefits in the period 2020-25.​ We determine this allowance through a unit cost approach using the ‘minimum of’ the company proposed and industry efficient unit cost (£1.20m/Ml/d) for 2020-25. Unit costs are expressed in units of £ million per Ml/d of benefit. The cost driver is our validated assessment of the companies’ proposed benefits for solutions in the period 2020-25.  As metering is assessed separately we remove the supply-demand benefits associated with metering from our assessment. </a:t>
          </a:r>
          <a:r>
            <a:rPr lang="en-US" sz="1100" b="0" i="0">
              <a:solidFill>
                <a:schemeClr val="dk1"/>
              </a:solidFill>
              <a:effectLst/>
              <a:latin typeface="+mn-lt"/>
              <a:ea typeface="+mn-ea"/>
              <a:cs typeface="+mn-cs"/>
            </a:rPr>
            <a:t> </a:t>
          </a:r>
        </a:p>
        <a:p>
          <a:pPr rtl="0" fontAlgn="base"/>
          <a:endParaRPr lang="en-US" b="0" i="0">
            <a:effectLst/>
          </a:endParaRPr>
        </a:p>
        <a:p>
          <a:pPr rtl="0" fontAlgn="base"/>
          <a:r>
            <a:rPr lang="en-GB" sz="1100" b="1" i="0">
              <a:solidFill>
                <a:schemeClr val="dk1"/>
              </a:solidFill>
              <a:effectLst/>
              <a:latin typeface="+mn-lt"/>
              <a:ea typeface="+mn-ea"/>
              <a:cs typeface="+mn-cs"/>
            </a:rPr>
            <a:t>Long-term supply-demand balance enhancement</a:t>
          </a:r>
          <a:r>
            <a:rPr lang="en-US" sz="1100" b="1" i="0">
              <a:solidFill>
                <a:schemeClr val="dk1"/>
              </a:solidFill>
              <a:effectLst/>
              <a:latin typeface="+mn-lt"/>
              <a:ea typeface="+mn-ea"/>
              <a:cs typeface="+mn-cs"/>
            </a:rPr>
            <a:t>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We identify that some long-term drought resilience investment will not always deliver benefits to the supply-demand balance in the 2020-25 period. This component considers solutions delivering benefits beyond 2025. We assess if there is a valid need for these solutions based on the information provided, and where possible challenge valid solutions against the average solution unit cost from industry-wide WRMP19 option analysis. We assess strategic regional water resource solutions separately.</a:t>
          </a:r>
        </a:p>
        <a:p>
          <a:pPr rtl="0" fontAlgn="base"/>
          <a:endParaRPr lang="en-US" b="0" i="0">
            <a:effectLst/>
          </a:endParaRPr>
        </a:p>
        <a:p>
          <a:pPr rtl="0" fontAlgn="base"/>
          <a:r>
            <a:rPr lang="en-GB" sz="1100" b="1" i="0">
              <a:solidFill>
                <a:schemeClr val="dk1"/>
              </a:solidFill>
              <a:effectLst/>
              <a:latin typeface="+mn-lt"/>
              <a:ea typeface="+mn-ea"/>
              <a:cs typeface="+mn-cs"/>
            </a:rPr>
            <a:t>Leakage enhancement</a:t>
          </a:r>
          <a:r>
            <a:rPr lang="en-US" sz="1100" b="1" i="0">
              <a:solidFill>
                <a:schemeClr val="dk1"/>
              </a:solidFill>
              <a:effectLst/>
              <a:latin typeface="+mn-lt"/>
              <a:ea typeface="+mn-ea"/>
              <a:cs typeface="+mn-cs"/>
            </a:rPr>
            <a:t> </a:t>
          </a:r>
        </a:p>
        <a:p>
          <a:pPr lvl="0"/>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 component considers the demand benefits identified through leakage reduction activities in the period 2020-25. We do not allow enhancement costs for delivering base service levels. For leakage our expectation for base service levels is that an efficient company should achieve industry forecast upper quartile performance by 2024-25 in both normalised measures (per property and per kilometre of main). Beyond this upper quartile threshold we make an allowance for leakage enhancement funding. We disallow any requested enhancement where these levels are not forecast to be achieved. We also consider this criteria when assessing cost adjustment claims relating to leakage performance. </a:t>
          </a:r>
          <a:r>
            <a:rPr lang="en-GB">
              <a:effectLst/>
            </a:rPr>
            <a:t> </a:t>
          </a:r>
        </a:p>
        <a:p>
          <a:r>
            <a:rPr lang="en-GB" sz="1100">
              <a:solidFill>
                <a:schemeClr val="dk1"/>
              </a:solidFill>
              <a:effectLst/>
              <a:latin typeface="+mn-lt"/>
              <a:ea typeface="+mn-ea"/>
              <a:cs typeface="+mn-cs"/>
            </a:rPr>
            <a:t>We set stretching performance commitments for leakage reduction over the 2020-25 period, taking into account the performance of each company relative to the forecast 2024-25 upper quartile water resources management plan levels and whether the annual percentage reduction is above 15%. If any company outperforms its leakage performance commitment it will earn outcome delivery incentive outperformance payments for this additional reduction in leakage.  Any allowed funding is determined through a unit cost approach using the company proposed costs with a company specific efficiency challenge where these costs are above the industry median unit cost (£2.03m/Ml/d). Leakage benefits associated with metering are assessed implicitly in the metering enhancement model and excluded from this analysis. </a:t>
          </a:r>
        </a:p>
        <a:p>
          <a:r>
            <a:rPr lang="en-GB" sz="1100">
              <a:solidFill>
                <a:schemeClr val="dk1"/>
              </a:solidFill>
              <a:effectLst/>
              <a:latin typeface="+mn-lt"/>
              <a:ea typeface="+mn-ea"/>
              <a:cs typeface="+mn-cs"/>
            </a:rPr>
            <a:t>Our approach to leakage funding represents a consistent assessment between base and enhancement across all companies based upon comparative performance at an industry level.  Stretching performance commitments then allow for companies to earn outperformance payments based on the company’s specific level of leakage reduction over 2020-25. </a:t>
          </a:r>
        </a:p>
        <a:p>
          <a:endParaRPr lang="en-GB" sz="1100">
            <a:solidFill>
              <a:schemeClr val="dk1"/>
            </a:solidFill>
            <a:effectLst/>
            <a:latin typeface="+mn-lt"/>
            <a:ea typeface="+mn-ea"/>
            <a:cs typeface="+mn-cs"/>
          </a:endParaRPr>
        </a:p>
        <a:p>
          <a:pPr rtl="0" fontAlgn="base"/>
          <a:r>
            <a:rPr lang="en-GB" sz="1100" b="1" i="0">
              <a:solidFill>
                <a:schemeClr val="dk1"/>
              </a:solidFill>
              <a:effectLst/>
              <a:latin typeface="+mn-lt"/>
              <a:ea typeface="+mn-ea"/>
              <a:cs typeface="+mn-cs"/>
            </a:rPr>
            <a:t>Internal interconnections </a:t>
          </a:r>
          <a:r>
            <a:rPr lang="en-US" sz="1100" b="1" i="0">
              <a:solidFill>
                <a:schemeClr val="dk1"/>
              </a:solidFill>
              <a:effectLst/>
              <a:latin typeface="+mn-lt"/>
              <a:ea typeface="+mn-ea"/>
              <a:cs typeface="+mn-cs"/>
            </a:rPr>
            <a:t> </a:t>
          </a:r>
        </a:p>
        <a:p>
          <a:pPr rtl="0" fontAlgn="base"/>
          <a:endParaRPr lang="en-GB" sz="1100">
            <a:solidFill>
              <a:schemeClr val="dk1"/>
            </a:solidFill>
            <a:effectLst/>
            <a:latin typeface="+mn-lt"/>
            <a:ea typeface="+mn-ea"/>
            <a:cs typeface="+mn-cs"/>
          </a:endParaRPr>
        </a:p>
        <a:p>
          <a:pPr rtl="0" fontAlgn="base"/>
          <a:r>
            <a:rPr lang="en-GB" sz="1100">
              <a:solidFill>
                <a:schemeClr val="dk1"/>
              </a:solidFill>
              <a:effectLst/>
              <a:latin typeface="+mn-lt"/>
              <a:ea typeface="+mn-ea"/>
              <a:cs typeface="+mn-cs"/>
            </a:rPr>
            <a:t>This component considers internal network improvement solutions that provide capacity to transfer supply benefits to overcome local water resource planning deficits. ​ For valid solutions we apply three main tests and interventions to the internal interconnection programmes. These are a project cost efficiency as a result of benchmarking evidence, project sizing (up to 30 percent challenge</a:t>
          </a:r>
          <a:r>
            <a:rPr lang="en-GB" sz="1100" baseline="30000">
              <a:solidFill>
                <a:schemeClr val="dk1"/>
              </a:solidFill>
              <a:effectLst/>
              <a:latin typeface="+mn-lt"/>
              <a:ea typeface="+mn-ea"/>
              <a:cs typeface="+mn-cs"/>
            </a:rPr>
            <a:t>1</a:t>
          </a:r>
          <a:r>
            <a:rPr lang="en-GB" sz="1100">
              <a:solidFill>
                <a:schemeClr val="dk1"/>
              </a:solidFill>
              <a:effectLst/>
              <a:latin typeface="+mn-lt"/>
              <a:ea typeface="+mn-ea"/>
              <a:cs typeface="+mn-cs"/>
            </a:rPr>
            <a:t>) based on interconnector utilisation, and optioneering considerations (10 percent challenge</a:t>
          </a:r>
          <a:r>
            <a:rPr lang="en-GB" sz="1100" baseline="30000">
              <a:solidFill>
                <a:schemeClr val="dk1"/>
              </a:solidFill>
              <a:effectLst/>
              <a:latin typeface="+mn-lt"/>
              <a:ea typeface="+mn-ea"/>
              <a:cs typeface="+mn-cs"/>
            </a:rPr>
            <a:t>2</a:t>
          </a:r>
          <a:r>
            <a:rPr lang="en-GB" sz="1100">
              <a:solidFill>
                <a:schemeClr val="dk1"/>
              </a:solidFill>
              <a:effectLst/>
              <a:latin typeface="+mn-lt"/>
              <a:ea typeface="+mn-ea"/>
              <a:cs typeface="+mn-cs"/>
            </a:rPr>
            <a:t> or supply-demand balance unit cost applied at £1.20m/Ml/d) applied where a company has not considered a suitable range of solutions (including consideration of water trading and third party solutions).</a:t>
          </a:r>
        </a:p>
        <a:p>
          <a:pPr marL="0" marR="0" lvl="0" indent="0" defTabSz="914400" rtl="0" eaLnBrk="1" fontAlgn="base"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en-GB" sz="900">
              <a:solidFill>
                <a:schemeClr val="dk1"/>
              </a:solidFill>
              <a:effectLst/>
              <a:latin typeface="+mn-lt"/>
              <a:ea typeface="+mn-ea"/>
              <a:cs typeface="+mn-cs"/>
            </a:rPr>
            <a:t>1.We recognise that option costs will not always be directly proportional to option capacity and that reducing an option size by 50% may not result in a similar cost saving. We also understand that it may be beneficial to size a project to provide long term resilience in addition to meeting short-term supply deficits. However, where there is insufficient evidence to justify the option sizing, we need to appropriately challenge companies and therefore we apply a challenge of up to 30% depending on the size of the proposed option and the apparent capacity requirement, see table </a:t>
          </a:r>
          <a:r>
            <a:rPr lang="en-GB" sz="900" baseline="0">
              <a:solidFill>
                <a:schemeClr val="dk1"/>
              </a:solidFill>
              <a:effectLst/>
              <a:latin typeface="+mn-lt"/>
              <a:ea typeface="+mn-ea"/>
              <a:cs typeface="+mn-cs"/>
            </a:rPr>
            <a:t>to the right</a:t>
          </a:r>
          <a:r>
            <a:rPr lang="en-GB" sz="900">
              <a:solidFill>
                <a:schemeClr val="dk1"/>
              </a:solidFill>
              <a:effectLst/>
              <a:latin typeface="+mn-lt"/>
              <a:ea typeface="+mn-ea"/>
              <a:cs typeface="+mn-cs"/>
            </a:rPr>
            <a:t>.</a:t>
          </a:r>
        </a:p>
        <a:p>
          <a:pPr rtl="0" fontAlgn="base"/>
          <a:r>
            <a:rPr lang="en-GB" sz="900">
              <a:solidFill>
                <a:schemeClr val="dk1"/>
              </a:solidFill>
              <a:effectLst/>
              <a:latin typeface="+mn-lt"/>
              <a:ea typeface="+mn-ea"/>
              <a:cs typeface="+mn-cs"/>
            </a:rPr>
            <a:t>2. We apply a 10% challenge rather than the 20% challenge used elsewhere for insufficient optioneering because typically these options have been assessed through the WRMP process, demonstrating some level of optioneering. However, we apply a 10% challenge where we consider some options may not have been considered in sufficient detail or omitted from the analysis with limited justification.</a:t>
          </a:r>
          <a:endParaRPr lang="en-US" sz="900" b="0" i="0">
            <a:effectLst/>
          </a:endParaRPr>
        </a:p>
        <a:p>
          <a:pPr rtl="0" fontAlgn="base"/>
          <a:endParaRPr lang="en-GB" sz="1100" b="1" i="0">
            <a:solidFill>
              <a:schemeClr val="dk1"/>
            </a:solidFill>
            <a:effectLst/>
            <a:latin typeface="+mn-lt"/>
            <a:ea typeface="+mn-ea"/>
            <a:cs typeface="+mn-cs"/>
          </a:endParaRPr>
        </a:p>
        <a:p>
          <a:pPr rtl="0" fontAlgn="base"/>
          <a:r>
            <a:rPr lang="en-GB" sz="1100" b="1" i="0">
              <a:solidFill>
                <a:schemeClr val="dk1"/>
              </a:solidFill>
              <a:effectLst/>
              <a:latin typeface="+mn-lt"/>
              <a:ea typeface="+mn-ea"/>
              <a:cs typeface="+mn-cs"/>
            </a:rPr>
            <a:t>Investigations and future planning</a:t>
          </a:r>
          <a:r>
            <a:rPr lang="en-US" sz="1100" b="1" i="0">
              <a:solidFill>
                <a:schemeClr val="dk1"/>
              </a:solidFill>
              <a:effectLst/>
              <a:latin typeface="+mn-lt"/>
              <a:ea typeface="+mn-ea"/>
              <a:cs typeface="+mn-cs"/>
            </a:rPr>
            <a:t> </a:t>
          </a:r>
        </a:p>
        <a:p>
          <a:pPr marL="0" marR="0" indent="0" defTabSz="914400" rtl="0" eaLnBrk="1" fontAlgn="base" latinLnBrk="0" hangingPunct="1">
            <a:lnSpc>
              <a:spcPct val="100000"/>
            </a:lnSpc>
            <a:spcBef>
              <a:spcPts val="0"/>
            </a:spcBef>
            <a:spcAft>
              <a:spcPts val="0"/>
            </a:spcAft>
            <a:buClrTx/>
            <a:buSzTx/>
            <a:buFontTx/>
            <a:buNone/>
            <a:tabLst/>
            <a:defRPr/>
          </a:pPr>
          <a:endParaRPr lang="en-GB" sz="1100" b="0" i="0">
            <a:solidFill>
              <a:schemeClr val="dk1"/>
            </a:solidFill>
            <a:effectLst/>
            <a:latin typeface="+mn-lt"/>
            <a:ea typeface="+mn-ea"/>
            <a:cs typeface="+mn-cs"/>
          </a:endParaRPr>
        </a:p>
        <a:p>
          <a:pPr lvl="0"/>
          <a:r>
            <a:rPr lang="en-GB" sz="1100">
              <a:solidFill>
                <a:schemeClr val="dk1"/>
              </a:solidFill>
              <a:effectLst/>
              <a:latin typeface="+mn-lt"/>
              <a:ea typeface="+mn-ea"/>
              <a:cs typeface="+mn-cs"/>
            </a:rPr>
            <a:t>We assess if expenditure has been allocated to investigations and future planning such as water resources management plan or regional plan development based upon the information provided in the companies’ submissions. We consider these costs are normal operating activities (planning and co-ordination between teams already working on company plans) included within base allowance for the provision of an efficient and secure supply-demand balance in order to meet statutory obligations. One company has accepted that part of its request is base and halved its request and another has removed this component altogether. We note that only five companies requested enhancement funding for this component.</a:t>
          </a:r>
        </a:p>
        <a:p>
          <a:endParaRPr lang="en-GB" sz="1100" baseline="0">
            <a:solidFill>
              <a:schemeClr val="dk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Further detail of the approach and changes from the initial assessment of plans are included in the document '</a:t>
          </a:r>
          <a:r>
            <a:rPr lang="en-GB" sz="1100" b="1" i="0">
              <a:solidFill>
                <a:schemeClr val="dk1"/>
              </a:solidFill>
              <a:effectLst/>
              <a:latin typeface="+mn-lt"/>
              <a:ea typeface="+mn-ea"/>
              <a:cs typeface="+mn-cs"/>
            </a:rPr>
            <a:t>Securing cost efficiency – our approach for setting efficient cost baselines at the slow</a:t>
          </a:r>
          <a:r>
            <a:rPr lang="en-GB" sz="1100" b="1" i="0" baseline="0">
              <a:solidFill>
                <a:schemeClr val="dk1"/>
              </a:solidFill>
              <a:effectLst/>
              <a:latin typeface="+mn-lt"/>
              <a:ea typeface="+mn-ea"/>
              <a:cs typeface="+mn-cs"/>
            </a:rPr>
            <a:t> track draft determinations</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 </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1" i="0">
            <a:solidFill>
              <a:schemeClr val="dk1"/>
            </a:solidFill>
            <a:effectLst/>
            <a:latin typeface="+mn-lt"/>
            <a:ea typeface="+mn-ea"/>
            <a:cs typeface="+mn-cs"/>
          </a:endParaRPr>
        </a:p>
      </xdr:txBody>
    </xdr:sp>
    <xdr:clientData/>
  </xdr:twoCellAnchor>
  <xdr:twoCellAnchor>
    <xdr:from>
      <xdr:col>6</xdr:col>
      <xdr:colOff>9525</xdr:colOff>
      <xdr:row>49</xdr:row>
      <xdr:rowOff>142875</xdr:rowOff>
    </xdr:from>
    <xdr:to>
      <xdr:col>8</xdr:col>
      <xdr:colOff>9525</xdr:colOff>
      <xdr:row>55</xdr:row>
      <xdr:rowOff>1</xdr:rowOff>
    </xdr:to>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9896475" y="11296650"/>
          <a:ext cx="6572250" cy="1171576"/>
        </a:xfrm>
        <a:prstGeom prst="rect">
          <a:avLst/>
        </a:prstGeom>
        <a:solidFill>
          <a:schemeClr val="bg1">
            <a:lumMod val="85000"/>
          </a:schemeClr>
        </a:solidFill>
        <a:ln w="12700" cmpd="sng">
          <a:solidFill>
            <a:schemeClr val="tx1"/>
          </a:solidFill>
        </a:ln>
        <a:scene3d>
          <a:camera prst="orthographicFront"/>
          <a:lightRig rig="threePt" dir="t"/>
        </a:scene3d>
        <a:sp3d prstMaterial="matte"/>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We</a:t>
          </a:r>
          <a:r>
            <a:rPr lang="en-US" sz="1100" b="0" i="0" baseline="0">
              <a:solidFill>
                <a:schemeClr val="dk1"/>
              </a:solidFill>
              <a:effectLst/>
              <a:latin typeface="+mn-lt"/>
              <a:ea typeface="+mn-ea"/>
              <a:cs typeface="+mn-cs"/>
            </a:rPr>
            <a:t> select thresholds in order to provide an increasing efficiency challenge to recognise that there is greater opportunity for potential savings for a company to introduce scope reductions if the option varies further from the requirements.  We create broad ranges based upon the variance that we observe within the submissions. We select a 30% maximum challenge because few options fall into the &lt;50% category below and we acknowledge there is not a direct comparison between size and cost.  We then reduce the challenge as the capacity of the option becomes closer to the presented requirements.</a:t>
          </a:r>
          <a:endParaRPr lang="en-US" sz="1100" b="0" i="0">
            <a:solidFill>
              <a:schemeClr val="dk1"/>
            </a:solidFill>
            <a:effectLst/>
            <a:latin typeface="+mn-lt"/>
            <a:ea typeface="+mn-ea"/>
            <a:cs typeface="+mn-cs"/>
          </a:endParaRPr>
        </a:p>
      </xdr:txBody>
    </xdr:sp>
    <xdr:clientData/>
  </xdr:twoCellAnchor>
  <xdr:twoCellAnchor editAs="oneCell">
    <xdr:from>
      <xdr:col>1</xdr:col>
      <xdr:colOff>0</xdr:colOff>
      <xdr:row>59</xdr:row>
      <xdr:rowOff>0</xdr:rowOff>
    </xdr:from>
    <xdr:to>
      <xdr:col>5</xdr:col>
      <xdr:colOff>529873</xdr:colOff>
      <xdr:row>84</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88900" y="12687300"/>
          <a:ext cx="10188223" cy="5238750"/>
        </a:xfrm>
        <a:prstGeom prst="rect">
          <a:avLst/>
        </a:prstGeom>
      </xdr:spPr>
    </xdr:pic>
    <xdr:clientData/>
  </xdr:twoCellAnchor>
  <xdr:twoCellAnchor>
    <xdr:from>
      <xdr:col>1</xdr:col>
      <xdr:colOff>0</xdr:colOff>
      <xdr:row>85</xdr:row>
      <xdr:rowOff>118532</xdr:rowOff>
    </xdr:from>
    <xdr:to>
      <xdr:col>6</xdr:col>
      <xdr:colOff>1775967</xdr:colOff>
      <xdr:row>87</xdr:row>
      <xdr:rowOff>168803</xdr:rowOff>
    </xdr:to>
    <xdr:sp macro="" textlink="">
      <xdr:nvSpPr>
        <xdr:cNvPr id="5" name="TextBox 5"/>
        <xdr:cNvSpPr txBox="1"/>
      </xdr:nvSpPr>
      <xdr:spPr>
        <a:xfrm>
          <a:off x="88900" y="18254132"/>
          <a:ext cx="12043917" cy="469371"/>
        </a:xfrm>
        <a:prstGeom prst="rect">
          <a:avLst/>
        </a:prstGeom>
        <a:noFill/>
        <a:ln>
          <a:solidFill>
            <a:schemeClr val="tx1"/>
          </a:solidFill>
          <a:prstDash val="sysDot"/>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00"/>
            <a:t>The diagram above is a simplified process model to indicate the relationship between the various feeder models and data sources we use to assess wholesale and retail expenditure cost efficiency models.  We provide a detailed process map in ‘PR19 price setting models map - slow track draft determinations’</a:t>
          </a:r>
          <a:r>
            <a:rPr lang="en-GB" sz="1200" b="1"/>
            <a:t>. </a:t>
          </a:r>
        </a:p>
        <a:p>
          <a:endParaRPr lang="en-GB"/>
        </a:p>
      </xdr:txBody>
    </xdr:sp>
    <xdr:clientData/>
  </xdr:twoCellAnchor>
  <xdr:twoCellAnchor>
    <xdr:from>
      <xdr:col>1</xdr:col>
      <xdr:colOff>0</xdr:colOff>
      <xdr:row>89</xdr:row>
      <xdr:rowOff>63499</xdr:rowOff>
    </xdr:from>
    <xdr:to>
      <xdr:col>2</xdr:col>
      <xdr:colOff>1924982</xdr:colOff>
      <xdr:row>90</xdr:row>
      <xdr:rowOff>124829</xdr:rowOff>
    </xdr:to>
    <xdr:sp macro="" textlink="">
      <xdr:nvSpPr>
        <xdr:cNvPr id="7" name="Rectangle 6"/>
        <xdr:cNvSpPr/>
      </xdr:nvSpPr>
      <xdr:spPr>
        <a:xfrm>
          <a:off x="88900" y="19037299"/>
          <a:ext cx="2712382" cy="270880"/>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rPr>
            <a:t>Model presented in the current file</a:t>
          </a:r>
        </a:p>
      </xdr:txBody>
    </xdr:sp>
    <xdr:clientData/>
  </xdr:twoCellAnchor>
  <xdr:twoCellAnchor>
    <xdr:from>
      <xdr:col>1</xdr:col>
      <xdr:colOff>0</xdr:colOff>
      <xdr:row>92</xdr:row>
      <xdr:rowOff>69849</xdr:rowOff>
    </xdr:from>
    <xdr:to>
      <xdr:col>2</xdr:col>
      <xdr:colOff>4024049</xdr:colOff>
      <xdr:row>99</xdr:row>
      <xdr:rowOff>183884</xdr:rowOff>
    </xdr:to>
    <xdr:sp macro="" textlink="">
      <xdr:nvSpPr>
        <xdr:cNvPr id="8" name="Content Placeholder 2"/>
        <xdr:cNvSpPr txBox="1">
          <a:spLocks/>
        </xdr:cNvSpPr>
      </xdr:nvSpPr>
      <xdr:spPr>
        <a:xfrm>
          <a:off x="88900" y="19672299"/>
          <a:ext cx="4811449" cy="1580885"/>
        </a:xfrm>
        <a:prstGeom prst="rect">
          <a:avLst/>
        </a:prstGeom>
        <a:ln>
          <a:solidFill>
            <a:schemeClr val="tx1"/>
          </a:solidFill>
        </a:ln>
      </xdr:spPr>
      <xdr:txBody>
        <a:bodyPr vert="horz" wrap="square" lIns="91440" tIns="45720" rIns="91440" bIns="45720" rtlCol="0">
          <a:normAutofit fontScale="92500" lnSpcReduction="10000"/>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buNone/>
          </a:pPr>
          <a:r>
            <a:rPr lang="en-GB" sz="1200" b="1" u="sng"/>
            <a:t>Key:</a:t>
          </a:r>
        </a:p>
        <a:p>
          <a:pPr marL="0" indent="0">
            <a:buNone/>
          </a:pPr>
          <a:endParaRPr lang="en-GB" sz="1200"/>
        </a:p>
        <a:p>
          <a:pPr marL="0" indent="0">
            <a:buNone/>
          </a:pPr>
          <a:r>
            <a:rPr lang="en-GB" sz="1200"/>
            <a:t>FM = Feeder model</a:t>
          </a:r>
          <a:endParaRPr lang="en-GB" sz="1400"/>
        </a:p>
        <a:p>
          <a:pPr marL="0" indent="0">
            <a:buNone/>
          </a:pPr>
          <a:r>
            <a:rPr lang="en-GB" sz="1200"/>
            <a:t>CAC = Cost adjustment claim</a:t>
          </a:r>
          <a:endParaRPr lang="en-GB" sz="1400"/>
        </a:p>
        <a:p>
          <a:pPr marL="0" indent="0">
            <a:buNone/>
          </a:pPr>
          <a:r>
            <a:rPr lang="en-GB" sz="1200"/>
            <a:t>CPIH = Consumer Prices Index including owner occupiers’ housing costs </a:t>
          </a:r>
          <a:endParaRPr lang="en-GB" sz="1400"/>
        </a:p>
        <a:p>
          <a:pPr marL="0" indent="0">
            <a:buNone/>
          </a:pPr>
          <a:r>
            <a:rPr lang="en-GB" sz="1200"/>
            <a:t>ONS = Office for National Statistics</a:t>
          </a:r>
          <a:endParaRPr lang="en-GB" sz="1400"/>
        </a:p>
        <a:p>
          <a:pPr marL="0" indent="0">
            <a:buNone/>
          </a:pPr>
          <a:r>
            <a:rPr lang="en-GB" sz="1200"/>
            <a:t>MHCLG = Ministry of Housing, Communities and Local Government </a:t>
          </a:r>
          <a:endParaRPr lang="en-GB" sz="1400"/>
        </a:p>
        <a:p>
          <a:pPr marL="0" indent="0">
            <a:buNone/>
          </a:pPr>
          <a:r>
            <a:rPr lang="en-GB" sz="1200"/>
            <a:t>HVT = Havant Thicket</a:t>
          </a:r>
          <a:endParaRPr lang="en-GB" sz="1400"/>
        </a:p>
        <a:p>
          <a:pPr marL="0" indent="0">
            <a:buNone/>
          </a:pPr>
          <a:r>
            <a:rPr lang="en-GB" sz="1200"/>
            <a:t>TTT = Thames Tideway</a:t>
          </a:r>
          <a:endParaRPr lang="en-GB" sz="1400"/>
        </a:p>
        <a:p>
          <a:pPr marL="0" indent="0">
            <a:buNone/>
          </a:pPr>
          <a:r>
            <a:rPr lang="en-GB" sz="1400"/>
            <a:t> </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1768078</xdr:colOff>
      <xdr:row>34</xdr:row>
      <xdr:rowOff>0</xdr:rowOff>
    </xdr:from>
    <xdr:ext cx="2976563" cy="482203"/>
    <xdr:sp macro="" textlink="">
      <xdr:nvSpPr>
        <xdr:cNvPr id="2" name="TextBox 1">
          <a:extLst>
            <a:ext uri="{FF2B5EF4-FFF2-40B4-BE49-F238E27FC236}">
              <a16:creationId xmlns="" xmlns:a16="http://schemas.microsoft.com/office/drawing/2014/main" id="{00000000-0008-0000-1B00-000002000000}"/>
            </a:ext>
          </a:extLst>
        </xdr:cNvPr>
        <xdr:cNvSpPr txBox="1"/>
      </xdr:nvSpPr>
      <xdr:spPr>
        <a:xfrm>
          <a:off x="1920478" y="1056679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1031872</xdr:colOff>
      <xdr:row>0</xdr:row>
      <xdr:rowOff>26459</xdr:rowOff>
    </xdr:from>
    <xdr:to>
      <xdr:col>10</xdr:col>
      <xdr:colOff>1164166</xdr:colOff>
      <xdr:row>22</xdr:row>
      <xdr:rowOff>116415</xdr:rowOff>
    </xdr:to>
    <xdr:graphicFrame macro="">
      <xdr:nvGraphicFramePr>
        <xdr:cNvPr id="2" name="Chart 1">
          <a:extLst>
            <a:ext uri="{FF2B5EF4-FFF2-40B4-BE49-F238E27FC236}">
              <a16:creationId xmlns=""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15155</xdr:colOff>
      <xdr:row>23</xdr:row>
      <xdr:rowOff>9379</xdr:rowOff>
    </xdr:from>
    <xdr:ext cx="10176595" cy="2869288"/>
    <xdr:sp macro="" textlink="">
      <xdr:nvSpPr>
        <xdr:cNvPr id="3" name="TextBox 2">
          <a:extLst>
            <a:ext uri="{FF2B5EF4-FFF2-40B4-BE49-F238E27FC236}">
              <a16:creationId xmlns="" xmlns:a16="http://schemas.microsoft.com/office/drawing/2014/main" id="{00000000-0008-0000-0C00-000003000000}"/>
            </a:ext>
          </a:extLst>
        </xdr:cNvPr>
        <xdr:cNvSpPr txBox="1"/>
      </xdr:nvSpPr>
      <xdr:spPr>
        <a:xfrm>
          <a:off x="15155" y="4359129"/>
          <a:ext cx="10176595" cy="28692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t>●</a:t>
          </a:r>
          <a:r>
            <a:rPr lang="en-GB" sz="1100" baseline="0"/>
            <a:t>     We use two normalised measures to compare leakage performance between companies</a:t>
          </a:r>
        </a:p>
        <a:p>
          <a:r>
            <a:rPr lang="en-GB" sz="1100" baseline="0"/>
            <a:t>                    ○      Leakage per property per day in litres per property per day (l/prop/d)</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      Leakage per kilometre of mains per day in cubic metres per kilometre per day (m</a:t>
          </a:r>
          <a:r>
            <a:rPr lang="en-GB" sz="1100" baseline="30000">
              <a:solidFill>
                <a:schemeClr val="tx1"/>
              </a:solidFill>
              <a:effectLst/>
              <a:latin typeface="+mn-lt"/>
              <a:ea typeface="+mn-ea"/>
              <a:cs typeface="+mn-cs"/>
            </a:rPr>
            <a:t>3</a:t>
          </a:r>
          <a:r>
            <a:rPr lang="en-GB" sz="1100" baseline="0">
              <a:solidFill>
                <a:schemeClr val="tx1"/>
              </a:solidFill>
              <a:effectLst/>
              <a:latin typeface="+mn-lt"/>
              <a:ea typeface="+mn-ea"/>
              <a:cs typeface="+mn-cs"/>
            </a:rPr>
            <a:t>/km/d)</a:t>
          </a:r>
          <a:endParaRPr lang="en-GB">
            <a:effectLst/>
          </a:endParaRPr>
        </a:p>
        <a:p>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We expect an efficient company to achieve sector forecast upper quartile (UQ) performance by 2024-25 (in both normalised measures of per property and per kilometre of main) within base service</a:t>
          </a:r>
        </a:p>
        <a:p>
          <a:r>
            <a:rPr lang="en-GB" sz="1100">
              <a:solidFill>
                <a:schemeClr val="tx1"/>
              </a:solidFill>
              <a:effectLst/>
              <a:latin typeface="+mn-lt"/>
              <a:ea typeface="+mn-ea"/>
              <a:cs typeface="+mn-cs"/>
            </a:rPr>
            <a:t>●     We allow enhancement costs only where a company’s performance goes beyond the forecast upper quartile in both measures.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We use l</a:t>
          </a:r>
          <a:r>
            <a:rPr lang="en-GB" sz="1100">
              <a:solidFill>
                <a:schemeClr val="tx1"/>
              </a:solidFill>
              <a:effectLst/>
              <a:latin typeface="+mn-lt"/>
              <a:ea typeface="+mn-ea"/>
              <a:cs typeface="+mn-cs"/>
            </a:rPr>
            <a:t>eakage figures the companies submit</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for the common leakage performance commitment at draft determination in</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table App </a:t>
          </a:r>
          <a:r>
            <a:rPr lang="en-GB" sz="1100" baseline="0">
              <a:solidFill>
                <a:schemeClr val="tx1"/>
              </a:solidFill>
              <a:effectLst/>
              <a:latin typeface="+mn-lt"/>
              <a:ea typeface="+mn-ea"/>
              <a:cs typeface="+mn-cs"/>
            </a:rPr>
            <a:t>1, </a:t>
          </a:r>
          <a:r>
            <a:rPr lang="en-GB" sz="1100">
              <a:solidFill>
                <a:schemeClr val="tx1"/>
              </a:solidFill>
              <a:effectLst/>
              <a:latin typeface="+mn-lt"/>
              <a:ea typeface="+mn-ea"/>
              <a:cs typeface="+mn-cs"/>
            </a:rPr>
            <a:t>to calculate UQ position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We make an</a:t>
          </a:r>
          <a:r>
            <a:rPr lang="en-GB" sz="1100"/>
            <a:t> enhancement allowance for the leakage reduction volume in </a:t>
          </a:r>
          <a:r>
            <a:rPr lang="en-GB" sz="1100">
              <a:solidFill>
                <a:schemeClr val="tx1"/>
              </a:solidFill>
              <a:effectLst/>
              <a:latin typeface="+mn-lt"/>
              <a:ea typeface="+mn-ea"/>
              <a:cs typeface="+mn-cs"/>
            </a:rPr>
            <a:t>megalitre per day (Ml/d)</a:t>
          </a:r>
          <a:r>
            <a:rPr lang="en-GB" sz="1100" baseline="0">
              <a:solidFill>
                <a:schemeClr val="tx1"/>
              </a:solidFill>
              <a:effectLst/>
              <a:latin typeface="+mn-lt"/>
              <a:ea typeface="+mn-ea"/>
              <a:cs typeface="+mn-cs"/>
            </a:rPr>
            <a:t> b</a:t>
          </a:r>
          <a:r>
            <a:rPr lang="en-GB" sz="1100"/>
            <a:t>eyond</a:t>
          </a:r>
          <a:r>
            <a:rPr lang="en-GB" sz="1100" baseline="0"/>
            <a:t> </a:t>
          </a:r>
          <a:r>
            <a:rPr lang="en-GB" sz="1100"/>
            <a:t>the 2024-25 UQ</a:t>
          </a:r>
          <a:r>
            <a:rPr lang="en-GB" sz="1100" baseline="0"/>
            <a:t> p</a:t>
          </a:r>
          <a:r>
            <a:rPr lang="en-GB" sz="1100"/>
            <a:t>osition based upon the 3-year average leakage </a:t>
          </a:r>
          <a:r>
            <a:rPr lang="en-GB" sz="1100" baseline="0"/>
            <a:t>position the company forecasts to achieve at 2024-25 in table App 1 or  the revised 3-year average leakage position for 2024-25 where we make an intervention in our assessment of a company's performance commitment. We provide no leakage allowance beyond this stretching level because from this point the company is incentivised to reduce leakage further through outperformance payments.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We determine the </a:t>
          </a:r>
          <a:r>
            <a:rPr lang="en-GB" sz="1100">
              <a:solidFill>
                <a:schemeClr val="tx1"/>
              </a:solidFill>
              <a:effectLst/>
              <a:latin typeface="+mn-lt"/>
              <a:ea typeface="+mn-ea"/>
              <a:cs typeface="+mn-cs"/>
            </a:rPr>
            <a:t>leakage reduction volume that is used to calculate the allowance</a:t>
          </a:r>
          <a:r>
            <a:rPr lang="en-GB" sz="1100" baseline="0">
              <a:solidFill>
                <a:schemeClr val="tx1"/>
              </a:solidFill>
              <a:effectLst/>
              <a:latin typeface="+mn-lt"/>
              <a:ea typeface="+mn-ea"/>
              <a:cs typeface="+mn-cs"/>
            </a:rPr>
            <a:t> based on the </a:t>
          </a:r>
          <a:r>
            <a:rPr lang="en-GB" sz="1100"/>
            <a:t>average position beyond UQ in the two normalised measures </a:t>
          </a:r>
        </a:p>
        <a:p>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We </a:t>
          </a:r>
          <a:r>
            <a:rPr lang="en-GB" sz="1100">
              <a:solidFill>
                <a:schemeClr val="tx1"/>
              </a:solidFill>
              <a:effectLst/>
              <a:latin typeface="+mn-lt"/>
              <a:ea typeface="+mn-ea"/>
              <a:cs typeface="+mn-cs"/>
            </a:rPr>
            <a:t>cap the leakage reduction volume at the volume we identify in cell C24 of the deep dive tab. We derive this volume from the evidence the company provides because leakage reductions associated with metering are benefits of the metering model allowance  </a:t>
          </a:r>
          <a:r>
            <a:rPr lang="en-GB">
              <a:effectLst/>
            </a:rPr>
            <a:t> </a:t>
          </a:r>
          <a:r>
            <a:rPr lang="en-GB"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We generate the allowance from the identified volume by applying the unit cost for leakage reduction the company identifies</a:t>
          </a:r>
          <a:r>
            <a:rPr lang="en-GB" sz="1100">
              <a:solidFill>
                <a:schemeClr val="tx1"/>
              </a:solidFill>
              <a:effectLst/>
              <a:latin typeface="+mn-lt"/>
              <a:ea typeface="+mn-ea"/>
              <a:cs typeface="+mn-cs"/>
            </a:rPr>
            <a:t> with an adjustment for efficiency if necessary</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     Our company</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specific deep dive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efficiency factor adjustments</a:t>
          </a:r>
          <a:r>
            <a:rPr lang="en-GB" sz="1100" baseline="0">
              <a:solidFill>
                <a:schemeClr val="tx1"/>
              </a:solidFill>
              <a:effectLst/>
              <a:latin typeface="+mn-lt"/>
              <a:ea typeface="+mn-ea"/>
              <a:cs typeface="+mn-cs"/>
            </a:rPr>
            <a:t> are made for companies with unit costs above the industry median for leakage enhancement.</a:t>
          </a:r>
          <a:r>
            <a:rPr lang="en-GB" sz="1100">
              <a:solidFill>
                <a:schemeClr val="tx1"/>
              </a:solidFill>
              <a:effectLst/>
              <a:latin typeface="+mn-lt"/>
              <a:ea typeface="+mn-ea"/>
              <a:cs typeface="+mn-cs"/>
            </a:rPr>
            <a:t>	</a:t>
          </a:r>
          <a:endParaRPr lang="en-GB" sz="1100"/>
        </a:p>
      </xdr:txBody>
    </xdr:sp>
    <xdr:clientData/>
  </xdr:oneCellAnchor>
</xdr:wsDr>
</file>

<file path=xl/drawings/drawing3.xml><?xml version="1.0" encoding="utf-8"?>
<c:userShapes xmlns:c="http://schemas.openxmlformats.org/drawingml/2006/chart">
  <cdr:relSizeAnchor xmlns:cdr="http://schemas.openxmlformats.org/drawingml/2006/chartDrawing">
    <cdr:from>
      <cdr:x>0.21873</cdr:x>
      <cdr:y>0.04905</cdr:y>
    </cdr:from>
    <cdr:to>
      <cdr:x>0.31946</cdr:x>
      <cdr:y>0.13903</cdr:y>
    </cdr:to>
    <cdr:sp macro="" textlink="">
      <cdr:nvSpPr>
        <cdr:cNvPr id="2" name="TextBox 3">
          <a:extLst xmlns:a="http://schemas.openxmlformats.org/drawingml/2006/main">
            <a:ext uri="{FF2B5EF4-FFF2-40B4-BE49-F238E27FC236}">
              <a16:creationId xmlns="" xmlns:a16="http://schemas.microsoft.com/office/drawing/2014/main" id="{136D6837-3526-4598-9FA6-FCDB8C64C233}"/>
            </a:ext>
          </a:extLst>
        </cdr:cNvPr>
        <cdr:cNvSpPr txBox="1"/>
      </cdr:nvSpPr>
      <cdr:spPr>
        <a:xfrm xmlns:a="http://schemas.openxmlformats.org/drawingml/2006/main">
          <a:off x="1463994" y="212163"/>
          <a:ext cx="674223" cy="3891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t>2024-25 UQ</a:t>
          </a:r>
        </a:p>
      </cdr:txBody>
    </cdr:sp>
  </cdr:relSizeAnchor>
  <cdr:relSizeAnchor xmlns:cdr="http://schemas.openxmlformats.org/drawingml/2006/chartDrawing">
    <cdr:from>
      <cdr:x>0.09143</cdr:x>
      <cdr:y>0.63924</cdr:y>
    </cdr:from>
    <cdr:to>
      <cdr:x>0.27473</cdr:x>
      <cdr:y>0.87456</cdr:y>
    </cdr:to>
    <cdr:sp macro="" textlink="">
      <cdr:nvSpPr>
        <cdr:cNvPr id="3" name="Rectangle 2">
          <a:extLst xmlns:a="http://schemas.openxmlformats.org/drawingml/2006/main">
            <a:ext uri="{FF2B5EF4-FFF2-40B4-BE49-F238E27FC236}">
              <a16:creationId xmlns="" xmlns:a16="http://schemas.microsoft.com/office/drawing/2014/main" id="{78C317B0-06A1-41CD-93C1-45CB4517C2DB}"/>
            </a:ext>
          </a:extLst>
        </cdr:cNvPr>
        <cdr:cNvSpPr/>
      </cdr:nvSpPr>
      <cdr:spPr>
        <a:xfrm xmlns:a="http://schemas.openxmlformats.org/drawingml/2006/main">
          <a:off x="660388" y="2912469"/>
          <a:ext cx="1323990" cy="1072155"/>
        </a:xfrm>
        <a:prstGeom xmlns:a="http://schemas.openxmlformats.org/drawingml/2006/main" prst="rect">
          <a:avLst/>
        </a:prstGeom>
        <a:solidFill xmlns:a="http://schemas.openxmlformats.org/drawingml/2006/main">
          <a:srgbClr val="9933FF">
            <a:alpha val="27059"/>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0.84655</cdr:x>
      <cdr:y>0.63934</cdr:y>
    </cdr:from>
    <cdr:to>
      <cdr:x>0.98637</cdr:x>
      <cdr:y>0.70056</cdr:y>
    </cdr:to>
    <cdr:sp macro="" textlink="">
      <cdr:nvSpPr>
        <cdr:cNvPr id="4" name="TextBox 3">
          <a:extLst xmlns:a="http://schemas.openxmlformats.org/drawingml/2006/main">
            <a:ext uri="{FF2B5EF4-FFF2-40B4-BE49-F238E27FC236}">
              <a16:creationId xmlns="" xmlns:a16="http://schemas.microsoft.com/office/drawing/2014/main" id="{AF2FE428-27F5-455A-9DCD-1A2422E64F6F}"/>
            </a:ext>
          </a:extLst>
        </cdr:cNvPr>
        <cdr:cNvSpPr txBox="1"/>
      </cdr:nvSpPr>
      <cdr:spPr>
        <a:xfrm xmlns:a="http://schemas.openxmlformats.org/drawingml/2006/main">
          <a:off x="5666095" y="2765425"/>
          <a:ext cx="935853" cy="2648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t>2024-25 UQ</a:t>
          </a:r>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330198</xdr:colOff>
      <xdr:row>70</xdr:row>
      <xdr:rowOff>61595</xdr:rowOff>
    </xdr:from>
    <xdr:to>
      <xdr:col>14</xdr:col>
      <xdr:colOff>685800</xdr:colOff>
      <xdr:row>73</xdr:row>
      <xdr:rowOff>57150</xdr:rowOff>
    </xdr:to>
    <xdr:sp macro="" textlink="">
      <xdr:nvSpPr>
        <xdr:cNvPr id="6" name="TextBox 5">
          <a:extLst>
            <a:ext uri="{FF2B5EF4-FFF2-40B4-BE49-F238E27FC236}">
              <a16:creationId xmlns="" xmlns:a16="http://schemas.microsoft.com/office/drawing/2014/main" id="{00000000-0008-0000-0D00-000006000000}"/>
            </a:ext>
          </a:extLst>
        </xdr:cNvPr>
        <xdr:cNvSpPr txBox="1"/>
      </xdr:nvSpPr>
      <xdr:spPr>
        <a:xfrm>
          <a:off x="5216523" y="15434945"/>
          <a:ext cx="5451477" cy="48133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solidFill>
                <a:schemeClr val="bg1"/>
              </a:solidFill>
            </a:rPr>
            <a:t>Data submitted by companies in April 2019, further adjustments based on our assessment of performance commitment stretch levels are made in the leakage assessment tab . </a:t>
          </a:r>
          <a:endParaRPr lang="en-GB"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4761</xdr:colOff>
      <xdr:row>84</xdr:row>
      <xdr:rowOff>52387</xdr:rowOff>
    </xdr:from>
    <xdr:ext cx="12457113" cy="2433871"/>
    <xdr:sp macro="" textlink="">
      <xdr:nvSpPr>
        <xdr:cNvPr id="2" name="TextBox 1">
          <a:extLst>
            <a:ext uri="{FF2B5EF4-FFF2-40B4-BE49-F238E27FC236}">
              <a16:creationId xmlns="" xmlns:a16="http://schemas.microsoft.com/office/drawing/2014/main" id="{00000000-0008-0000-0E00-000002000000}"/>
            </a:ext>
          </a:extLst>
        </xdr:cNvPr>
        <xdr:cNvSpPr txBox="1"/>
      </xdr:nvSpPr>
      <xdr:spPr>
        <a:xfrm>
          <a:off x="523344" y="24764470"/>
          <a:ext cx="12457113" cy="243387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spcAft>
              <a:spcPts val="200"/>
            </a:spcAft>
          </a:pPr>
          <a:r>
            <a:rPr lang="en-GB" sz="1100"/>
            <a:t>●  We accept that the company has identified a need to address a supply demand deficit within its water resource zones, however, the schemes presented do not represent the least cost solution at a programme level and the evidence that has been provided does not sufficiently demonstrate that the proposed plan represents the best value for customers in the long-term. The benefits beyond those required to satisfy</a:t>
          </a:r>
          <a:r>
            <a:rPr lang="en-GB" sz="1100" baseline="0"/>
            <a:t> the supply demand deficit presented in the revised draft WRMP</a:t>
          </a:r>
          <a:r>
            <a:rPr lang="en-GB" sz="1100"/>
            <a:t> are not clearly quantified and in some instances alternative options do not appear to have been fully investigated (</a:t>
          </a:r>
          <a:r>
            <a:rPr lang="en-GB" sz="1100">
              <a:solidFill>
                <a:schemeClr val="tx1"/>
              </a:solidFill>
              <a:effectLst/>
              <a:latin typeface="+mn-lt"/>
              <a:ea typeface="+mn-ea"/>
              <a:cs typeface="+mn-cs"/>
            </a:rPr>
            <a:t>such as third party options and trading)</a:t>
          </a:r>
          <a:r>
            <a:rPr lang="en-GB" sz="1100"/>
            <a:t>. The company has not demonstrated that the option of considering alternative future plans while developing solutions to meet the immediate deficits in the form of a bridging plan between least cost and the best value presented has been fully considered at a programme level.</a:t>
          </a:r>
        </a:p>
        <a:p>
          <a:pPr>
            <a:spcAft>
              <a:spcPts val="200"/>
            </a:spcAft>
          </a:pPr>
          <a:r>
            <a:rPr lang="en-GB" sz="1100"/>
            <a:t>●  We did not find evidence of a clear comparison of cost and benefits between the least cost plan, the best value plan presented and a potential alternative that maintains the interconnections as presented but is downsized to focus principally on resolving the supply demand deficit.</a:t>
          </a:r>
        </a:p>
        <a:p>
          <a:pPr>
            <a:spcAft>
              <a:spcPts val="200"/>
            </a:spcAft>
          </a:pPr>
          <a:r>
            <a:rPr lang="en-GB" sz="1100"/>
            <a:t>●  There was insufficient evidence that a sufficient number of customers had been engaged in relation to the benefits and costs of the potential options identified above. It is unclear if the plan as presented represents the fair distribution of investment and intergenerational considerations because the solutions proposed do not appear to be significantly utilised in the short term.</a:t>
          </a:r>
        </a:p>
        <a:p>
          <a:pPr>
            <a:spcAft>
              <a:spcPts val="200"/>
            </a:spcAft>
          </a:pPr>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a:t>
          </a:r>
          <a:r>
            <a:rPr lang="en-GB" sz="1100"/>
            <a:t>We note that the company requests significant expenditure for the development of the South Lincolnshire reservoir and other long-term options and we are concerned</a:t>
          </a:r>
          <a:r>
            <a:rPr lang="en-GB" sz="1100" baseline="0"/>
            <a:t> that the proposed delivery of the treatment and interconnections schemes in 2020-25 may limit the opportunity to provide an integrated regional solution at best value to the customer. A phased approach focusing on addressing the immediate deficits in 2020-25 may offer opportunity to deliver better value as greater clarity on the regional requirements will be achieved during this period.</a:t>
          </a:r>
          <a:endParaRPr lang="en-GB" sz="1100"/>
        </a:p>
        <a:p>
          <a:pPr>
            <a:spcAft>
              <a:spcPts val="200"/>
            </a:spcAft>
          </a:pPr>
          <a:r>
            <a:rPr lang="en-GB" sz="1100"/>
            <a:t>●  We have concerns that the options presented may not represent the best interests of the customers in terms of value and efficiency and we have challenged the individual schemes based on the principles below:</a:t>
          </a:r>
        </a:p>
      </xdr:txBody>
    </xdr:sp>
    <xdr:clientData/>
  </xdr:oneCellAnchor>
  <xdr:oneCellAnchor>
    <xdr:from>
      <xdr:col>0</xdr:col>
      <xdr:colOff>495299</xdr:colOff>
      <xdr:row>107</xdr:row>
      <xdr:rowOff>3174</xdr:rowOff>
    </xdr:from>
    <xdr:ext cx="12299951" cy="781240"/>
    <xdr:sp macro="" textlink="">
      <xdr:nvSpPr>
        <xdr:cNvPr id="3" name="TextBox 2">
          <a:extLst>
            <a:ext uri="{FF2B5EF4-FFF2-40B4-BE49-F238E27FC236}">
              <a16:creationId xmlns="" xmlns:a16="http://schemas.microsoft.com/office/drawing/2014/main" id="{00000000-0008-0000-0E00-000003000000}"/>
            </a:ext>
          </a:extLst>
        </xdr:cNvPr>
        <xdr:cNvSpPr txBox="1"/>
      </xdr:nvSpPr>
      <xdr:spPr>
        <a:xfrm>
          <a:off x="495299" y="29218466"/>
          <a:ext cx="12299951" cy="7812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2)</a:t>
          </a:r>
          <a:r>
            <a:rPr lang="en-GB" sz="1100" baseline="0"/>
            <a:t> </a:t>
          </a:r>
          <a:r>
            <a:rPr lang="en-GB" sz="1100"/>
            <a:t>Consideration of alternative options – For some water resource zones and particularly for the intra-zonal deficits a limited number of</a:t>
          </a:r>
          <a:r>
            <a:rPr lang="en-GB" sz="1100" baseline="0"/>
            <a:t> fea</a:t>
          </a:r>
          <a:r>
            <a:rPr lang="en-GB" sz="1100"/>
            <a:t>sible options are presented for considerations in optimising a</a:t>
          </a:r>
          <a:r>
            <a:rPr lang="en-GB" sz="1100" baseline="0"/>
            <a:t> </a:t>
          </a:r>
          <a:r>
            <a:rPr lang="en-GB" sz="1100"/>
            <a:t>solution.  We have also noted significant variation in scale of options for some zones and our review suggests in some cases an intermediately sized or smaller option may have been more appropriate. We note that evidence of full consideration of both third party and trading</a:t>
          </a:r>
          <a:r>
            <a:rPr lang="en-GB" sz="1100" baseline="0"/>
            <a:t> </a:t>
          </a:r>
          <a:r>
            <a:rPr lang="en-GB" sz="1100"/>
            <a:t>options is limited with the company referring to further work in these areas. Where we have concerns a 10% efficiency challenge or application of the 1.2m/Ml/d is applied.</a:t>
          </a:r>
        </a:p>
      </xdr:txBody>
    </xdr:sp>
    <xdr:clientData/>
  </xdr:oneCellAnchor>
  <xdr:oneCellAnchor>
    <xdr:from>
      <xdr:col>0</xdr:col>
      <xdr:colOff>515408</xdr:colOff>
      <xdr:row>112</xdr:row>
      <xdr:rowOff>57681</xdr:rowOff>
    </xdr:from>
    <xdr:ext cx="12274550" cy="953466"/>
    <xdr:sp macro="" textlink="">
      <xdr:nvSpPr>
        <xdr:cNvPr id="4" name="TextBox 3">
          <a:extLst>
            <a:ext uri="{FF2B5EF4-FFF2-40B4-BE49-F238E27FC236}">
              <a16:creationId xmlns="" xmlns:a16="http://schemas.microsoft.com/office/drawing/2014/main" id="{00000000-0008-0000-0E00-000004000000}"/>
            </a:ext>
          </a:extLst>
        </xdr:cNvPr>
        <xdr:cNvSpPr txBox="1"/>
      </xdr:nvSpPr>
      <xdr:spPr>
        <a:xfrm>
          <a:off x="515408" y="30251931"/>
          <a:ext cx="12274550" cy="95346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3)</a:t>
          </a:r>
          <a:r>
            <a:rPr lang="en-GB" sz="1100" baseline="0"/>
            <a:t> </a:t>
          </a:r>
          <a:r>
            <a:rPr lang="en-GB" sz="1100"/>
            <a:t>Efficiency of costs – The company has provided evidence that it considers supports the costs it presents.</a:t>
          </a:r>
          <a:r>
            <a:rPr lang="en-GB" sz="1100" baseline="0"/>
            <a:t> </a:t>
          </a:r>
          <a:r>
            <a:rPr lang="en-GB" sz="1100"/>
            <a:t>We note that the directional drilling costs appear to be higher than average and there are a significant number proposed in the scope of work. We consider that the evidence presented is sufficient to support the reduction identified in the</a:t>
          </a:r>
          <a:r>
            <a:rPr lang="en-GB" sz="1100" baseline="0"/>
            <a:t> company level</a:t>
          </a:r>
          <a:r>
            <a:rPr lang="en-GB" sz="1100"/>
            <a:t> efficiency challenge applied at IAP from 15% to 10%. The 10% reflects the fact the cost presented includes some scope for efficiency with examples of tendered cost information being lower cost than that identified by Anglian Water. We also consider there is opportunity for programme optimisation and programme level efficiencies to reduce costs and on an individual scheme level the company will have opportunity to deliver efficiently while meeting the need through approaches such as finalising pipeline routes, optimising service reservoir sizes and considering installation of smaller scale mechanical and electrical assets. This challenge is applied to all schemes.</a:t>
          </a:r>
        </a:p>
      </xdr:txBody>
    </xdr:sp>
    <xdr:clientData/>
  </xdr:oneCellAnchor>
  <xdr:twoCellAnchor>
    <xdr:from>
      <xdr:col>4</xdr:col>
      <xdr:colOff>5291</xdr:colOff>
      <xdr:row>80</xdr:row>
      <xdr:rowOff>5290</xdr:rowOff>
    </xdr:from>
    <xdr:to>
      <xdr:col>12</xdr:col>
      <xdr:colOff>26459</xdr:colOff>
      <xdr:row>81</xdr:row>
      <xdr:rowOff>21166</xdr:rowOff>
    </xdr:to>
    <xdr:sp macro="" textlink="">
      <xdr:nvSpPr>
        <xdr:cNvPr id="5" name="TextBox 4"/>
        <xdr:cNvSpPr txBox="1"/>
      </xdr:nvSpPr>
      <xdr:spPr>
        <a:xfrm>
          <a:off x="8900583" y="21674666"/>
          <a:ext cx="11710459" cy="814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Fenland reservoir, trading option with Severn Trent and innovative ASR investigations. We have reviewed these schemes against the long term assessment included in the revised draft WRMP, table 6.1. </a:t>
          </a:r>
        </a:p>
        <a:p>
          <a:endParaRPr lang="en-GB" sz="1100"/>
        </a:p>
        <a:p>
          <a:r>
            <a:rPr lang="en-GB" sz="1100"/>
            <a:t>Schemes that were identified as potentially being required in the 2030's include Severn Trent transfer, reuse and the South Lincolnshire reservoir (now included in strategic development). In the absence of  further detail we have made an allowance of 50% of the costs to enable development of the schemes that were identified in the stress testing of the revised draft WRMP.</a:t>
          </a:r>
        </a:p>
      </xdr:txBody>
    </xdr:sp>
    <xdr:clientData/>
  </xdr:twoCellAnchor>
  <xdr:oneCellAnchor>
    <xdr:from>
      <xdr:col>1</xdr:col>
      <xdr:colOff>5292</xdr:colOff>
      <xdr:row>96</xdr:row>
      <xdr:rowOff>185208</xdr:rowOff>
    </xdr:from>
    <xdr:ext cx="12456583" cy="781240"/>
    <xdr:sp macro="" textlink="">
      <xdr:nvSpPr>
        <xdr:cNvPr id="6" name="TextBox 5"/>
        <xdr:cNvSpPr txBox="1"/>
      </xdr:nvSpPr>
      <xdr:spPr>
        <a:xfrm>
          <a:off x="523875" y="27246791"/>
          <a:ext cx="12456583" cy="7812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1 ) Consideration of the capacity of the proposed solution in comparison to supply demand balance deficit – The capacity of the proposed solution is reviewed against the figures presented in the revised draft WRMP planning tables. Where there is significant variation between the requirements of the DYAA or DYCP scenario across the 2020-25 period and the capacity installed a project sizing efficiency challenge is applied. The company needs to provide further evidence to justify the benefits received from installing the proposed capacity. We recognise the potential for peak capacities to be higher than those included in the revised draft WRMP planning tables but the factors driving these peak levels need to be justified and the probabilities of these being required clearly articulated. </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xdr:colOff>
      <xdr:row>39</xdr:row>
      <xdr:rowOff>0</xdr:rowOff>
    </xdr:from>
    <xdr:ext cx="8248650" cy="1125693"/>
    <xdr:sp macro="" textlink="">
      <xdr:nvSpPr>
        <xdr:cNvPr id="6" name="TextBox 5">
          <a:extLst>
            <a:ext uri="{FF2B5EF4-FFF2-40B4-BE49-F238E27FC236}">
              <a16:creationId xmlns="" xmlns:a16="http://schemas.microsoft.com/office/drawing/2014/main" id="{00000000-0008-0000-0E00-000003000000}"/>
            </a:ext>
          </a:extLst>
        </xdr:cNvPr>
        <xdr:cNvSpPr txBox="1"/>
      </xdr:nvSpPr>
      <xdr:spPr>
        <a:xfrm>
          <a:off x="514351" y="14020800"/>
          <a:ext cx="8248650" cy="1125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t>The</a:t>
          </a:r>
          <a:r>
            <a:rPr lang="en-GB" sz="1100" baseline="0"/>
            <a:t> supply enhancement schemes in Tywyn Aberdyfi (£4.854m) and Pembrokeshire zones (£5.000m) are included in this component as they were at initial assessment of plans. However, we now proportion the total expenditure between the </a:t>
          </a:r>
          <a:r>
            <a:rPr lang="en-GB" sz="1100" baseline="0">
              <a:solidFill>
                <a:schemeClr val="tx1"/>
              </a:solidFill>
              <a:effectLst/>
              <a:latin typeface="+mn-lt"/>
              <a:ea typeface="+mn-ea"/>
              <a:cs typeface="+mn-cs"/>
            </a:rPr>
            <a:t>2020-25 supply enhancement component and the long-term enhancement component and assess it accordingly. We accept the evidence that the company provides in its response to the initial assessment of plans to support the separate assessment of the benefits for 2020-25 and beyond 2025.  Following our challenge at initial assessment of plans the company now presents benefits for supply demand balance enhancement aligned with the 5.1 Ml/d 2025 deficit for these zones specified in the revised draft water resources management plan (WRMP) narrative.</a:t>
          </a:r>
          <a:endParaRPr lang="en-GB">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1768078</xdr:colOff>
      <xdr:row>34</xdr:row>
      <xdr:rowOff>0</xdr:rowOff>
    </xdr:from>
    <xdr:ext cx="2976563" cy="482203"/>
    <xdr:sp macro="" textlink="">
      <xdr:nvSpPr>
        <xdr:cNvPr id="2" name="TextBox 1">
          <a:extLst>
            <a:ext uri="{FF2B5EF4-FFF2-40B4-BE49-F238E27FC236}">
              <a16:creationId xmlns="" xmlns:a16="http://schemas.microsoft.com/office/drawing/2014/main" id="{00000000-0008-0000-1400-000002000000}"/>
            </a:ext>
          </a:extLst>
        </xdr:cNvPr>
        <xdr:cNvSpPr txBox="1"/>
      </xdr:nvSpPr>
      <xdr:spPr>
        <a:xfrm>
          <a:off x="1920478" y="1881544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1768078</xdr:colOff>
      <xdr:row>34</xdr:row>
      <xdr:rowOff>0</xdr:rowOff>
    </xdr:from>
    <xdr:ext cx="2976563" cy="482203"/>
    <xdr:sp macro="" textlink="">
      <xdr:nvSpPr>
        <xdr:cNvPr id="3" name="TextBox 2">
          <a:extLst>
            <a:ext uri="{FF2B5EF4-FFF2-40B4-BE49-F238E27FC236}">
              <a16:creationId xmlns="" xmlns:a16="http://schemas.microsoft.com/office/drawing/2014/main" id="{00000000-0008-0000-1400-000003000000}"/>
            </a:ext>
          </a:extLst>
        </xdr:cNvPr>
        <xdr:cNvSpPr txBox="1"/>
      </xdr:nvSpPr>
      <xdr:spPr>
        <a:xfrm>
          <a:off x="1920478" y="1153477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1768078</xdr:colOff>
      <xdr:row>34</xdr:row>
      <xdr:rowOff>0</xdr:rowOff>
    </xdr:from>
    <xdr:ext cx="2976563" cy="482203"/>
    <xdr:sp macro="" textlink="">
      <xdr:nvSpPr>
        <xdr:cNvPr id="4" name="TextBox 3">
          <a:extLst>
            <a:ext uri="{FF2B5EF4-FFF2-40B4-BE49-F238E27FC236}">
              <a16:creationId xmlns="" xmlns:a16="http://schemas.microsoft.com/office/drawing/2014/main" id="{00000000-0008-0000-1400-000004000000}"/>
            </a:ext>
          </a:extLst>
        </xdr:cNvPr>
        <xdr:cNvSpPr txBox="1"/>
      </xdr:nvSpPr>
      <xdr:spPr>
        <a:xfrm>
          <a:off x="1920478" y="1153477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1768078</xdr:colOff>
      <xdr:row>35</xdr:row>
      <xdr:rowOff>0</xdr:rowOff>
    </xdr:from>
    <xdr:ext cx="2976563" cy="482203"/>
    <xdr:sp macro="" textlink="">
      <xdr:nvSpPr>
        <xdr:cNvPr id="2" name="TextBox 1">
          <a:extLst>
            <a:ext uri="{FF2B5EF4-FFF2-40B4-BE49-F238E27FC236}">
              <a16:creationId xmlns="" xmlns:a16="http://schemas.microsoft.com/office/drawing/2014/main" id="{00000000-0008-0000-1800-000002000000}"/>
            </a:ext>
          </a:extLst>
        </xdr:cNvPr>
        <xdr:cNvSpPr txBox="1"/>
      </xdr:nvSpPr>
      <xdr:spPr>
        <a:xfrm>
          <a:off x="1920478" y="1881544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1768078</xdr:colOff>
      <xdr:row>35</xdr:row>
      <xdr:rowOff>0</xdr:rowOff>
    </xdr:from>
    <xdr:ext cx="2976563" cy="482203"/>
    <xdr:sp macro="" textlink="">
      <xdr:nvSpPr>
        <xdr:cNvPr id="3" name="TextBox 2">
          <a:extLst>
            <a:ext uri="{FF2B5EF4-FFF2-40B4-BE49-F238E27FC236}">
              <a16:creationId xmlns="" xmlns:a16="http://schemas.microsoft.com/office/drawing/2014/main" id="{00000000-0008-0000-1800-000003000000}"/>
            </a:ext>
          </a:extLst>
        </xdr:cNvPr>
        <xdr:cNvSpPr txBox="1"/>
      </xdr:nvSpPr>
      <xdr:spPr>
        <a:xfrm>
          <a:off x="1920478" y="1333500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1768078</xdr:colOff>
      <xdr:row>35</xdr:row>
      <xdr:rowOff>0</xdr:rowOff>
    </xdr:from>
    <xdr:ext cx="2976563" cy="482203"/>
    <xdr:sp macro="" textlink="">
      <xdr:nvSpPr>
        <xdr:cNvPr id="2" name="TextBox 1">
          <a:extLst>
            <a:ext uri="{FF2B5EF4-FFF2-40B4-BE49-F238E27FC236}">
              <a16:creationId xmlns="" xmlns:a16="http://schemas.microsoft.com/office/drawing/2014/main" id="{00000000-0008-0000-1900-000002000000}"/>
            </a:ext>
          </a:extLst>
        </xdr:cNvPr>
        <xdr:cNvSpPr txBox="1"/>
      </xdr:nvSpPr>
      <xdr:spPr>
        <a:xfrm>
          <a:off x="1920478" y="1345882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WSHARE/PR19%20Modelling/Live%20models/Cost%20Assessment/Cost%20claims/Copy%20of%20FM_CAC_TMS_suspense%20mode%20sav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ATES%20%20APR2000-MAR2001/YE%20March02/SOUTH%20NDR%20WC%20APR2001%20MAR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aura.gatzschulz/Documents/Copy%20of%20FM_E_WWW_conservation%20drive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hona.labor/AppData/Local/Microsoft/Windows/INetCache/IE/QJKFE5G1/PR19-14h-for-publication.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WSHARE/Cost%20assessment/Retail/Modelling%20-%20phase%204/Cost%20allowances/xls/FM_R2_v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WSHARE/PR14/Cost%20assessment/Menus/Analysis/Menu%20assessment/PR14%20menu%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_Inputs TMS"/>
      <sheetName val="TMS-R202001"/>
      <sheetName val="TMS-WN601001"/>
      <sheetName val="TMS-R201001"/>
      <sheetName val="TMS-WN604001"/>
      <sheetName val="TMS-BIO701001"/>
      <sheetName val="TMS-WN603001"/>
      <sheetName val="TMS-WN602001"/>
      <sheetName val="TMS-WWN801001"/>
      <sheetName val="Profiling"/>
      <sheetName val="Interface"/>
      <sheetName val="Assessment gates"/>
    </sheetNames>
    <sheetDataSet>
      <sheetData sheetId="0"/>
      <sheetData sheetId="1">
        <row r="43">
          <cell r="A43" t="str">
            <v>TMS</v>
          </cell>
        </row>
        <row r="45">
          <cell r="Q45">
            <v>11.1</v>
          </cell>
          <cell r="R45">
            <v>11.1</v>
          </cell>
          <cell r="S45">
            <v>11.1</v>
          </cell>
          <cell r="T45">
            <v>11.1</v>
          </cell>
          <cell r="U45">
            <v>11.1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hyperlink" Target="https://www.ofwat.gov.uk/wp-content/uploads/2019/01/FM_E_WW_SDB_IAP.xlsx"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sheetPr>
  <dimension ref="B1:H49"/>
  <sheetViews>
    <sheetView zoomScaleNormal="100" workbookViewId="0"/>
  </sheetViews>
  <sheetFormatPr defaultColWidth="8.7109375" defaultRowHeight="17.25" x14ac:dyDescent="0.35"/>
  <cols>
    <col min="1" max="1" width="1.28515625" style="25" customWidth="1"/>
    <col min="2" max="2" width="11.28515625" style="25" customWidth="1"/>
    <col min="3" max="3" width="100.28515625" style="25" customWidth="1"/>
    <col min="4" max="4" width="18" style="26" customWidth="1"/>
    <col min="5" max="6" width="8.7109375" style="25"/>
    <col min="7" max="7" width="47.5703125" style="25" customWidth="1"/>
    <col min="8" max="8" width="60.28515625" style="25" customWidth="1"/>
    <col min="9" max="16384" width="8.7109375" style="25"/>
  </cols>
  <sheetData>
    <row r="1" spans="2:8" ht="20.25" customHeight="1" x14ac:dyDescent="0.45">
      <c r="B1" s="23" t="s">
        <v>0</v>
      </c>
      <c r="C1" s="24"/>
      <c r="D1" s="24"/>
    </row>
    <row r="2" spans="2:8" ht="17.25" customHeight="1" x14ac:dyDescent="0.35">
      <c r="G2" s="5" t="s">
        <v>1</v>
      </c>
    </row>
    <row r="3" spans="2:8" ht="17.25" customHeight="1" x14ac:dyDescent="0.35">
      <c r="G3" s="12" t="s">
        <v>2</v>
      </c>
      <c r="H3" s="346">
        <v>43592</v>
      </c>
    </row>
    <row r="4" spans="2:8" ht="17.25" customHeight="1" x14ac:dyDescent="0.35"/>
    <row r="5" spans="2:8" ht="17.25" customHeight="1" x14ac:dyDescent="0.35">
      <c r="G5" s="16"/>
      <c r="H5" s="16"/>
    </row>
    <row r="6" spans="2:8" ht="17.25" customHeight="1" x14ac:dyDescent="0.35">
      <c r="G6" s="5" t="s">
        <v>3</v>
      </c>
      <c r="H6" s="16"/>
    </row>
    <row r="7" spans="2:8" ht="17.25" customHeight="1" x14ac:dyDescent="0.35">
      <c r="G7" s="181" t="s">
        <v>4</v>
      </c>
      <c r="H7" s="50" t="s">
        <v>5</v>
      </c>
    </row>
    <row r="8" spans="2:8" ht="17.25" customHeight="1" x14ac:dyDescent="0.35">
      <c r="G8" s="18"/>
      <c r="H8" s="16"/>
    </row>
    <row r="9" spans="2:8" ht="17.25" customHeight="1" x14ac:dyDescent="0.35">
      <c r="G9" s="5" t="s">
        <v>6</v>
      </c>
      <c r="H9" s="2"/>
    </row>
    <row r="10" spans="2:8" ht="17.25" customHeight="1" x14ac:dyDescent="0.35">
      <c r="G10" s="13" t="s">
        <v>7</v>
      </c>
      <c r="H10" s="350" t="s">
        <v>8</v>
      </c>
    </row>
    <row r="11" spans="2:8" ht="17.25" customHeight="1" x14ac:dyDescent="0.35">
      <c r="G11" s="12" t="s">
        <v>9</v>
      </c>
      <c r="H11" s="14" t="s">
        <v>10</v>
      </c>
    </row>
    <row r="12" spans="2:8" ht="17.25" customHeight="1" x14ac:dyDescent="0.35">
      <c r="G12" s="12" t="s">
        <v>11</v>
      </c>
      <c r="H12" s="27" t="s">
        <v>12</v>
      </c>
    </row>
    <row r="13" spans="2:8" ht="17.25" customHeight="1" x14ac:dyDescent="0.35"/>
    <row r="14" spans="2:8" ht="17.25" customHeight="1" x14ac:dyDescent="0.35"/>
    <row r="15" spans="2:8" ht="17.25" customHeight="1" x14ac:dyDescent="0.35"/>
    <row r="16" spans="2:8" ht="17.25" customHeight="1" x14ac:dyDescent="0.35"/>
    <row r="46" spans="7:8" ht="31.15" customHeight="1" x14ac:dyDescent="0.35">
      <c r="G46" s="582" t="s">
        <v>938</v>
      </c>
      <c r="H46" s="583" t="s">
        <v>756</v>
      </c>
    </row>
    <row r="47" spans="7:8" x14ac:dyDescent="0.35">
      <c r="G47" s="581" t="s">
        <v>753</v>
      </c>
      <c r="H47" s="581">
        <v>0.1</v>
      </c>
    </row>
    <row r="48" spans="7:8" x14ac:dyDescent="0.35">
      <c r="G48" s="580" t="s">
        <v>754</v>
      </c>
      <c r="H48" s="581">
        <v>0.2</v>
      </c>
    </row>
    <row r="49" spans="7:8" x14ac:dyDescent="0.35">
      <c r="G49" s="580" t="s">
        <v>755</v>
      </c>
      <c r="H49" s="581">
        <v>0.3</v>
      </c>
    </row>
  </sheetData>
  <dataValidations count="1">
    <dataValidation type="list" allowBlank="1" showInputMessage="1" showErrorMessage="1" sqref="H10">
      <formula1>"Wholesale water, Wholesale wastewater"</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I71"/>
  <sheetViews>
    <sheetView zoomScale="90" zoomScaleNormal="90" workbookViewId="0"/>
  </sheetViews>
  <sheetFormatPr defaultColWidth="8.7109375" defaultRowHeight="15" x14ac:dyDescent="0.3"/>
  <cols>
    <col min="1" max="1" width="8" style="44" customWidth="1"/>
    <col min="2" max="2" width="58.7109375" style="2" customWidth="1"/>
    <col min="3" max="4" width="14.85546875" style="2" customWidth="1"/>
    <col min="5" max="5" width="14.85546875" style="38" customWidth="1"/>
    <col min="6" max="6" width="14.85546875" style="2" customWidth="1"/>
    <col min="7" max="7" width="55.28515625" style="2" customWidth="1"/>
    <col min="8" max="16384" width="8.7109375" style="2"/>
  </cols>
  <sheetData>
    <row r="1" spans="1:7" s="211" customFormat="1" ht="21.75" x14ac:dyDescent="0.3">
      <c r="A1" s="331"/>
      <c r="B1" s="6" t="s">
        <v>470</v>
      </c>
      <c r="C1" s="1"/>
      <c r="D1" s="1"/>
      <c r="E1" s="45"/>
      <c r="F1" s="1"/>
      <c r="G1" s="2"/>
    </row>
    <row r="2" spans="1:7" s="211" customFormat="1" ht="16.5" customHeight="1" thickBot="1" x14ac:dyDescent="0.35">
      <c r="A2" s="331"/>
      <c r="B2" s="5"/>
      <c r="C2" s="8"/>
      <c r="D2" s="8"/>
      <c r="E2" s="38"/>
      <c r="F2" s="2"/>
      <c r="G2" s="2"/>
    </row>
    <row r="3" spans="1:7" s="211" customFormat="1" ht="15.75" customHeight="1" thickBot="1" x14ac:dyDescent="0.35">
      <c r="A3" s="331"/>
      <c r="B3" s="5" t="s">
        <v>1</v>
      </c>
      <c r="C3" s="8"/>
      <c r="D3" s="8"/>
      <c r="E3" s="38"/>
      <c r="F3" s="394" t="s">
        <v>385</v>
      </c>
      <c r="G3" s="2"/>
    </row>
    <row r="4" spans="1:7" s="211" customFormat="1" x14ac:dyDescent="0.3">
      <c r="A4" s="44"/>
      <c r="B4" s="354" t="s">
        <v>471</v>
      </c>
      <c r="C4" s="711" t="s">
        <v>540</v>
      </c>
      <c r="D4" s="712"/>
      <c r="E4" s="38"/>
      <c r="F4" s="395" t="str">
        <f>IF(ABS(ROUND(C10,3)-ROUND((F60+F61),3))=0,"OK","ERROR")</f>
        <v>OK</v>
      </c>
      <c r="G4" s="2" t="s">
        <v>472</v>
      </c>
    </row>
    <row r="5" spans="1:7" s="211" customFormat="1" ht="15.75" thickBot="1" x14ac:dyDescent="0.35">
      <c r="A5" s="44"/>
      <c r="B5" s="355" t="s">
        <v>388</v>
      </c>
      <c r="C5" s="713">
        <v>43616</v>
      </c>
      <c r="D5" s="714"/>
      <c r="E5" s="38"/>
      <c r="F5" s="396" t="str">
        <f>IF(ABS(ROUND(D28,3)-ROUND((C10),3))=0,"OK","ERROR")</f>
        <v>OK</v>
      </c>
      <c r="G5" s="2" t="s">
        <v>473</v>
      </c>
    </row>
    <row r="6" spans="1:7" s="211" customFormat="1" ht="15.75" thickBot="1" x14ac:dyDescent="0.35">
      <c r="A6" s="44"/>
      <c r="B6" s="356" t="s">
        <v>389</v>
      </c>
      <c r="C6" s="715" t="s">
        <v>933</v>
      </c>
      <c r="D6" s="716"/>
      <c r="E6" s="38"/>
      <c r="F6" s="2"/>
      <c r="G6" s="2"/>
    </row>
    <row r="7" spans="1:7" s="211" customFormat="1" x14ac:dyDescent="0.3">
      <c r="A7" s="44"/>
      <c r="B7" s="16"/>
      <c r="C7" s="16"/>
      <c r="D7" s="17"/>
      <c r="E7" s="38"/>
      <c r="F7" s="2"/>
      <c r="G7" s="2"/>
    </row>
    <row r="8" spans="1:7" s="211" customFormat="1" ht="15.75" thickBot="1" x14ac:dyDescent="0.35">
      <c r="A8" s="44"/>
      <c r="B8" s="5" t="s">
        <v>6</v>
      </c>
      <c r="C8" s="2"/>
      <c r="D8" s="2"/>
      <c r="E8" s="38"/>
      <c r="F8" s="2"/>
      <c r="G8" s="2"/>
    </row>
    <row r="9" spans="1:7" s="211" customFormat="1" x14ac:dyDescent="0.3">
      <c r="A9" s="44"/>
      <c r="B9" s="357" t="s">
        <v>312</v>
      </c>
      <c r="C9" s="360" t="s">
        <v>32</v>
      </c>
      <c r="D9" s="349"/>
      <c r="E9" s="38"/>
      <c r="F9" s="2"/>
      <c r="G9" s="2"/>
    </row>
    <row r="10" spans="1:7" s="211" customFormat="1" x14ac:dyDescent="0.3">
      <c r="A10" s="44"/>
      <c r="B10" s="358" t="s">
        <v>474</v>
      </c>
      <c r="C10" s="361">
        <f>INDEX(Analysis!L5:L21,MATCH(C9,Analysis!B5:B21,0))</f>
        <v>51.206169887814674</v>
      </c>
      <c r="D10" s="5"/>
      <c r="E10" s="38"/>
      <c r="F10" s="2"/>
      <c r="G10" s="2"/>
    </row>
    <row r="11" spans="1:7" s="211" customFormat="1" x14ac:dyDescent="0.3">
      <c r="A11" s="44"/>
      <c r="B11" s="358" t="s">
        <v>475</v>
      </c>
      <c r="C11" s="361">
        <v>0</v>
      </c>
      <c r="D11" s="15"/>
      <c r="E11" s="63"/>
      <c r="F11" s="2"/>
      <c r="G11" s="15"/>
    </row>
    <row r="12" spans="1:7" s="211" customFormat="1" x14ac:dyDescent="0.3">
      <c r="A12" s="44"/>
      <c r="B12" s="358" t="s">
        <v>476</v>
      </c>
      <c r="C12" s="362">
        <f>C10+C11</f>
        <v>51.206169887814674</v>
      </c>
      <c r="D12" s="15"/>
      <c r="E12" s="63"/>
      <c r="F12" s="2"/>
      <c r="G12" s="15"/>
    </row>
    <row r="13" spans="1:7" s="211" customFormat="1" x14ac:dyDescent="0.3">
      <c r="A13" s="44"/>
      <c r="B13" s="358" t="s">
        <v>477</v>
      </c>
      <c r="C13" s="362">
        <v>0</v>
      </c>
      <c r="D13" s="15"/>
      <c r="E13" s="63"/>
      <c r="F13" s="2"/>
      <c r="G13" s="15"/>
    </row>
    <row r="14" spans="1:7" s="211" customFormat="1" ht="15.75" thickBot="1" x14ac:dyDescent="0.35">
      <c r="A14" s="44"/>
      <c r="B14" s="359" t="s">
        <v>478</v>
      </c>
      <c r="C14" s="363">
        <f ca="1">F28</f>
        <v>9.5</v>
      </c>
      <c r="D14" s="15"/>
      <c r="E14" s="63"/>
      <c r="F14" s="2"/>
      <c r="G14" s="15"/>
    </row>
    <row r="15" spans="1:7" s="211" customFormat="1" x14ac:dyDescent="0.3">
      <c r="A15" s="44"/>
      <c r="B15" s="337"/>
      <c r="C15" s="15"/>
      <c r="D15" s="15"/>
      <c r="E15" s="63"/>
      <c r="F15" s="2"/>
      <c r="G15" s="15"/>
    </row>
    <row r="16" spans="1:7" s="211" customFormat="1" ht="15.75" thickBot="1" x14ac:dyDescent="0.35">
      <c r="A16" s="44"/>
      <c r="B16" s="5" t="s">
        <v>391</v>
      </c>
      <c r="C16" s="82"/>
      <c r="D16" s="2"/>
      <c r="E16" s="38"/>
      <c r="F16" s="2"/>
      <c r="G16" s="2"/>
    </row>
    <row r="17" spans="1:7" s="211" customFormat="1" ht="15.75" thickBot="1" x14ac:dyDescent="0.35">
      <c r="A17" s="44"/>
      <c r="B17" s="364" t="s">
        <v>479</v>
      </c>
      <c r="C17" s="365">
        <f ca="1">C13+C14</f>
        <v>9.5</v>
      </c>
      <c r="D17" s="5"/>
      <c r="E17" s="38"/>
      <c r="F17" s="2"/>
      <c r="G17" s="2"/>
    </row>
    <row r="19" spans="1:7" ht="16.5" thickBot="1" x14ac:dyDescent="0.35">
      <c r="B19" s="172" t="s">
        <v>480</v>
      </c>
      <c r="C19" s="35"/>
      <c r="D19" s="16"/>
      <c r="E19" s="22"/>
      <c r="F19" s="40"/>
      <c r="G19" s="64"/>
    </row>
    <row r="20" spans="1:7" s="31" customFormat="1" ht="45" x14ac:dyDescent="0.3">
      <c r="A20" s="372" t="s">
        <v>481</v>
      </c>
      <c r="B20" s="373" t="s">
        <v>482</v>
      </c>
      <c r="C20" s="382" t="s">
        <v>483</v>
      </c>
      <c r="D20" s="382" t="s">
        <v>484</v>
      </c>
      <c r="E20" s="382" t="s">
        <v>485</v>
      </c>
      <c r="F20" s="382" t="s">
        <v>486</v>
      </c>
      <c r="G20" s="383" t="s">
        <v>340</v>
      </c>
    </row>
    <row r="21" spans="1:7" ht="45" x14ac:dyDescent="0.3">
      <c r="A21" s="374">
        <v>1</v>
      </c>
      <c r="B21" s="166" t="s">
        <v>411</v>
      </c>
      <c r="C21" s="367">
        <f>SUM(C22:C23)</f>
        <v>0</v>
      </c>
      <c r="D21" s="367">
        <f>SUM(D22:D23)</f>
        <v>1.2055698878146761</v>
      </c>
      <c r="E21" s="367">
        <v>0</v>
      </c>
      <c r="F21" s="368">
        <f ca="1">E21*MIN(C31,D31)</f>
        <v>0</v>
      </c>
      <c r="G21" s="369" t="s">
        <v>1050</v>
      </c>
    </row>
    <row r="22" spans="1:7" x14ac:dyDescent="0.3">
      <c r="A22" s="374" t="s">
        <v>487</v>
      </c>
      <c r="B22" s="166" t="s">
        <v>408</v>
      </c>
      <c r="C22" s="384">
        <v>0</v>
      </c>
      <c r="D22" s="385">
        <f>D65</f>
        <v>0.17099999999999999</v>
      </c>
      <c r="E22" s="371"/>
      <c r="F22" s="371"/>
      <c r="G22" s="620"/>
    </row>
    <row r="23" spans="1:7" ht="45.75" customHeight="1" x14ac:dyDescent="0.3">
      <c r="A23" s="374" t="s">
        <v>488</v>
      </c>
      <c r="B23" s="166" t="s">
        <v>409</v>
      </c>
      <c r="C23" s="384">
        <v>0</v>
      </c>
      <c r="D23" s="384">
        <f>C43</f>
        <v>1.0345698878146761</v>
      </c>
      <c r="E23" s="371"/>
      <c r="F23" s="371"/>
      <c r="G23" s="620"/>
    </row>
    <row r="24" spans="1:7" ht="195" x14ac:dyDescent="0.3">
      <c r="A24" s="374">
        <v>2</v>
      </c>
      <c r="B24" s="166" t="s">
        <v>412</v>
      </c>
      <c r="C24" s="370">
        <f>D70</f>
        <v>67.204545351986638</v>
      </c>
      <c r="D24" s="370">
        <v>40</v>
      </c>
      <c r="E24" s="371"/>
      <c r="F24" s="368">
        <f>INDEX('Leakage assessment'!B5:B21,MATCH(B58,'Leakage assessment'!A5:A21,0))</f>
        <v>0</v>
      </c>
      <c r="G24" s="369" t="s">
        <v>1013</v>
      </c>
    </row>
    <row r="25" spans="1:7" x14ac:dyDescent="0.3">
      <c r="A25" s="374">
        <v>3</v>
      </c>
      <c r="B25" s="166" t="s">
        <v>413</v>
      </c>
      <c r="C25" s="371"/>
      <c r="D25" s="370">
        <v>0</v>
      </c>
      <c r="E25" s="371"/>
      <c r="F25" s="367">
        <v>0</v>
      </c>
      <c r="G25" s="366" t="s">
        <v>489</v>
      </c>
    </row>
    <row r="26" spans="1:7" x14ac:dyDescent="0.3">
      <c r="A26" s="374">
        <v>4</v>
      </c>
      <c r="B26" s="166" t="s">
        <v>415</v>
      </c>
      <c r="C26" s="371"/>
      <c r="D26" s="370">
        <v>10</v>
      </c>
      <c r="E26" s="371"/>
      <c r="F26" s="367">
        <f>10*(100%-C34)</f>
        <v>9.5</v>
      </c>
      <c r="G26" s="369" t="s">
        <v>1051</v>
      </c>
    </row>
    <row r="27" spans="1:7" ht="15.75" thickBot="1" x14ac:dyDescent="0.35">
      <c r="A27" s="375">
        <v>5</v>
      </c>
      <c r="B27" s="376" t="s">
        <v>416</v>
      </c>
      <c r="C27" s="377"/>
      <c r="D27" s="378">
        <v>0</v>
      </c>
      <c r="E27" s="377"/>
      <c r="F27" s="378">
        <v>0</v>
      </c>
      <c r="G27" s="376" t="s">
        <v>489</v>
      </c>
    </row>
    <row r="28" spans="1:7" ht="15.75" thickBot="1" x14ac:dyDescent="0.35">
      <c r="B28" s="379" t="s">
        <v>313</v>
      </c>
      <c r="C28" s="380">
        <f>SUM(C21,C24)</f>
        <v>67.204545351986638</v>
      </c>
      <c r="D28" s="380">
        <f>SUM(D22:D27)</f>
        <v>51.205569887814676</v>
      </c>
      <c r="E28" s="380">
        <f>SUM(E21)</f>
        <v>0</v>
      </c>
      <c r="F28" s="380">
        <f ca="1">SUM(F21:F27)</f>
        <v>9.5</v>
      </c>
      <c r="G28" s="381"/>
    </row>
    <row r="29" spans="1:7" x14ac:dyDescent="0.3">
      <c r="B29" s="71"/>
      <c r="C29" s="318"/>
      <c r="D29" s="318"/>
      <c r="E29" s="317"/>
      <c r="F29" s="318"/>
      <c r="G29" s="70"/>
    </row>
    <row r="30" spans="1:7" ht="30.75" thickBot="1" x14ac:dyDescent="0.35">
      <c r="B30" s="172" t="s">
        <v>490</v>
      </c>
      <c r="C30" s="386" t="s">
        <v>491</v>
      </c>
      <c r="D30" s="386" t="s">
        <v>492</v>
      </c>
      <c r="E30" s="319"/>
      <c r="F30" s="320"/>
      <c r="G30" s="70"/>
    </row>
    <row r="31" spans="1:7" x14ac:dyDescent="0.3">
      <c r="B31" s="387" t="s">
        <v>418</v>
      </c>
      <c r="C31" s="388">
        <f>IFERROR(D21/C21,0)</f>
        <v>0</v>
      </c>
      <c r="D31" s="389">
        <f ca="1">'Unit costs'!B3</f>
        <v>1.2</v>
      </c>
      <c r="E31" s="319"/>
      <c r="F31" s="320"/>
      <c r="G31" s="65"/>
    </row>
    <row r="32" spans="1:7" ht="15.75" thickBot="1" x14ac:dyDescent="0.35">
      <c r="B32" s="390" t="s">
        <v>420</v>
      </c>
      <c r="C32" s="391">
        <f>D24/C24</f>
        <v>0.59519783655254732</v>
      </c>
      <c r="D32" s="392">
        <f ca="1">'Unit costs'!B4</f>
        <v>2.0302304832713758</v>
      </c>
      <c r="E32" s="319"/>
      <c r="F32" s="320"/>
      <c r="G32" s="65"/>
    </row>
    <row r="33" spans="1:9" ht="15.75" thickBot="1" x14ac:dyDescent="0.35">
      <c r="B33" s="16"/>
      <c r="C33" s="182"/>
      <c r="D33" s="182"/>
      <c r="E33" s="319"/>
      <c r="F33" s="320"/>
      <c r="G33" s="65"/>
    </row>
    <row r="34" spans="1:9" ht="15.75" thickBot="1" x14ac:dyDescent="0.35">
      <c r="B34" s="393" t="s">
        <v>747</v>
      </c>
      <c r="C34" s="439">
        <v>0.05</v>
      </c>
      <c r="D34" s="339"/>
      <c r="E34" s="319"/>
      <c r="F34" s="320"/>
      <c r="G34" s="70"/>
    </row>
    <row r="35" spans="1:9" x14ac:dyDescent="0.3">
      <c r="B35" s="20"/>
      <c r="C35" s="69"/>
      <c r="D35" s="16"/>
      <c r="E35" s="22"/>
      <c r="F35" s="16"/>
      <c r="G35" s="70"/>
    </row>
    <row r="36" spans="1:9" x14ac:dyDescent="0.3">
      <c r="B36" s="66" t="s">
        <v>303</v>
      </c>
    </row>
    <row r="37" spans="1:9" ht="15.75" x14ac:dyDescent="0.3">
      <c r="A37" s="331">
        <v>1</v>
      </c>
      <c r="B37" s="335" t="s">
        <v>411</v>
      </c>
      <c r="C37" s="348"/>
      <c r="D37" s="348"/>
      <c r="E37" s="348"/>
      <c r="F37" s="348"/>
      <c r="G37" s="348"/>
      <c r="H37" s="218"/>
      <c r="I37" s="218"/>
    </row>
    <row r="38" spans="1:9" ht="15.75" x14ac:dyDescent="0.3">
      <c r="C38" s="348"/>
      <c r="D38" s="348"/>
      <c r="E38" s="348"/>
      <c r="F38" s="348"/>
      <c r="G38" s="348"/>
      <c r="H38" s="218"/>
      <c r="I38" s="218"/>
    </row>
    <row r="39" spans="1:9" x14ac:dyDescent="0.3">
      <c r="A39" s="44" t="s">
        <v>487</v>
      </c>
      <c r="B39" s="335" t="s">
        <v>408</v>
      </c>
    </row>
    <row r="40" spans="1:9" ht="39.75" customHeight="1" x14ac:dyDescent="0.3">
      <c r="A40" s="331"/>
      <c r="B40" s="717" t="s">
        <v>469</v>
      </c>
      <c r="C40" s="717"/>
      <c r="D40" s="717"/>
      <c r="E40" s="717"/>
      <c r="F40" s="717"/>
      <c r="G40" s="717"/>
    </row>
    <row r="41" spans="1:9" x14ac:dyDescent="0.3">
      <c r="A41" s="331"/>
      <c r="B41" s="70"/>
      <c r="C41" s="348"/>
      <c r="D41" s="348"/>
      <c r="E41" s="348"/>
      <c r="F41" s="348"/>
      <c r="G41" s="348"/>
    </row>
    <row r="42" spans="1:9" ht="15.75" x14ac:dyDescent="0.3">
      <c r="A42" s="331" t="s">
        <v>488</v>
      </c>
      <c r="B42" s="335" t="s">
        <v>409</v>
      </c>
      <c r="C42" s="348"/>
      <c r="D42" s="348"/>
      <c r="E42" s="348"/>
      <c r="F42" s="348"/>
      <c r="G42" s="348"/>
      <c r="H42" s="218"/>
      <c r="I42" s="218"/>
    </row>
    <row r="43" spans="1:9" ht="15.75" x14ac:dyDescent="0.3">
      <c r="A43" s="331"/>
      <c r="B43" s="16" t="s">
        <v>775</v>
      </c>
      <c r="C43" s="428">
        <v>1.0345698878146761</v>
      </c>
      <c r="D43" s="70" t="s">
        <v>776</v>
      </c>
      <c r="E43" s="464"/>
      <c r="F43" s="464"/>
      <c r="G43" s="464"/>
      <c r="H43" s="218"/>
      <c r="I43" s="218"/>
    </row>
    <row r="44" spans="1:9" ht="15.75" x14ac:dyDescent="0.3">
      <c r="A44" s="331"/>
      <c r="B44" s="70"/>
      <c r="C44" s="348"/>
      <c r="D44" s="348"/>
      <c r="E44" s="348"/>
      <c r="F44" s="348"/>
      <c r="G44" s="348"/>
      <c r="H44" s="218"/>
      <c r="I44" s="218"/>
    </row>
    <row r="45" spans="1:9" ht="15.75" x14ac:dyDescent="0.3">
      <c r="A45" s="331">
        <v>2</v>
      </c>
      <c r="B45" s="335" t="s">
        <v>412</v>
      </c>
      <c r="C45" s="348"/>
      <c r="D45" s="348"/>
      <c r="E45" s="348"/>
      <c r="F45" s="348"/>
      <c r="G45" s="348"/>
      <c r="H45" s="218"/>
      <c r="I45" s="218"/>
    </row>
    <row r="46" spans="1:9" ht="15.75" x14ac:dyDescent="0.3">
      <c r="A46" s="331"/>
      <c r="B46" s="71"/>
      <c r="C46" s="348"/>
      <c r="D46" s="348"/>
      <c r="E46" s="348"/>
      <c r="F46" s="348"/>
      <c r="G46" s="348"/>
      <c r="H46" s="218"/>
      <c r="I46" s="218"/>
    </row>
    <row r="47" spans="1:9" ht="15.75" x14ac:dyDescent="0.3">
      <c r="A47" s="331"/>
      <c r="B47" s="70"/>
      <c r="C47" s="348"/>
      <c r="D47" s="348"/>
      <c r="E47" s="348"/>
      <c r="F47" s="348"/>
      <c r="G47" s="348"/>
      <c r="H47" s="218"/>
      <c r="I47" s="218"/>
    </row>
    <row r="48" spans="1:9" ht="15.75" x14ac:dyDescent="0.3">
      <c r="A48" s="331">
        <v>3</v>
      </c>
      <c r="B48" s="335" t="s">
        <v>413</v>
      </c>
      <c r="C48" s="348"/>
      <c r="D48" s="348"/>
      <c r="E48" s="348"/>
      <c r="F48" s="348"/>
      <c r="G48" s="348"/>
      <c r="H48" s="218"/>
      <c r="I48" s="218"/>
    </row>
    <row r="49" spans="1:9" ht="15.75" x14ac:dyDescent="0.3">
      <c r="A49" s="331"/>
      <c r="B49" s="70" t="s">
        <v>489</v>
      </c>
      <c r="C49" s="348"/>
      <c r="D49" s="348"/>
      <c r="E49" s="348"/>
      <c r="F49" s="348"/>
      <c r="G49" s="348"/>
      <c r="H49" s="218"/>
      <c r="I49" s="218"/>
    </row>
    <row r="50" spans="1:9" ht="15.75" x14ac:dyDescent="0.3">
      <c r="A50" s="331"/>
      <c r="B50" s="70"/>
      <c r="C50" s="348"/>
      <c r="D50" s="348"/>
      <c r="E50" s="348"/>
      <c r="F50" s="348"/>
      <c r="G50" s="348"/>
      <c r="H50" s="218"/>
      <c r="I50" s="218"/>
    </row>
    <row r="51" spans="1:9" x14ac:dyDescent="0.3">
      <c r="A51" s="338">
        <v>4</v>
      </c>
      <c r="B51" s="328" t="s">
        <v>415</v>
      </c>
      <c r="C51" s="73"/>
      <c r="D51" s="73"/>
      <c r="E51" s="76"/>
      <c r="F51" s="4"/>
      <c r="G51" s="4"/>
    </row>
    <row r="52" spans="1:9" ht="45" customHeight="1" x14ac:dyDescent="0.3">
      <c r="A52" s="338"/>
      <c r="B52" s="718" t="s">
        <v>779</v>
      </c>
      <c r="C52" s="718"/>
      <c r="D52" s="718"/>
      <c r="E52" s="718"/>
      <c r="F52" s="718"/>
      <c r="G52" s="718"/>
    </row>
    <row r="53" spans="1:9" s="21" customFormat="1" x14ac:dyDescent="0.3">
      <c r="A53" s="44"/>
      <c r="B53" s="180"/>
      <c r="C53" s="180"/>
      <c r="D53" s="180"/>
      <c r="E53" s="180"/>
      <c r="F53" s="180"/>
      <c r="G53" s="180"/>
    </row>
    <row r="54" spans="1:9" s="21" customFormat="1" ht="15.75" x14ac:dyDescent="0.3">
      <c r="A54" s="338">
        <v>5</v>
      </c>
      <c r="B54" s="328" t="str">
        <f>B25</f>
        <v>Long-term enhancement</v>
      </c>
      <c r="C54" s="347"/>
      <c r="D54" s="347"/>
      <c r="E54" s="347"/>
      <c r="F54" s="347"/>
      <c r="G54" s="347"/>
      <c r="H54" s="218"/>
      <c r="I54" s="218"/>
    </row>
    <row r="55" spans="1:9" s="21" customFormat="1" ht="15.75" x14ac:dyDescent="0.3">
      <c r="A55" s="338"/>
      <c r="B55" s="70" t="s">
        <v>493</v>
      </c>
      <c r="C55" s="347"/>
      <c r="D55" s="347"/>
      <c r="E55" s="347"/>
      <c r="F55" s="347"/>
      <c r="G55" s="347"/>
      <c r="H55" s="218"/>
      <c r="I55" s="218"/>
    </row>
    <row r="56" spans="1:9" s="21" customFormat="1" ht="15.75" x14ac:dyDescent="0.3">
      <c r="A56" s="338"/>
      <c r="B56" s="70"/>
      <c r="C56" s="347"/>
      <c r="D56" s="347"/>
      <c r="E56" s="347"/>
      <c r="F56" s="347"/>
      <c r="G56" s="347"/>
      <c r="H56" s="218"/>
      <c r="I56" s="218"/>
    </row>
    <row r="57" spans="1:9" ht="15.75" x14ac:dyDescent="0.3">
      <c r="A57" s="44">
        <v>6</v>
      </c>
      <c r="B57" s="328" t="s">
        <v>494</v>
      </c>
      <c r="C57" s="180"/>
      <c r="D57" s="180"/>
      <c r="E57" s="180"/>
      <c r="F57" s="180"/>
      <c r="G57" s="180"/>
      <c r="H57" s="218"/>
      <c r="I57" s="218"/>
    </row>
    <row r="58" spans="1:9" ht="15.75" thickBot="1" x14ac:dyDescent="0.35">
      <c r="B58" s="2" t="str">
        <f>C9</f>
        <v>NWT</v>
      </c>
      <c r="E58" s="43"/>
    </row>
    <row r="59" spans="1:9" x14ac:dyDescent="0.3">
      <c r="B59" s="153" t="s">
        <v>495</v>
      </c>
      <c r="C59" s="154"/>
      <c r="D59" s="156" t="s">
        <v>393</v>
      </c>
      <c r="E59" s="158" t="s">
        <v>394</v>
      </c>
      <c r="F59" s="68" t="s">
        <v>395</v>
      </c>
      <c r="G59" s="340" t="s">
        <v>385</v>
      </c>
    </row>
    <row r="60" spans="1:9" x14ac:dyDescent="0.3">
      <c r="B60" s="85" t="s">
        <v>396</v>
      </c>
      <c r="C60" s="71" t="s">
        <v>25</v>
      </c>
      <c r="D60" s="175">
        <f t="shared" ref="D60:F61" si="0">D64+D68</f>
        <v>50.000599999999999</v>
      </c>
      <c r="E60" s="175">
        <f t="shared" si="0"/>
        <v>0</v>
      </c>
      <c r="F60" s="175">
        <f t="shared" si="0"/>
        <v>50.000599999999999</v>
      </c>
      <c r="G60" s="36" t="str">
        <f>IF(ABS(SUM(D60,E60)-F60)&lt;0.001,"OK","ERROR")</f>
        <v>OK</v>
      </c>
    </row>
    <row r="61" spans="1:9" x14ac:dyDescent="0.3">
      <c r="B61" s="155" t="s">
        <v>397</v>
      </c>
      <c r="C61" s="71" t="s">
        <v>25</v>
      </c>
      <c r="D61" s="175">
        <f t="shared" si="0"/>
        <v>1.2055698878146761</v>
      </c>
      <c r="E61" s="175">
        <f t="shared" si="0"/>
        <v>0</v>
      </c>
      <c r="F61" s="175">
        <f t="shared" si="0"/>
        <v>1.2055698878146761</v>
      </c>
      <c r="G61" s="36" t="str">
        <f>IF(ABS(SUM(D61,E61)-F61)&lt;0.001,"OK","ERROR")</f>
        <v>OK</v>
      </c>
    </row>
    <row r="62" spans="1:9" x14ac:dyDescent="0.3">
      <c r="B62" s="85" t="s">
        <v>398</v>
      </c>
      <c r="C62" s="71" t="s">
        <v>93</v>
      </c>
      <c r="D62" s="175">
        <f>D66+D70</f>
        <v>67.204545351986638</v>
      </c>
      <c r="E62" s="175" t="s">
        <v>341</v>
      </c>
      <c r="F62" s="175">
        <f>D62</f>
        <v>67.204545351986638</v>
      </c>
      <c r="G62" s="36" t="str">
        <f>IF(ABS(SUM(D62,E62)-F62)&lt;0.001,"OK","ERROR")</f>
        <v>OK</v>
      </c>
    </row>
    <row r="63" spans="1:9" x14ac:dyDescent="0.3">
      <c r="B63" s="34"/>
      <c r="C63" s="16"/>
      <c r="D63" s="177"/>
      <c r="E63" s="177"/>
      <c r="F63" s="177"/>
      <c r="G63" s="36"/>
    </row>
    <row r="64" spans="1:9" x14ac:dyDescent="0.3">
      <c r="B64" s="85" t="s">
        <v>399</v>
      </c>
      <c r="C64" s="71" t="s">
        <v>25</v>
      </c>
      <c r="D64" s="175">
        <f>INDEX(Analysis!H$101:H$117,MATCH($B$58,Analysis!$B$101:$B$117,0))</f>
        <v>0</v>
      </c>
      <c r="E64" s="175">
        <f>INDEX(Analysis!I$101:I$117,MATCH($B$58,Analysis!$B$101:$B$117,0))</f>
        <v>0</v>
      </c>
      <c r="F64" s="175">
        <f>SUM(D64:E64)</f>
        <v>0</v>
      </c>
      <c r="G64" s="36" t="str">
        <f>IF(ABS(SUM(D64,E64)-F64)&lt;0.001,"OK","ERROR")</f>
        <v>OK</v>
      </c>
    </row>
    <row r="65" spans="1:7" x14ac:dyDescent="0.3">
      <c r="A65" s="223"/>
      <c r="B65" s="155" t="s">
        <v>400</v>
      </c>
      <c r="C65" s="157" t="s">
        <v>25</v>
      </c>
      <c r="D65" s="176">
        <f>INDEX(Analysis!H$150:H$166,MATCH($B$58,Analysis!$B$150:$B$166,0))</f>
        <v>0.17099999999999999</v>
      </c>
      <c r="E65" s="176">
        <f>INDEX(Analysis!I$150:I$166,MATCH($B$58,Analysis!$B$150:$B$166,0))</f>
        <v>0</v>
      </c>
      <c r="F65" s="175">
        <f>SUM(D65:E65)</f>
        <v>0.17099999999999999</v>
      </c>
      <c r="G65" s="36" t="str">
        <f>IF(ABS(SUM(D65,E65)-F65)&lt;0.001,"OK","ERROR")</f>
        <v>OK</v>
      </c>
    </row>
    <row r="66" spans="1:7" s="211" customFormat="1" x14ac:dyDescent="0.3">
      <c r="A66" s="223"/>
      <c r="B66" s="85" t="s">
        <v>401</v>
      </c>
      <c r="C66" s="71" t="s">
        <v>93</v>
      </c>
      <c r="D66" s="175">
        <f>INDEX(Analysis!$H$26:$H$42,MATCH($B$58,Analysis!$B$26:$B$42,0))</f>
        <v>0</v>
      </c>
      <c r="E66" s="175" t="s">
        <v>341</v>
      </c>
      <c r="F66" s="175">
        <f>D66</f>
        <v>0</v>
      </c>
      <c r="G66" s="36" t="str">
        <f>IF(ABS(SUM(D66,E66)-F66)&lt;0.001,"OK","ERROR")</f>
        <v>OK</v>
      </c>
    </row>
    <row r="67" spans="1:7" s="211" customFormat="1" x14ac:dyDescent="0.3">
      <c r="A67" s="223"/>
      <c r="B67" s="34"/>
      <c r="C67" s="16"/>
      <c r="D67" s="177"/>
      <c r="E67" s="177"/>
      <c r="F67" s="177"/>
      <c r="G67" s="36"/>
    </row>
    <row r="68" spans="1:7" s="211" customFormat="1" x14ac:dyDescent="0.3">
      <c r="A68" s="223"/>
      <c r="B68" s="85" t="s">
        <v>402</v>
      </c>
      <c r="C68" s="71" t="s">
        <v>403</v>
      </c>
      <c r="D68" s="175">
        <f>INDEX(Analysis!H$125:H$141,MATCH($B$58,Analysis!$B$125:$B$141,0))</f>
        <v>50.000599999999999</v>
      </c>
      <c r="E68" s="175">
        <f>INDEX(Analysis!I$125:I$141,MATCH($B$58,Analysis!$B$125:$B$141,0))</f>
        <v>0</v>
      </c>
      <c r="F68" s="175">
        <f>SUM(D68:E68)</f>
        <v>50.000599999999999</v>
      </c>
      <c r="G68" s="36" t="str">
        <f>IF(ABS(SUM(D68,E68)-F68)&lt;0.001,"OK","ERROR")</f>
        <v>OK</v>
      </c>
    </row>
    <row r="69" spans="1:7" s="211" customFormat="1" x14ac:dyDescent="0.3">
      <c r="A69" s="223"/>
      <c r="B69" s="155" t="s">
        <v>404</v>
      </c>
      <c r="C69" s="71" t="s">
        <v>403</v>
      </c>
      <c r="D69" s="176">
        <f>INDEX(Analysis!H$175:H$191,MATCH($B$58,Analysis!$B$175:$B$191,0))</f>
        <v>1.0345698878146761</v>
      </c>
      <c r="E69" s="176">
        <f>INDEX(Analysis!I$175:I$191,MATCH($B$58,Analysis!$B$175:$B$191,0))</f>
        <v>0</v>
      </c>
      <c r="F69" s="175">
        <f>SUM(D69:E69)</f>
        <v>1.0345698878146761</v>
      </c>
      <c r="G69" s="36" t="str">
        <f>IF(ABS(SUM(D69,E69)-F69)&lt;0.001,"OK","ERROR")</f>
        <v>OK</v>
      </c>
    </row>
    <row r="70" spans="1:7" s="211" customFormat="1" ht="15.75" thickBot="1" x14ac:dyDescent="0.35">
      <c r="A70" s="223"/>
      <c r="B70" s="151" t="s">
        <v>405</v>
      </c>
      <c r="C70" s="74" t="s">
        <v>93</v>
      </c>
      <c r="D70" s="178">
        <f>INDEX(Analysis!$H$51:$H$67,MATCH($B$58,Analysis!$B$51:$B$67,0))</f>
        <v>67.204545351986638</v>
      </c>
      <c r="E70" s="178" t="s">
        <v>341</v>
      </c>
      <c r="F70" s="178">
        <f>D70</f>
        <v>67.204545351986638</v>
      </c>
      <c r="G70" s="37" t="str">
        <f>IF(ABS(SUM(D70,E70)-F70)&lt;0.001,"OK","ERROR")</f>
        <v>OK</v>
      </c>
    </row>
    <row r="71" spans="1:7" s="211" customFormat="1" x14ac:dyDescent="0.3">
      <c r="A71" s="44"/>
      <c r="B71" s="2"/>
      <c r="C71" s="2"/>
      <c r="D71" s="2"/>
      <c r="E71" s="38"/>
      <c r="F71" s="2"/>
      <c r="G71" s="2"/>
    </row>
  </sheetData>
  <mergeCells count="5">
    <mergeCell ref="B40:G40"/>
    <mergeCell ref="B52:G52"/>
    <mergeCell ref="C4:D4"/>
    <mergeCell ref="C5:D5"/>
    <mergeCell ref="C6:D6"/>
  </mergeCells>
  <conditionalFormatting sqref="D58 G60:G62 G64:G66 G68:G70">
    <cfRule type="cellIs" dxfId="111" priority="25" operator="equal">
      <formula>"OK"</formula>
    </cfRule>
    <cfRule type="cellIs" dxfId="110" priority="26" operator="equal">
      <formula>"ERROR"</formula>
    </cfRule>
  </conditionalFormatting>
  <conditionalFormatting sqref="F4">
    <cfRule type="cellIs" dxfId="109" priority="9" operator="equal">
      <formula>"OK"</formula>
    </cfRule>
    <cfRule type="cellIs" dxfId="108" priority="10" operator="equal">
      <formula>"ERROR"</formula>
    </cfRule>
  </conditionalFormatting>
  <conditionalFormatting sqref="F5">
    <cfRule type="cellIs" dxfId="107" priority="1" operator="equal">
      <formula>"OK"</formula>
    </cfRule>
    <cfRule type="cellIs" dxfId="106"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N126"/>
  <sheetViews>
    <sheetView topLeftCell="A89" zoomScale="90" zoomScaleNormal="90" workbookViewId="0">
      <selection activeCell="E101" sqref="E101:I103"/>
    </sheetView>
  </sheetViews>
  <sheetFormatPr defaultColWidth="8.7109375" defaultRowHeight="15" x14ac:dyDescent="0.3"/>
  <cols>
    <col min="1" max="1" width="8.85546875" style="46" customWidth="1"/>
    <col min="2" max="2" width="67.85546875" style="46" customWidth="1"/>
    <col min="3" max="3" width="17.7109375" style="46" customWidth="1"/>
    <col min="4" max="4" width="14.28515625" style="46" customWidth="1"/>
    <col min="5" max="5" width="14.28515625" style="48" customWidth="1"/>
    <col min="6" max="6" width="14.28515625" style="46" customWidth="1"/>
    <col min="7" max="7" width="59" style="46" customWidth="1"/>
    <col min="8" max="8" width="22.28515625" style="46" customWidth="1"/>
    <col min="9" max="9" width="16.28515625" style="46" customWidth="1"/>
    <col min="10" max="10" width="10.7109375" style="46" customWidth="1"/>
    <col min="11" max="11" width="47" style="46" customWidth="1"/>
    <col min="12" max="12" width="10.28515625" style="46" customWidth="1"/>
    <col min="13" max="13" width="8.28515625" style="46" customWidth="1"/>
    <col min="14" max="15" width="8.28515625" style="219" customWidth="1"/>
    <col min="16" max="23" width="8.7109375" style="219"/>
    <col min="24" max="24" width="70.85546875" style="219" customWidth="1"/>
    <col min="25" max="41" width="8.7109375" style="219"/>
    <col min="42" max="42" width="75.28515625" style="219" customWidth="1"/>
    <col min="43" max="43" width="8.7109375" style="219"/>
    <col min="44" max="44" width="19.85546875" style="219" customWidth="1"/>
    <col min="45" max="45" width="18.7109375" style="219" customWidth="1"/>
    <col min="46" max="68" width="8.7109375" style="219"/>
    <col min="69" max="69" width="15.85546875" style="219" customWidth="1"/>
    <col min="70" max="92" width="8.7109375" style="219"/>
    <col min="93" max="16384" width="8.7109375" style="46"/>
  </cols>
  <sheetData>
    <row r="1" spans="2:92" s="4" customFormat="1" ht="21.75" x14ac:dyDescent="0.3">
      <c r="B1" s="6" t="s">
        <v>766</v>
      </c>
      <c r="C1" s="1"/>
      <c r="D1" s="1"/>
      <c r="E1" s="45"/>
      <c r="F1" s="1"/>
      <c r="G1" s="2"/>
      <c r="H1" s="10"/>
      <c r="I1" s="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row>
    <row r="2" spans="2:92" s="4" customFormat="1" ht="22.5" thickBot="1" x14ac:dyDescent="0.35">
      <c r="B2" s="5"/>
      <c r="C2" s="8"/>
      <c r="D2" s="8"/>
      <c r="E2" s="38"/>
      <c r="F2" s="2"/>
      <c r="G2" s="2"/>
      <c r="H2" s="10"/>
      <c r="I2" s="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row>
    <row r="3" spans="2:92" s="4" customFormat="1" ht="22.5" thickBot="1" x14ac:dyDescent="0.35">
      <c r="B3" s="5" t="s">
        <v>1</v>
      </c>
      <c r="C3" s="8"/>
      <c r="D3" s="8"/>
      <c r="E3" s="38"/>
      <c r="F3" s="394" t="s">
        <v>385</v>
      </c>
      <c r="G3" s="2"/>
      <c r="H3" s="10"/>
      <c r="I3" s="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row>
    <row r="4" spans="2:92" s="2" customFormat="1" x14ac:dyDescent="0.3">
      <c r="B4" s="354" t="s">
        <v>471</v>
      </c>
      <c r="C4" s="711" t="s">
        <v>387</v>
      </c>
      <c r="D4" s="712"/>
      <c r="E4" s="38"/>
      <c r="F4" s="395" t="str">
        <f>IF(ABS(ROUND(C10,3)-ROUND((F110+F111),3))=0,"OK","ERROR")</f>
        <v>OK</v>
      </c>
      <c r="G4" s="2" t="s">
        <v>472</v>
      </c>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row>
    <row r="5" spans="2:92" s="2" customFormat="1" ht="15.75" thickBot="1" x14ac:dyDescent="0.35">
      <c r="B5" s="355" t="s">
        <v>388</v>
      </c>
      <c r="C5" s="713">
        <v>43616</v>
      </c>
      <c r="D5" s="714"/>
      <c r="E5" s="38"/>
      <c r="F5" s="396" t="str">
        <f>IF(ABS(ROUND(D28,3)-ROUND((C10),3))=0,"OK","ERROR")</f>
        <v>OK</v>
      </c>
      <c r="G5" s="2" t="s">
        <v>473</v>
      </c>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row>
    <row r="6" spans="2:92" s="2" customFormat="1" ht="15.75" thickBot="1" x14ac:dyDescent="0.35">
      <c r="B6" s="356" t="s">
        <v>389</v>
      </c>
      <c r="C6" s="715" t="s">
        <v>932</v>
      </c>
      <c r="D6" s="716"/>
      <c r="E6" s="38"/>
      <c r="F6" s="15"/>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row>
    <row r="7" spans="2:92" s="2" customFormat="1" x14ac:dyDescent="0.3">
      <c r="B7" s="16"/>
      <c r="C7" s="16"/>
      <c r="D7" s="17"/>
      <c r="E7" s="38"/>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row>
    <row r="8" spans="2:92" s="2" customFormat="1" ht="15.75" thickBot="1" x14ac:dyDescent="0.35">
      <c r="B8" s="5" t="s">
        <v>6</v>
      </c>
      <c r="E8" s="38"/>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row>
    <row r="9" spans="2:92" s="2" customFormat="1" x14ac:dyDescent="0.3">
      <c r="B9" s="357" t="s">
        <v>312</v>
      </c>
      <c r="C9" s="360" t="s">
        <v>30</v>
      </c>
      <c r="D9" s="403"/>
      <c r="E9" s="38"/>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row>
    <row r="10" spans="2:92" s="2" customFormat="1" x14ac:dyDescent="0.3">
      <c r="B10" s="358" t="s">
        <v>474</v>
      </c>
      <c r="C10" s="361">
        <f>INDEX(Analysis!L5:L21,MATCH(C9,Analysis!B5:B21,0))</f>
        <v>227.13100000000003</v>
      </c>
      <c r="D10" s="5"/>
      <c r="E10" s="38"/>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row>
    <row r="11" spans="2:92" s="2" customFormat="1" x14ac:dyDescent="0.3">
      <c r="B11" s="358" t="s">
        <v>475</v>
      </c>
      <c r="C11" s="361">
        <v>0</v>
      </c>
      <c r="D11" s="15"/>
      <c r="E11" s="63"/>
      <c r="G11" s="15"/>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row>
    <row r="12" spans="2:92" s="2" customFormat="1" x14ac:dyDescent="0.3">
      <c r="B12" s="358" t="s">
        <v>476</v>
      </c>
      <c r="C12" s="362">
        <f>C10+C11</f>
        <v>227.13100000000003</v>
      </c>
      <c r="D12" s="15"/>
      <c r="E12" s="63"/>
      <c r="G12" s="15"/>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row>
    <row r="13" spans="2:92" s="2" customFormat="1" x14ac:dyDescent="0.3">
      <c r="B13" s="358" t="s">
        <v>477</v>
      </c>
      <c r="C13" s="362">
        <v>0</v>
      </c>
      <c r="D13" s="15"/>
      <c r="E13" s="63"/>
      <c r="G13" s="15"/>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row>
    <row r="14" spans="2:92" s="2" customFormat="1" ht="15.75" thickBot="1" x14ac:dyDescent="0.35">
      <c r="B14" s="359" t="s">
        <v>478</v>
      </c>
      <c r="C14" s="363">
        <f ca="1">F28</f>
        <v>175.25223973720054</v>
      </c>
      <c r="D14" s="15"/>
      <c r="E14" s="63"/>
      <c r="G14" s="15"/>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row>
    <row r="15" spans="2:92" s="2" customFormat="1" x14ac:dyDescent="0.3">
      <c r="B15" s="337"/>
      <c r="C15" s="15"/>
      <c r="D15" s="15"/>
      <c r="E15" s="63"/>
      <c r="G15" s="15"/>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row>
    <row r="16" spans="2:92" s="2" customFormat="1" ht="15.75" thickBot="1" x14ac:dyDescent="0.35">
      <c r="B16" s="5" t="s">
        <v>391</v>
      </c>
      <c r="C16" s="82"/>
      <c r="E16" s="38"/>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row>
    <row r="17" spans="1:92" s="2" customFormat="1" ht="16.5" thickBot="1" x14ac:dyDescent="0.35">
      <c r="B17" s="364" t="s">
        <v>479</v>
      </c>
      <c r="C17" s="365">
        <f ca="1">C13+C14</f>
        <v>175.25223973720054</v>
      </c>
      <c r="D17" s="5"/>
      <c r="E17" s="38"/>
      <c r="J17" s="187"/>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row>
    <row r="18" spans="1:92" s="2" customFormat="1" x14ac:dyDescent="0.3">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row>
    <row r="19" spans="1:92" s="2" customFormat="1" ht="16.5" customHeight="1" thickBot="1" x14ac:dyDescent="0.35">
      <c r="A19" s="44"/>
      <c r="B19" s="172" t="s">
        <v>480</v>
      </c>
      <c r="C19" s="35"/>
      <c r="D19" s="16"/>
      <c r="E19" s="22"/>
      <c r="F19" s="40"/>
      <c r="G19" s="64"/>
    </row>
    <row r="20" spans="1:92" s="31" customFormat="1" ht="45" x14ac:dyDescent="0.3">
      <c r="A20" s="372" t="s">
        <v>481</v>
      </c>
      <c r="B20" s="373" t="s">
        <v>482</v>
      </c>
      <c r="C20" s="382" t="s">
        <v>483</v>
      </c>
      <c r="D20" s="382" t="s">
        <v>484</v>
      </c>
      <c r="E20" s="382" t="s">
        <v>485</v>
      </c>
      <c r="F20" s="382" t="s">
        <v>486</v>
      </c>
      <c r="G20" s="470" t="s">
        <v>340</v>
      </c>
      <c r="H20" s="224"/>
      <c r="I20" s="224"/>
      <c r="J20" s="224"/>
      <c r="K20" s="224"/>
      <c r="L20" s="224"/>
      <c r="M20" s="224"/>
      <c r="N20" s="224"/>
      <c r="O20" s="224"/>
      <c r="P20" s="224"/>
      <c r="Q20" s="224"/>
      <c r="R20" s="224"/>
      <c r="S20" s="224"/>
      <c r="T20" s="224"/>
      <c r="U20" s="224"/>
      <c r="V20" s="224"/>
      <c r="W20" s="224"/>
      <c r="X20" s="224"/>
      <c r="Y20" s="224"/>
    </row>
    <row r="21" spans="1:92" s="2" customFormat="1" ht="30" customHeight="1" x14ac:dyDescent="0.3">
      <c r="A21" s="374">
        <v>1</v>
      </c>
      <c r="B21" s="166" t="s">
        <v>411</v>
      </c>
      <c r="C21" s="367">
        <f>SUM(C22:C23)</f>
        <v>47.68</v>
      </c>
      <c r="D21" s="367">
        <f>SUM(D22:D23)</f>
        <v>53.167999999999992</v>
      </c>
      <c r="E21" s="367">
        <f>C22+C23</f>
        <v>47.68</v>
      </c>
      <c r="F21" s="368">
        <f ca="1">E21*MIN(C31,D31)</f>
        <v>53.167999999999992</v>
      </c>
      <c r="G21" s="471"/>
      <c r="H21" s="211"/>
      <c r="I21" s="211"/>
      <c r="J21" s="211"/>
      <c r="K21" s="211"/>
      <c r="L21" s="211"/>
      <c r="M21" s="211"/>
      <c r="N21" s="211"/>
      <c r="O21" s="211"/>
      <c r="P21" s="211"/>
      <c r="Q21" s="211"/>
      <c r="R21" s="211"/>
      <c r="S21" s="211"/>
      <c r="T21" s="211"/>
      <c r="U21" s="211"/>
      <c r="V21" s="211"/>
      <c r="W21" s="211"/>
      <c r="X21" s="211"/>
      <c r="Y21" s="211"/>
    </row>
    <row r="22" spans="1:92" s="2" customFormat="1" ht="30" x14ac:dyDescent="0.3">
      <c r="A22" s="560" t="s">
        <v>487</v>
      </c>
      <c r="B22" s="561" t="s">
        <v>408</v>
      </c>
      <c r="C22" s="384">
        <f>C49</f>
        <v>27.12</v>
      </c>
      <c r="D22" s="406">
        <f>C47</f>
        <v>16.757999999999999</v>
      </c>
      <c r="E22" s="371"/>
      <c r="F22" s="371"/>
      <c r="G22" s="619" t="s">
        <v>834</v>
      </c>
      <c r="H22" s="211"/>
      <c r="I22" s="211"/>
      <c r="J22" s="211"/>
      <c r="K22" s="211"/>
      <c r="L22" s="211"/>
      <c r="M22" s="211"/>
      <c r="N22" s="211"/>
      <c r="O22" s="211"/>
      <c r="P22" s="211"/>
      <c r="Q22" s="211"/>
      <c r="R22" s="211"/>
      <c r="S22" s="211"/>
      <c r="T22" s="211"/>
      <c r="U22" s="211"/>
      <c r="V22" s="211"/>
      <c r="W22" s="211"/>
      <c r="X22" s="211"/>
      <c r="Y22" s="211"/>
    </row>
    <row r="23" spans="1:92" s="2" customFormat="1" ht="30" x14ac:dyDescent="0.3">
      <c r="A23" s="560" t="s">
        <v>488</v>
      </c>
      <c r="B23" s="561" t="s">
        <v>409</v>
      </c>
      <c r="C23" s="384">
        <f>C54</f>
        <v>20.56</v>
      </c>
      <c r="D23" s="384">
        <f>C53</f>
        <v>36.409999999999997</v>
      </c>
      <c r="E23" s="371"/>
      <c r="F23" s="371"/>
      <c r="G23" s="619" t="s">
        <v>835</v>
      </c>
      <c r="H23" s="211"/>
      <c r="I23" s="211"/>
      <c r="J23" s="211"/>
      <c r="K23" s="211"/>
      <c r="L23" s="211"/>
      <c r="M23" s="211"/>
      <c r="N23" s="211"/>
      <c r="O23" s="211"/>
      <c r="P23" s="211"/>
      <c r="Q23" s="211"/>
      <c r="R23" s="211"/>
      <c r="S23" s="211"/>
      <c r="T23" s="211"/>
      <c r="U23" s="211"/>
      <c r="V23" s="211"/>
      <c r="W23" s="211"/>
      <c r="X23" s="211"/>
      <c r="Y23" s="211"/>
    </row>
    <row r="24" spans="1:92" s="2" customFormat="1" ht="171" customHeight="1" x14ac:dyDescent="0.3">
      <c r="A24" s="560">
        <v>2</v>
      </c>
      <c r="B24" s="561" t="s">
        <v>412</v>
      </c>
      <c r="C24" s="405">
        <f>C59</f>
        <v>15.79</v>
      </c>
      <c r="D24" s="405">
        <f>SUM(C57:C58)</f>
        <v>33.118000000000002</v>
      </c>
      <c r="E24" s="371"/>
      <c r="F24" s="368">
        <f>INDEX('Leakage assessment'!B5:B21,MATCH(B108,'Leakage assessment'!A5:A21,0))</f>
        <v>0</v>
      </c>
      <c r="G24" s="472" t="s">
        <v>1031</v>
      </c>
      <c r="H24" s="211"/>
      <c r="I24" s="211"/>
      <c r="J24" s="211"/>
      <c r="K24" s="211"/>
      <c r="L24" s="211"/>
      <c r="M24" s="211"/>
      <c r="N24" s="211"/>
      <c r="O24" s="211"/>
      <c r="P24" s="211"/>
      <c r="Q24" s="211"/>
      <c r="R24" s="211"/>
      <c r="S24" s="211"/>
      <c r="T24" s="211"/>
      <c r="U24" s="211"/>
      <c r="V24" s="211"/>
      <c r="W24" s="211"/>
      <c r="X24" s="211"/>
      <c r="Y24" s="211"/>
    </row>
    <row r="25" spans="1:92" s="2" customFormat="1" ht="165" x14ac:dyDescent="0.3">
      <c r="A25" s="560">
        <v>3</v>
      </c>
      <c r="B25" s="561" t="s">
        <v>413</v>
      </c>
      <c r="C25" s="371"/>
      <c r="D25" s="405">
        <f>C72</f>
        <v>76.59</v>
      </c>
      <c r="E25" s="371"/>
      <c r="F25" s="367">
        <f>C82</f>
        <v>69.513289685281393</v>
      </c>
      <c r="G25" s="472" t="s">
        <v>970</v>
      </c>
      <c r="H25" s="211"/>
      <c r="I25" s="211"/>
      <c r="J25" s="211"/>
      <c r="K25" s="211"/>
      <c r="L25" s="211"/>
      <c r="M25" s="211"/>
      <c r="N25" s="211"/>
      <c r="O25" s="211"/>
      <c r="P25" s="211"/>
      <c r="Q25" s="211"/>
      <c r="R25" s="211"/>
      <c r="S25" s="211"/>
      <c r="T25" s="211"/>
      <c r="U25" s="211"/>
      <c r="V25" s="211"/>
      <c r="W25" s="211"/>
      <c r="X25" s="211"/>
      <c r="Y25" s="211"/>
    </row>
    <row r="26" spans="1:92" s="2" customFormat="1" ht="210" x14ac:dyDescent="0.3">
      <c r="A26" s="560">
        <v>4</v>
      </c>
      <c r="B26" s="561" t="s">
        <v>415</v>
      </c>
      <c r="C26" s="371"/>
      <c r="D26" s="405">
        <f>C96</f>
        <v>56.597999999999999</v>
      </c>
      <c r="E26" s="371"/>
      <c r="F26" s="367">
        <f>D26*(100%-C34)</f>
        <v>52.570950051919162</v>
      </c>
      <c r="G26" s="474" t="s">
        <v>1052</v>
      </c>
      <c r="H26" s="211"/>
      <c r="I26" s="211"/>
      <c r="J26" s="211"/>
      <c r="K26" s="211"/>
      <c r="L26" s="211"/>
      <c r="M26" s="211"/>
      <c r="N26" s="211"/>
      <c r="O26" s="211"/>
      <c r="P26" s="211"/>
      <c r="Q26" s="211"/>
      <c r="R26" s="211"/>
      <c r="S26" s="211"/>
      <c r="T26" s="211"/>
      <c r="U26" s="211"/>
      <c r="V26" s="211"/>
      <c r="W26" s="211"/>
      <c r="X26" s="211"/>
      <c r="Y26" s="211"/>
    </row>
    <row r="27" spans="1:92" s="2" customFormat="1" ht="90.75" thickBot="1" x14ac:dyDescent="0.35">
      <c r="A27" s="562">
        <v>5</v>
      </c>
      <c r="B27" s="563" t="s">
        <v>416</v>
      </c>
      <c r="C27" s="377"/>
      <c r="D27" s="378">
        <f>C102+C103</f>
        <v>7.657</v>
      </c>
      <c r="E27" s="377"/>
      <c r="F27" s="378">
        <f>SUM(D102:D103)</f>
        <v>0</v>
      </c>
      <c r="G27" s="475" t="s">
        <v>1053</v>
      </c>
      <c r="H27" s="211"/>
      <c r="I27" s="211"/>
      <c r="J27" s="211"/>
      <c r="K27" s="211"/>
      <c r="L27" s="211"/>
      <c r="M27" s="211"/>
      <c r="N27" s="211"/>
      <c r="O27" s="211"/>
      <c r="P27" s="211"/>
      <c r="Q27" s="211"/>
      <c r="R27" s="211"/>
      <c r="S27" s="211"/>
      <c r="T27" s="211"/>
      <c r="U27" s="211"/>
      <c r="V27" s="211"/>
      <c r="W27" s="211"/>
      <c r="X27" s="211"/>
      <c r="Y27" s="211"/>
    </row>
    <row r="28" spans="1:92" s="2" customFormat="1" ht="22.5" customHeight="1" thickBot="1" x14ac:dyDescent="0.35">
      <c r="A28" s="42"/>
      <c r="B28" s="564" t="s">
        <v>313</v>
      </c>
      <c r="C28" s="426"/>
      <c r="D28" s="426">
        <f>SUM(D21,D24:D27)</f>
        <v>227.131</v>
      </c>
      <c r="E28" s="380"/>
      <c r="F28" s="380">
        <f ca="1">SUM(F21,F24:F27)</f>
        <v>175.25223973720054</v>
      </c>
      <c r="G28" s="407"/>
      <c r="H28" s="211"/>
      <c r="I28" s="211"/>
      <c r="J28" s="211"/>
      <c r="K28" s="211"/>
      <c r="L28" s="211"/>
      <c r="M28" s="211"/>
      <c r="N28" s="211"/>
      <c r="O28" s="211"/>
      <c r="P28" s="211"/>
      <c r="Q28" s="211"/>
      <c r="R28" s="211"/>
      <c r="S28" s="211"/>
      <c r="T28" s="211"/>
      <c r="U28" s="211"/>
      <c r="V28" s="211"/>
      <c r="W28" s="211"/>
      <c r="X28" s="211"/>
      <c r="Y28" s="211"/>
    </row>
    <row r="29" spans="1:92" s="2" customFormat="1" x14ac:dyDescent="0.3">
      <c r="B29" s="71"/>
      <c r="C29" s="71"/>
      <c r="D29" s="75"/>
      <c r="E29" s="70"/>
      <c r="F29" s="71"/>
      <c r="G29" s="70"/>
      <c r="H29" s="71"/>
      <c r="I29" s="211"/>
      <c r="J29" s="211"/>
      <c r="K29" s="211"/>
      <c r="L29" s="222"/>
      <c r="M29" s="222"/>
      <c r="N29" s="222"/>
      <c r="O29" s="222"/>
      <c r="P29" s="227"/>
      <c r="Q29" s="227"/>
      <c r="R29" s="227"/>
      <c r="S29" s="227"/>
      <c r="T29" s="211"/>
      <c r="U29" s="211"/>
      <c r="V29" s="211"/>
      <c r="W29" s="211"/>
      <c r="X29" s="211"/>
      <c r="Y29" s="211"/>
      <c r="Z29" s="211"/>
      <c r="AA29" s="211"/>
      <c r="AB29" s="211"/>
      <c r="AC29" s="211"/>
      <c r="AD29" s="211"/>
      <c r="AE29" s="211"/>
      <c r="AF29" s="211"/>
      <c r="AG29" s="211"/>
      <c r="AH29" s="211"/>
      <c r="AI29" s="211"/>
      <c r="AJ29" s="211"/>
      <c r="AK29" s="211"/>
      <c r="AL29" s="211"/>
      <c r="AM29" s="211"/>
      <c r="AN29" s="211"/>
    </row>
    <row r="30" spans="1:92" s="2" customFormat="1" ht="30.75" thickBot="1" x14ac:dyDescent="0.35">
      <c r="B30" s="172" t="s">
        <v>490</v>
      </c>
      <c r="C30" s="386" t="s">
        <v>491</v>
      </c>
      <c r="D30" s="386" t="s">
        <v>492</v>
      </c>
      <c r="E30" s="22"/>
      <c r="F30" s="16"/>
      <c r="G30" s="70"/>
      <c r="H30" s="71"/>
      <c r="I30" s="211"/>
      <c r="J30" s="211"/>
      <c r="K30" s="211"/>
      <c r="L30" s="222"/>
      <c r="M30" s="222"/>
      <c r="N30" s="222"/>
      <c r="O30" s="222"/>
      <c r="P30" s="227"/>
      <c r="Q30" s="227"/>
      <c r="R30" s="227"/>
      <c r="S30" s="227"/>
      <c r="T30" s="211"/>
      <c r="U30" s="211"/>
      <c r="V30" s="211"/>
      <c r="W30" s="211"/>
      <c r="X30" s="211"/>
      <c r="Y30" s="211"/>
      <c r="Z30" s="211"/>
      <c r="AA30" s="211"/>
      <c r="AB30" s="211"/>
      <c r="AC30" s="211"/>
      <c r="AD30" s="211"/>
      <c r="AE30" s="211"/>
      <c r="AF30" s="211"/>
      <c r="AG30" s="211"/>
      <c r="AH30" s="211"/>
      <c r="AI30" s="211"/>
      <c r="AJ30" s="211"/>
      <c r="AK30" s="211"/>
      <c r="AL30" s="211"/>
      <c r="AM30" s="211"/>
      <c r="AN30" s="211"/>
    </row>
    <row r="31" spans="1:92" s="2" customFormat="1" x14ac:dyDescent="0.3">
      <c r="B31" s="387" t="s">
        <v>418</v>
      </c>
      <c r="C31" s="388">
        <f>IFERROR(D21/C21,0)</f>
        <v>1.1151006711409395</v>
      </c>
      <c r="D31" s="389">
        <f ca="1">'Unit costs'!B3</f>
        <v>1.2</v>
      </c>
      <c r="E31" s="22"/>
      <c r="F31" s="16"/>
      <c r="G31" s="65"/>
      <c r="H31" s="16"/>
      <c r="I31" s="211"/>
      <c r="J31" s="211"/>
      <c r="K31" s="211"/>
      <c r="L31" s="222"/>
      <c r="M31" s="222"/>
      <c r="N31" s="222"/>
      <c r="O31" s="222"/>
      <c r="P31" s="227"/>
      <c r="Q31" s="227"/>
      <c r="R31" s="227"/>
      <c r="S31" s="227"/>
      <c r="T31" s="211"/>
      <c r="U31" s="211"/>
      <c r="V31" s="211"/>
      <c r="W31" s="211"/>
      <c r="X31" s="211"/>
      <c r="Y31" s="211"/>
      <c r="Z31" s="211"/>
      <c r="AA31" s="211"/>
      <c r="AB31" s="211"/>
      <c r="AC31" s="211"/>
      <c r="AD31" s="211"/>
      <c r="AE31" s="211"/>
      <c r="AF31" s="211"/>
      <c r="AG31" s="211"/>
      <c r="AH31" s="211"/>
      <c r="AI31" s="211"/>
      <c r="AJ31" s="211"/>
      <c r="AK31" s="211"/>
      <c r="AL31" s="211"/>
      <c r="AM31" s="211"/>
      <c r="AN31" s="211"/>
    </row>
    <row r="32" spans="1:92" s="2" customFormat="1" ht="15.75" thickBot="1" x14ac:dyDescent="0.35">
      <c r="B32" s="390" t="s">
        <v>420</v>
      </c>
      <c r="C32" s="391">
        <f>D24/C24</f>
        <v>2.0974034198860041</v>
      </c>
      <c r="D32" s="392">
        <f ca="1">'Unit costs'!B4</f>
        <v>2.0302304832713758</v>
      </c>
      <c r="E32" s="16"/>
      <c r="F32" s="16"/>
      <c r="G32" s="65"/>
      <c r="H32" s="16"/>
      <c r="I32" s="211"/>
      <c r="J32" s="211"/>
      <c r="K32" s="211"/>
      <c r="L32" s="222"/>
      <c r="M32" s="222"/>
      <c r="N32" s="222"/>
      <c r="O32" s="222"/>
      <c r="P32" s="227"/>
      <c r="Q32" s="227"/>
      <c r="R32" s="227"/>
      <c r="S32" s="227"/>
      <c r="T32" s="211"/>
      <c r="U32" s="211"/>
      <c r="V32" s="211"/>
      <c r="W32" s="211"/>
      <c r="X32" s="211"/>
      <c r="Y32" s="211"/>
      <c r="Z32" s="211"/>
      <c r="AA32" s="211"/>
      <c r="AB32" s="211"/>
      <c r="AC32" s="211"/>
      <c r="AD32" s="211"/>
      <c r="AE32" s="211"/>
      <c r="AF32" s="211"/>
      <c r="AG32" s="211"/>
      <c r="AH32" s="211"/>
      <c r="AI32" s="211"/>
      <c r="AJ32" s="211"/>
      <c r="AK32" s="211"/>
      <c r="AL32" s="211"/>
      <c r="AM32" s="211"/>
      <c r="AN32" s="211"/>
    </row>
    <row r="33" spans="1:92" s="2" customFormat="1" ht="15.75" thickBot="1" x14ac:dyDescent="0.35">
      <c r="B33" s="16"/>
      <c r="C33" s="16"/>
      <c r="D33" s="16"/>
      <c r="E33" s="16"/>
      <c r="F33" s="16"/>
      <c r="G33" s="65"/>
      <c r="H33" s="16"/>
      <c r="I33" s="211"/>
      <c r="J33" s="211"/>
      <c r="K33" s="211"/>
      <c r="L33" s="211"/>
      <c r="M33" s="211"/>
      <c r="N33" s="211"/>
      <c r="O33" s="211"/>
      <c r="P33" s="211"/>
      <c r="Q33" s="211"/>
      <c r="R33" s="211"/>
      <c r="S33" s="211"/>
      <c r="T33" s="211"/>
      <c r="U33" s="211"/>
      <c r="V33" s="211"/>
      <c r="W33" s="211"/>
      <c r="X33" s="211"/>
      <c r="Y33" s="222"/>
      <c r="Z33" s="449"/>
      <c r="AA33" s="450"/>
      <c r="AB33" s="222"/>
      <c r="AC33" s="228"/>
      <c r="AD33" s="228"/>
      <c r="AE33" s="228"/>
      <c r="AF33" s="211"/>
      <c r="AG33" s="211"/>
      <c r="AH33" s="211"/>
      <c r="AI33" s="211"/>
      <c r="AJ33" s="222"/>
      <c r="AK33" s="222"/>
      <c r="AL33" s="222"/>
      <c r="AM33" s="222"/>
      <c r="AN33" s="222"/>
      <c r="AO33" s="227"/>
      <c r="AP33" s="227"/>
      <c r="AQ33" s="227"/>
      <c r="AR33" s="227"/>
      <c r="AS33" s="211"/>
      <c r="AT33" s="211"/>
      <c r="AU33" s="211"/>
      <c r="AV33" s="211"/>
      <c r="AW33" s="211"/>
      <c r="AX33" s="211"/>
      <c r="AY33" s="211"/>
      <c r="AZ33" s="211"/>
      <c r="BA33" s="211"/>
      <c r="BB33" s="211"/>
      <c r="BC33" s="211"/>
      <c r="BD33" s="211"/>
      <c r="BE33" s="211"/>
      <c r="BF33" s="211"/>
      <c r="BG33" s="211"/>
      <c r="BH33" s="211"/>
      <c r="BI33" s="211"/>
      <c r="BJ33" s="211"/>
      <c r="BK33" s="211"/>
      <c r="BL33" s="211"/>
      <c r="BM33" s="211"/>
    </row>
    <row r="34" spans="1:92" s="2" customFormat="1" ht="15.75" thickBot="1" x14ac:dyDescent="0.35">
      <c r="B34" s="451" t="s">
        <v>747</v>
      </c>
      <c r="C34" s="452">
        <v>7.1151806567031253E-2</v>
      </c>
      <c r="D34" s="16"/>
      <c r="E34" s="16"/>
      <c r="F34" s="16"/>
      <c r="G34" s="70"/>
      <c r="H34" s="16"/>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row>
    <row r="35" spans="1:92" x14ac:dyDescent="0.3">
      <c r="B35" s="16"/>
      <c r="C35" s="16"/>
      <c r="D35" s="16"/>
      <c r="E35" s="16"/>
      <c r="I35" s="219"/>
      <c r="J35" s="219"/>
      <c r="K35" s="219"/>
      <c r="L35" s="219"/>
      <c r="M35" s="219"/>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row>
    <row r="36" spans="1:92" x14ac:dyDescent="0.3">
      <c r="B36" s="54" t="s">
        <v>303</v>
      </c>
      <c r="H36" s="189"/>
      <c r="I36" s="219"/>
      <c r="J36" s="219"/>
      <c r="K36" s="219"/>
      <c r="L36" s="219"/>
      <c r="M36" s="219"/>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row>
    <row r="37" spans="1:92" x14ac:dyDescent="0.3">
      <c r="A37" s="46">
        <v>1</v>
      </c>
      <c r="B37" s="54" t="s">
        <v>411</v>
      </c>
      <c r="C37" s="248"/>
      <c r="D37" s="248"/>
      <c r="E37" s="46"/>
      <c r="F37" s="249"/>
      <c r="G37" s="248"/>
      <c r="H37" s="248"/>
      <c r="I37" s="219"/>
      <c r="J37" s="219"/>
      <c r="K37" s="219"/>
      <c r="L37" s="219"/>
      <c r="M37" s="219"/>
      <c r="P37" s="46"/>
      <c r="AH37" s="229"/>
      <c r="AI37" s="229"/>
      <c r="AQ37" s="230"/>
      <c r="AR37" s="230"/>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row>
    <row r="38" spans="1:92" ht="15.75" x14ac:dyDescent="0.3">
      <c r="A38" s="481" t="s">
        <v>487</v>
      </c>
      <c r="B38" s="54" t="s">
        <v>959</v>
      </c>
      <c r="C38" s="2" t="s">
        <v>509</v>
      </c>
      <c r="D38" s="2"/>
      <c r="J38" s="215"/>
      <c r="K38" s="218"/>
      <c r="L38" s="218"/>
      <c r="M38" s="218"/>
      <c r="N38" s="218"/>
      <c r="O38" s="218"/>
      <c r="P38" s="218"/>
      <c r="Q38" s="209"/>
      <c r="R38" s="209"/>
      <c r="S38" s="214"/>
      <c r="T38" s="216"/>
      <c r="U38" s="216"/>
      <c r="V38" s="216"/>
      <c r="W38" s="216"/>
      <c r="X38" s="216"/>
      <c r="Y38" s="216"/>
    </row>
    <row r="39" spans="1:92" ht="15.75" x14ac:dyDescent="0.3">
      <c r="B39" s="5" t="s">
        <v>510</v>
      </c>
      <c r="C39" s="2"/>
      <c r="D39" s="2"/>
      <c r="E39" s="31"/>
      <c r="J39" s="217"/>
      <c r="K39" s="218"/>
      <c r="L39" s="218"/>
      <c r="M39" s="218"/>
      <c r="N39" s="218"/>
      <c r="O39" s="218"/>
      <c r="P39" s="218"/>
      <c r="Q39" s="209"/>
      <c r="R39" s="209"/>
      <c r="S39" s="215"/>
      <c r="T39" s="216"/>
      <c r="U39" s="216"/>
      <c r="V39" s="216"/>
      <c r="W39" s="216"/>
      <c r="X39" s="216"/>
      <c r="Y39" s="216"/>
    </row>
    <row r="40" spans="1:92" ht="15.75" x14ac:dyDescent="0.3">
      <c r="B40" s="21" t="s">
        <v>511</v>
      </c>
      <c r="C40" s="21">
        <v>3.996</v>
      </c>
      <c r="D40" s="21" t="s">
        <v>461</v>
      </c>
      <c r="E40" s="148" t="s">
        <v>512</v>
      </c>
      <c r="G40" s="148"/>
      <c r="H40" s="148"/>
      <c r="J40" s="217"/>
      <c r="K40" s="218"/>
      <c r="L40" s="218"/>
      <c r="M40" s="218"/>
      <c r="N40" s="218"/>
      <c r="O40" s="218"/>
      <c r="P40" s="218"/>
      <c r="Q40" s="209"/>
      <c r="R40" s="209"/>
      <c r="S40" s="215"/>
      <c r="T40" s="216"/>
      <c r="U40" s="216"/>
      <c r="V40" s="216"/>
      <c r="W40" s="216"/>
      <c r="X40" s="216"/>
      <c r="Y40" s="216"/>
    </row>
    <row r="41" spans="1:92" ht="15.75" x14ac:dyDescent="0.3">
      <c r="B41" s="2" t="s">
        <v>508</v>
      </c>
      <c r="C41" s="2">
        <v>0.998</v>
      </c>
      <c r="D41" s="2" t="s">
        <v>461</v>
      </c>
      <c r="E41" s="46"/>
      <c r="J41" s="212"/>
      <c r="K41" s="218"/>
      <c r="L41" s="218"/>
      <c r="M41" s="218"/>
      <c r="N41" s="218"/>
      <c r="O41" s="218"/>
      <c r="P41" s="218"/>
      <c r="Q41" s="210"/>
      <c r="R41" s="210"/>
      <c r="S41" s="214"/>
      <c r="T41" s="210"/>
      <c r="U41" s="210"/>
      <c r="V41" s="210"/>
      <c r="W41" s="210"/>
      <c r="X41" s="210"/>
      <c r="Y41" s="210"/>
    </row>
    <row r="42" spans="1:92" ht="15.75" x14ac:dyDescent="0.3">
      <c r="B42" s="2" t="s">
        <v>497</v>
      </c>
      <c r="C42" s="82">
        <v>0.61</v>
      </c>
      <c r="D42" s="2" t="s">
        <v>461</v>
      </c>
      <c r="E42" s="46"/>
      <c r="J42" s="215"/>
      <c r="K42" s="218"/>
      <c r="L42" s="218"/>
      <c r="M42" s="218"/>
      <c r="N42" s="218"/>
      <c r="O42" s="218"/>
      <c r="P42" s="218"/>
      <c r="Q42" s="210"/>
      <c r="R42" s="210"/>
      <c r="S42" s="221"/>
      <c r="T42" s="210"/>
      <c r="U42" s="210"/>
      <c r="V42" s="210"/>
      <c r="W42" s="210"/>
      <c r="X42" s="210"/>
      <c r="Y42" s="210"/>
    </row>
    <row r="43" spans="1:92" ht="15.75" x14ac:dyDescent="0.3">
      <c r="B43" s="2" t="s">
        <v>499</v>
      </c>
      <c r="C43" s="2">
        <v>3.754</v>
      </c>
      <c r="D43" s="2" t="s">
        <v>461</v>
      </c>
      <c r="E43" s="46"/>
      <c r="J43" s="217"/>
      <c r="K43" s="218"/>
      <c r="L43" s="218"/>
      <c r="M43" s="218"/>
      <c r="N43" s="218"/>
      <c r="O43" s="218"/>
      <c r="P43" s="218"/>
      <c r="Q43" s="210"/>
      <c r="R43" s="210"/>
      <c r="S43" s="217"/>
      <c r="T43" s="216"/>
      <c r="U43" s="216"/>
      <c r="V43" s="216"/>
      <c r="W43" s="216"/>
      <c r="X43" s="216"/>
      <c r="Y43" s="216"/>
    </row>
    <row r="44" spans="1:92" ht="15.75" x14ac:dyDescent="0.3">
      <c r="B44" s="2" t="s">
        <v>502</v>
      </c>
      <c r="C44" s="82">
        <v>0.61</v>
      </c>
      <c r="D44" s="2" t="s">
        <v>461</v>
      </c>
      <c r="E44" s="46"/>
      <c r="J44" s="217"/>
      <c r="K44" s="218"/>
      <c r="L44" s="218"/>
      <c r="M44" s="218"/>
      <c r="N44" s="218"/>
      <c r="O44" s="218"/>
      <c r="P44" s="218"/>
      <c r="Q44" s="210"/>
      <c r="R44" s="210"/>
      <c r="S44" s="217"/>
      <c r="T44" s="216"/>
      <c r="U44" s="216"/>
      <c r="V44" s="216"/>
      <c r="W44" s="216"/>
      <c r="X44" s="216"/>
      <c r="Y44" s="216"/>
    </row>
    <row r="45" spans="1:92" ht="15.75" x14ac:dyDescent="0.3">
      <c r="B45" s="21" t="s">
        <v>498</v>
      </c>
      <c r="C45" s="2">
        <v>3.3650000000000002</v>
      </c>
      <c r="D45" s="2" t="s">
        <v>461</v>
      </c>
      <c r="E45" s="46" t="s">
        <v>513</v>
      </c>
      <c r="J45" s="217"/>
      <c r="K45" s="218"/>
      <c r="L45" s="218"/>
      <c r="M45" s="218"/>
      <c r="N45" s="218"/>
      <c r="O45" s="218"/>
      <c r="P45" s="218"/>
      <c r="Q45" s="210"/>
      <c r="R45" s="210"/>
      <c r="S45" s="217"/>
      <c r="T45" s="216"/>
      <c r="U45" s="216"/>
      <c r="V45" s="216"/>
      <c r="W45" s="216"/>
      <c r="X45" s="216"/>
      <c r="Y45" s="216"/>
    </row>
    <row r="46" spans="1:92" ht="15.75" x14ac:dyDescent="0.3">
      <c r="B46" s="21" t="s">
        <v>500</v>
      </c>
      <c r="C46" s="2">
        <v>3.4249999999999998</v>
      </c>
      <c r="D46" s="2" t="s">
        <v>461</v>
      </c>
      <c r="E46" s="46" t="s">
        <v>513</v>
      </c>
      <c r="J46" s="217"/>
      <c r="K46" s="218"/>
      <c r="L46" s="218"/>
      <c r="M46" s="218"/>
      <c r="N46" s="218"/>
      <c r="O46" s="218"/>
      <c r="P46" s="218"/>
      <c r="Q46" s="210"/>
      <c r="R46" s="210"/>
      <c r="S46" s="217"/>
      <c r="T46" s="216"/>
      <c r="U46" s="216"/>
      <c r="V46" s="216"/>
      <c r="W46" s="216"/>
      <c r="X46" s="216"/>
      <c r="Y46" s="216"/>
    </row>
    <row r="47" spans="1:92" ht="15.75" x14ac:dyDescent="0.3">
      <c r="B47" s="5" t="s">
        <v>514</v>
      </c>
      <c r="C47" s="5">
        <f>SUM(C40:C46)</f>
        <v>16.757999999999999</v>
      </c>
      <c r="D47" s="2" t="s">
        <v>461</v>
      </c>
      <c r="E47" s="2"/>
      <c r="F47" s="2"/>
      <c r="J47" s="215"/>
      <c r="K47" s="218"/>
      <c r="L47" s="218"/>
      <c r="M47" s="218"/>
      <c r="N47" s="218"/>
      <c r="O47" s="218"/>
      <c r="P47" s="218"/>
      <c r="Q47" s="210"/>
      <c r="R47" s="210"/>
      <c r="S47" s="221"/>
      <c r="T47" s="210"/>
      <c r="U47" s="210"/>
      <c r="V47" s="210"/>
      <c r="W47" s="210"/>
      <c r="X47" s="210"/>
      <c r="Y47" s="210"/>
    </row>
    <row r="48" spans="1:92" ht="15.75" x14ac:dyDescent="0.3">
      <c r="C48" s="5"/>
      <c r="D48" s="2"/>
      <c r="E48" s="2"/>
      <c r="F48" s="2"/>
      <c r="J48" s="215"/>
      <c r="K48" s="218"/>
      <c r="L48" s="218"/>
      <c r="M48" s="218"/>
      <c r="N48" s="218"/>
      <c r="O48" s="218"/>
      <c r="P48" s="218"/>
      <c r="Q48" s="210"/>
      <c r="R48" s="210"/>
      <c r="S48" s="221"/>
      <c r="T48" s="210"/>
      <c r="U48" s="210"/>
      <c r="V48" s="210"/>
      <c r="W48" s="210"/>
      <c r="X48" s="210"/>
      <c r="Y48" s="210"/>
    </row>
    <row r="49" spans="1:25" ht="15.75" x14ac:dyDescent="0.3">
      <c r="B49" s="2" t="s">
        <v>515</v>
      </c>
      <c r="C49" s="5">
        <v>27.12</v>
      </c>
      <c r="D49" s="2" t="s">
        <v>93</v>
      </c>
      <c r="E49" s="2" t="s">
        <v>516</v>
      </c>
      <c r="J49" s="215"/>
      <c r="K49" s="218"/>
      <c r="L49" s="218"/>
      <c r="M49" s="218"/>
      <c r="N49" s="218"/>
      <c r="O49" s="218"/>
      <c r="P49" s="218"/>
      <c r="Q49" s="210"/>
      <c r="R49" s="210"/>
      <c r="S49" s="221"/>
      <c r="T49" s="210"/>
      <c r="U49" s="210"/>
      <c r="V49" s="210"/>
      <c r="W49" s="210"/>
      <c r="X49" s="210"/>
      <c r="Y49" s="210"/>
    </row>
    <row r="50" spans="1:25" ht="15.75" x14ac:dyDescent="0.3">
      <c r="B50" s="2"/>
      <c r="C50" s="2"/>
      <c r="D50" s="2"/>
      <c r="E50" s="2"/>
      <c r="F50" s="2"/>
      <c r="J50" s="217"/>
      <c r="K50" s="218"/>
      <c r="L50" s="218"/>
      <c r="M50" s="218"/>
      <c r="N50" s="218"/>
      <c r="O50" s="218"/>
      <c r="P50" s="218"/>
      <c r="Q50" s="210"/>
      <c r="R50" s="210"/>
      <c r="S50" s="217"/>
      <c r="T50" s="216"/>
      <c r="U50" s="216"/>
      <c r="V50" s="216"/>
      <c r="W50" s="216"/>
      <c r="X50" s="216"/>
      <c r="Y50" s="216"/>
    </row>
    <row r="51" spans="1:25" ht="15.75" x14ac:dyDescent="0.3">
      <c r="A51" s="497" t="s">
        <v>488</v>
      </c>
      <c r="B51" s="335" t="s">
        <v>409</v>
      </c>
      <c r="C51" s="2"/>
      <c r="D51" s="2"/>
      <c r="E51" s="2"/>
      <c r="J51" s="219"/>
      <c r="K51" s="219"/>
      <c r="L51" s="219"/>
      <c r="M51" s="219"/>
      <c r="Q51" s="210"/>
      <c r="R51" s="210"/>
    </row>
    <row r="52" spans="1:25" ht="15.75" x14ac:dyDescent="0.3">
      <c r="B52" s="5"/>
      <c r="C52" s="21"/>
      <c r="D52" s="21"/>
      <c r="E52" s="2"/>
      <c r="J52" s="219"/>
      <c r="K52" s="219"/>
      <c r="L52" s="219"/>
      <c r="M52" s="219"/>
      <c r="Q52" s="210"/>
      <c r="R52" s="210"/>
    </row>
    <row r="53" spans="1:25" ht="15.75" x14ac:dyDescent="0.3">
      <c r="B53" s="2" t="s">
        <v>851</v>
      </c>
      <c r="C53" s="5">
        <v>36.409999999999997</v>
      </c>
      <c r="D53" s="2" t="s">
        <v>462</v>
      </c>
      <c r="E53" s="2" t="s">
        <v>516</v>
      </c>
      <c r="J53" s="219"/>
      <c r="K53" s="219"/>
      <c r="L53" s="219"/>
      <c r="M53" s="219"/>
      <c r="Q53" s="210"/>
      <c r="R53" s="210"/>
    </row>
    <row r="54" spans="1:25" ht="15.75" x14ac:dyDescent="0.3">
      <c r="B54" s="2" t="s">
        <v>856</v>
      </c>
      <c r="C54" s="333">
        <v>20.56</v>
      </c>
      <c r="D54" s="21" t="s">
        <v>519</v>
      </c>
      <c r="E54" s="2" t="s">
        <v>516</v>
      </c>
      <c r="J54" s="219"/>
      <c r="K54" s="219"/>
      <c r="L54" s="219"/>
      <c r="M54" s="219"/>
      <c r="Q54" s="210"/>
      <c r="R54" s="210"/>
    </row>
    <row r="55" spans="1:25" ht="15.75" x14ac:dyDescent="0.3">
      <c r="B55" s="5"/>
      <c r="C55" s="2"/>
      <c r="D55" s="2"/>
      <c r="E55" s="2"/>
      <c r="J55" s="219"/>
      <c r="K55" s="219"/>
      <c r="L55" s="219"/>
      <c r="M55" s="219"/>
      <c r="Q55" s="210"/>
      <c r="R55" s="210"/>
    </row>
    <row r="56" spans="1:25" x14ac:dyDescent="0.3">
      <c r="A56" s="46">
        <v>2</v>
      </c>
      <c r="B56" s="54" t="s">
        <v>960</v>
      </c>
      <c r="J56" s="219"/>
      <c r="K56" s="219"/>
      <c r="L56" s="219"/>
      <c r="M56" s="219"/>
    </row>
    <row r="57" spans="1:25" x14ac:dyDescent="0.3">
      <c r="A57" s="148"/>
      <c r="B57" s="2" t="s">
        <v>971</v>
      </c>
      <c r="C57" s="82">
        <v>13.871</v>
      </c>
      <c r="D57" s="2" t="s">
        <v>461</v>
      </c>
      <c r="E57" s="2" t="s">
        <v>852</v>
      </c>
      <c r="J57" s="219"/>
      <c r="K57" s="219"/>
      <c r="L57" s="219"/>
      <c r="M57" s="219"/>
    </row>
    <row r="58" spans="1:25" x14ac:dyDescent="0.3">
      <c r="A58" s="148"/>
      <c r="B58" s="2" t="s">
        <v>343</v>
      </c>
      <c r="C58" s="2">
        <v>19.247</v>
      </c>
      <c r="D58" s="2" t="s">
        <v>461</v>
      </c>
      <c r="E58" s="2" t="s">
        <v>852</v>
      </c>
      <c r="J58" s="219"/>
      <c r="K58" s="219"/>
      <c r="L58" s="219"/>
      <c r="M58" s="219"/>
    </row>
    <row r="59" spans="1:25" x14ac:dyDescent="0.3">
      <c r="A59" s="148"/>
      <c r="B59" s="2" t="s">
        <v>465</v>
      </c>
      <c r="C59" s="82">
        <v>15.79</v>
      </c>
      <c r="D59" s="2" t="s">
        <v>93</v>
      </c>
      <c r="E59" s="2" t="s">
        <v>517</v>
      </c>
      <c r="J59" s="219"/>
      <c r="K59" s="219"/>
      <c r="L59" s="219"/>
      <c r="M59" s="219"/>
    </row>
    <row r="60" spans="1:25" x14ac:dyDescent="0.3">
      <c r="A60" s="148"/>
      <c r="B60" s="2"/>
      <c r="C60" s="82"/>
      <c r="D60" s="2"/>
      <c r="E60" s="2"/>
      <c r="J60" s="219"/>
      <c r="K60" s="219"/>
      <c r="L60" s="219"/>
      <c r="M60" s="219"/>
    </row>
    <row r="61" spans="1:25" ht="30" x14ac:dyDescent="0.3">
      <c r="A61" s="46">
        <v>3</v>
      </c>
      <c r="B61" s="54" t="s">
        <v>961</v>
      </c>
      <c r="C61" s="42" t="s">
        <v>520</v>
      </c>
      <c r="D61" s="42"/>
      <c r="E61" s="636" t="s">
        <v>521</v>
      </c>
      <c r="F61" s="42" t="s">
        <v>522</v>
      </c>
      <c r="G61" s="55"/>
    </row>
    <row r="62" spans="1:25" x14ac:dyDescent="0.3">
      <c r="B62" s="21" t="s">
        <v>496</v>
      </c>
      <c r="C62" s="626">
        <v>9.6349999999999998</v>
      </c>
      <c r="D62" s="42" t="s">
        <v>461</v>
      </c>
      <c r="E62" s="42">
        <v>20</v>
      </c>
      <c r="F62" s="42">
        <v>48.1</v>
      </c>
      <c r="G62" s="2"/>
      <c r="H62" s="55"/>
    </row>
    <row r="63" spans="1:25" x14ac:dyDescent="0.3">
      <c r="B63" s="21" t="s">
        <v>501</v>
      </c>
      <c r="C63" s="626">
        <v>2.5339999999999998</v>
      </c>
      <c r="D63" s="42" t="s">
        <v>461</v>
      </c>
      <c r="E63" s="42">
        <v>3</v>
      </c>
      <c r="F63" s="42">
        <v>3.4249999999999998</v>
      </c>
      <c r="G63" s="2"/>
      <c r="H63" s="55"/>
    </row>
    <row r="64" spans="1:25" x14ac:dyDescent="0.3">
      <c r="B64" s="21" t="s">
        <v>523</v>
      </c>
      <c r="C64" s="626">
        <v>1.2490000000000001</v>
      </c>
      <c r="D64" s="42" t="s">
        <v>461</v>
      </c>
      <c r="E64" s="42">
        <v>1</v>
      </c>
      <c r="F64" s="42">
        <v>5.9589999999999996</v>
      </c>
      <c r="G64" s="2"/>
      <c r="H64" s="55"/>
    </row>
    <row r="65" spans="2:8" x14ac:dyDescent="0.3">
      <c r="B65" s="21" t="s">
        <v>503</v>
      </c>
      <c r="C65" s="626">
        <v>35.22</v>
      </c>
      <c r="D65" s="42" t="s">
        <v>461</v>
      </c>
      <c r="E65" s="42">
        <v>20</v>
      </c>
      <c r="F65" s="42">
        <v>37.5</v>
      </c>
      <c r="G65" s="2"/>
      <c r="H65" s="55"/>
    </row>
    <row r="66" spans="2:8" x14ac:dyDescent="0.3">
      <c r="B66" s="21" t="s">
        <v>504</v>
      </c>
      <c r="C66" s="626">
        <v>8.7520000000000007</v>
      </c>
      <c r="D66" s="42" t="s">
        <v>461</v>
      </c>
      <c r="E66" s="42">
        <v>10</v>
      </c>
      <c r="F66" s="637">
        <v>43.759</v>
      </c>
      <c r="G66" s="2"/>
      <c r="H66" s="55"/>
    </row>
    <row r="67" spans="2:8" x14ac:dyDescent="0.3">
      <c r="B67" s="21" t="s">
        <v>505</v>
      </c>
      <c r="C67" s="626">
        <v>1.855</v>
      </c>
      <c r="D67" s="42" t="s">
        <v>461</v>
      </c>
      <c r="E67" s="42">
        <v>2</v>
      </c>
      <c r="F67" s="42">
        <v>12.4</v>
      </c>
      <c r="G67" s="2"/>
      <c r="H67" s="55"/>
    </row>
    <row r="68" spans="2:8" x14ac:dyDescent="0.3">
      <c r="B68" s="21" t="s">
        <v>524</v>
      </c>
      <c r="C68" s="626">
        <v>2.363</v>
      </c>
      <c r="D68" s="42" t="s">
        <v>461</v>
      </c>
      <c r="E68" s="42">
        <v>2</v>
      </c>
      <c r="F68" s="42">
        <v>11.8</v>
      </c>
      <c r="G68" s="2"/>
      <c r="H68" s="55"/>
    </row>
    <row r="69" spans="2:8" x14ac:dyDescent="0.3">
      <c r="B69" s="21" t="s">
        <v>506</v>
      </c>
      <c r="C69" s="626">
        <v>5.1319999999999997</v>
      </c>
      <c r="D69" s="42" t="s">
        <v>461</v>
      </c>
      <c r="E69" s="42">
        <v>18</v>
      </c>
      <c r="F69" s="42">
        <v>25.7</v>
      </c>
      <c r="G69" s="2"/>
      <c r="H69" s="55"/>
    </row>
    <row r="70" spans="2:8" x14ac:dyDescent="0.3">
      <c r="B70" s="21" t="s">
        <v>525</v>
      </c>
      <c r="C70" s="626">
        <v>4.9710000000000001</v>
      </c>
      <c r="D70" s="42" t="s">
        <v>461</v>
      </c>
      <c r="E70" s="42">
        <v>21</v>
      </c>
      <c r="F70" s="42">
        <v>75.5</v>
      </c>
      <c r="G70" s="2"/>
      <c r="H70" s="55"/>
    </row>
    <row r="71" spans="2:8" x14ac:dyDescent="0.3">
      <c r="B71" s="21" t="s">
        <v>507</v>
      </c>
      <c r="C71" s="626">
        <v>4.8789999999999996</v>
      </c>
      <c r="D71" s="42" t="s">
        <v>461</v>
      </c>
      <c r="E71" s="42">
        <v>8.5</v>
      </c>
      <c r="F71" s="42">
        <v>24.4</v>
      </c>
      <c r="G71" s="2"/>
      <c r="H71" s="55"/>
    </row>
    <row r="72" spans="2:8" x14ac:dyDescent="0.3">
      <c r="B72" s="2" t="s">
        <v>313</v>
      </c>
      <c r="C72" s="625">
        <f>SUM(C62:C71)</f>
        <v>76.59</v>
      </c>
      <c r="D72" s="42" t="s">
        <v>461</v>
      </c>
      <c r="E72" s="638">
        <f>SUM(E62:E71)</f>
        <v>105.5</v>
      </c>
      <c r="F72" s="638">
        <f>SUM(F62:F71)</f>
        <v>288.54300000000001</v>
      </c>
      <c r="G72" s="5"/>
    </row>
    <row r="73" spans="2:8" x14ac:dyDescent="0.3">
      <c r="B73" s="46" t="s">
        <v>526</v>
      </c>
      <c r="C73" s="639">
        <f>C72-C66+(C66/F66)*F90*E66</f>
        <v>74.838159967092494</v>
      </c>
      <c r="D73" s="42" t="s">
        <v>461</v>
      </c>
      <c r="E73" s="635" t="s">
        <v>527</v>
      </c>
      <c r="F73" s="58"/>
    </row>
    <row r="74" spans="2:8" x14ac:dyDescent="0.3">
      <c r="C74" s="246"/>
    </row>
    <row r="75" spans="2:8" x14ac:dyDescent="0.3">
      <c r="B75" s="46" t="s">
        <v>853</v>
      </c>
      <c r="F75" s="148"/>
    </row>
    <row r="76" spans="2:8" x14ac:dyDescent="0.3">
      <c r="B76" s="46" t="s">
        <v>528</v>
      </c>
    </row>
    <row r="77" spans="2:8" x14ac:dyDescent="0.3">
      <c r="B77" s="46" t="s">
        <v>854</v>
      </c>
    </row>
    <row r="78" spans="2:8" x14ac:dyDescent="0.3">
      <c r="B78" s="46" t="s">
        <v>529</v>
      </c>
    </row>
    <row r="79" spans="2:8" x14ac:dyDescent="0.3">
      <c r="B79" s="46" t="s">
        <v>530</v>
      </c>
    </row>
    <row r="80" spans="2:8" x14ac:dyDescent="0.3">
      <c r="B80" s="148" t="s">
        <v>1014</v>
      </c>
    </row>
    <row r="82" spans="1:92" x14ac:dyDescent="0.3">
      <c r="B82" s="46" t="s">
        <v>972</v>
      </c>
      <c r="C82" s="246">
        <f>C73*(100%-C34)</f>
        <v>69.513289685281393</v>
      </c>
    </row>
    <row r="84" spans="1:92" ht="15.75" thickBot="1" x14ac:dyDescent="0.35">
      <c r="B84" s="47" t="s">
        <v>310</v>
      </c>
    </row>
    <row r="85" spans="1:92" ht="90.75" thickBot="1" x14ac:dyDescent="0.35">
      <c r="B85" s="654" t="s">
        <v>304</v>
      </c>
      <c r="C85" s="655" t="s">
        <v>507</v>
      </c>
      <c r="D85" s="655" t="s">
        <v>496</v>
      </c>
      <c r="E85" s="655" t="s">
        <v>506</v>
      </c>
      <c r="F85" s="656" t="s">
        <v>504</v>
      </c>
    </row>
    <row r="86" spans="1:92" x14ac:dyDescent="0.3">
      <c r="B86" s="651" t="s">
        <v>305</v>
      </c>
      <c r="C86" s="652" t="s">
        <v>531</v>
      </c>
      <c r="D86" s="652" t="s">
        <v>531</v>
      </c>
      <c r="E86" s="652" t="str">
        <f>D86</f>
        <v>Reuse</v>
      </c>
      <c r="F86" s="653" t="s">
        <v>306</v>
      </c>
    </row>
    <row r="87" spans="1:92" x14ac:dyDescent="0.3">
      <c r="B87" s="644" t="s">
        <v>307</v>
      </c>
      <c r="C87" s="640">
        <v>8.5</v>
      </c>
      <c r="D87" s="640">
        <f>E62</f>
        <v>20</v>
      </c>
      <c r="E87" s="640">
        <f>E69</f>
        <v>18</v>
      </c>
      <c r="F87" s="645">
        <f>E66</f>
        <v>10</v>
      </c>
    </row>
    <row r="88" spans="1:92" x14ac:dyDescent="0.3">
      <c r="B88" s="644" t="s">
        <v>308</v>
      </c>
      <c r="C88" s="641">
        <v>24.4</v>
      </c>
      <c r="D88" s="640">
        <f>F62</f>
        <v>48.1</v>
      </c>
      <c r="E88" s="640">
        <f>F69</f>
        <v>25.7</v>
      </c>
      <c r="F88" s="646">
        <f>F66</f>
        <v>43.759</v>
      </c>
    </row>
    <row r="89" spans="1:92" x14ac:dyDescent="0.3">
      <c r="B89" s="644" t="s">
        <v>309</v>
      </c>
      <c r="C89" s="643">
        <f>C88/C87</f>
        <v>2.8705882352941177</v>
      </c>
      <c r="D89" s="643">
        <f>D88/D87</f>
        <v>2.4050000000000002</v>
      </c>
      <c r="E89" s="643">
        <f>E88/E87</f>
        <v>1.4277777777777778</v>
      </c>
      <c r="F89" s="647">
        <f>F88/F87</f>
        <v>4.3758999999999997</v>
      </c>
    </row>
    <row r="90" spans="1:92" x14ac:dyDescent="0.3">
      <c r="B90" s="644" t="s">
        <v>310</v>
      </c>
      <c r="C90" s="643">
        <v>4.3</v>
      </c>
      <c r="D90" s="643">
        <f>C90</f>
        <v>4.3</v>
      </c>
      <c r="E90" s="643">
        <f>D90</f>
        <v>4.3</v>
      </c>
      <c r="F90" s="647">
        <v>3.5</v>
      </c>
    </row>
    <row r="91" spans="1:92" x14ac:dyDescent="0.3">
      <c r="B91" s="644" t="s">
        <v>467</v>
      </c>
      <c r="C91" s="642">
        <f>C90*C87</f>
        <v>36.549999999999997</v>
      </c>
      <c r="D91" s="642">
        <f>D90*D87</f>
        <v>86</v>
      </c>
      <c r="E91" s="642">
        <f>E90*E87</f>
        <v>77.399999999999991</v>
      </c>
      <c r="F91" s="646">
        <f>F90*F87</f>
        <v>35</v>
      </c>
    </row>
    <row r="92" spans="1:92" x14ac:dyDescent="0.3">
      <c r="B92" s="644" t="s">
        <v>468</v>
      </c>
      <c r="C92" s="640" t="s">
        <v>43</v>
      </c>
      <c r="D92" s="640" t="s">
        <v>43</v>
      </c>
      <c r="E92" s="640" t="s">
        <v>43</v>
      </c>
      <c r="F92" s="645" t="s">
        <v>43</v>
      </c>
    </row>
    <row r="93" spans="1:92" ht="15.75" thickBot="1" x14ac:dyDescent="0.35">
      <c r="B93" s="648" t="s">
        <v>311</v>
      </c>
      <c r="C93" s="649">
        <f>C71</f>
        <v>4.8789999999999996</v>
      </c>
      <c r="D93" s="649">
        <f>C62</f>
        <v>9.6349999999999998</v>
      </c>
      <c r="E93" s="649">
        <f>C69</f>
        <v>5.1319999999999997</v>
      </c>
      <c r="F93" s="650">
        <f>C66</f>
        <v>8.7520000000000007</v>
      </c>
    </row>
    <row r="94" spans="1:92" s="148" customFormat="1" x14ac:dyDescent="0.3">
      <c r="B94" s="149"/>
      <c r="C94" s="150"/>
      <c r="D94" s="150"/>
      <c r="E94" s="150"/>
      <c r="F94" s="150"/>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31"/>
      <c r="BL94" s="231"/>
      <c r="BM94" s="231"/>
      <c r="BN94" s="231"/>
      <c r="BO94" s="231"/>
      <c r="BP94" s="231"/>
      <c r="BQ94" s="231"/>
      <c r="BR94" s="231"/>
      <c r="BS94" s="231"/>
      <c r="BT94" s="231"/>
      <c r="BU94" s="231"/>
      <c r="BV94" s="231"/>
      <c r="BW94" s="231"/>
      <c r="BX94" s="231"/>
      <c r="BY94" s="231"/>
      <c r="BZ94" s="231"/>
      <c r="CA94" s="231"/>
      <c r="CB94" s="231"/>
      <c r="CC94" s="231"/>
      <c r="CD94" s="231"/>
      <c r="CE94" s="231"/>
      <c r="CF94" s="231"/>
      <c r="CG94" s="231"/>
      <c r="CH94" s="231"/>
      <c r="CI94" s="231"/>
      <c r="CJ94" s="231"/>
      <c r="CK94" s="231"/>
      <c r="CL94" s="231"/>
      <c r="CM94" s="231"/>
      <c r="CN94" s="231"/>
    </row>
    <row r="95" spans="1:92" x14ac:dyDescent="0.3">
      <c r="A95" s="46">
        <v>4</v>
      </c>
      <c r="B95" s="54" t="s">
        <v>962</v>
      </c>
    </row>
    <row r="96" spans="1:92" x14ac:dyDescent="0.3">
      <c r="B96" s="60" t="s">
        <v>1016</v>
      </c>
      <c r="C96" s="189">
        <v>56.597999999999999</v>
      </c>
      <c r="D96" s="46" t="s">
        <v>532</v>
      </c>
      <c r="E96" s="48" t="s">
        <v>1017</v>
      </c>
    </row>
    <row r="97" spans="1:15" x14ac:dyDescent="0.3">
      <c r="B97" s="148" t="s">
        <v>1015</v>
      </c>
    </row>
    <row r="98" spans="1:15" x14ac:dyDescent="0.3">
      <c r="B98" s="2" t="s">
        <v>1034</v>
      </c>
      <c r="C98" s="53"/>
      <c r="D98" s="47"/>
      <c r="E98" s="46"/>
      <c r="I98" s="30"/>
      <c r="K98" s="2"/>
      <c r="M98" s="52"/>
    </row>
    <row r="99" spans="1:15" x14ac:dyDescent="0.3">
      <c r="B99" s="5"/>
      <c r="C99" s="53"/>
      <c r="D99" s="47"/>
      <c r="E99" s="46"/>
      <c r="I99" s="30"/>
      <c r="K99" s="2"/>
      <c r="M99" s="52"/>
    </row>
    <row r="100" spans="1:15" ht="27.75" customHeight="1" x14ac:dyDescent="0.3">
      <c r="A100" s="184">
        <v>5</v>
      </c>
      <c r="B100" s="328" t="s">
        <v>416</v>
      </c>
      <c r="C100" s="148"/>
    </row>
    <row r="101" spans="1:15" ht="55.5" customHeight="1" x14ac:dyDescent="0.3">
      <c r="B101" s="161" t="s">
        <v>534</v>
      </c>
      <c r="C101" s="657" t="s">
        <v>535</v>
      </c>
      <c r="D101" s="658" t="s">
        <v>536</v>
      </c>
      <c r="E101" s="51" t="s">
        <v>340</v>
      </c>
    </row>
    <row r="102" spans="1:15" x14ac:dyDescent="0.3">
      <c r="B102" s="660" t="s">
        <v>537</v>
      </c>
      <c r="C102" s="659">
        <v>6.657</v>
      </c>
      <c r="D102" s="661">
        <v>0</v>
      </c>
      <c r="E102" s="2" t="s">
        <v>855</v>
      </c>
    </row>
    <row r="103" spans="1:15" ht="79.5" customHeight="1" x14ac:dyDescent="0.3">
      <c r="B103" s="634" t="s">
        <v>538</v>
      </c>
      <c r="C103" s="298">
        <v>1</v>
      </c>
      <c r="D103" s="58">
        <v>0</v>
      </c>
      <c r="E103" s="719" t="s">
        <v>857</v>
      </c>
      <c r="F103" s="719"/>
      <c r="G103" s="719"/>
      <c r="H103" s="719"/>
      <c r="I103" s="719"/>
      <c r="J103" s="3"/>
      <c r="N103" s="235"/>
    </row>
    <row r="104" spans="1:15" x14ac:dyDescent="0.3">
      <c r="N104" s="236"/>
      <c r="O104" s="236"/>
    </row>
    <row r="105" spans="1:15" x14ac:dyDescent="0.3">
      <c r="B105" s="46" t="s">
        <v>539</v>
      </c>
    </row>
    <row r="107" spans="1:15" x14ac:dyDescent="0.3">
      <c r="A107" s="184">
        <v>6</v>
      </c>
      <c r="B107" s="328" t="s">
        <v>494</v>
      </c>
    </row>
    <row r="108" spans="1:15" ht="15.75" thickBot="1" x14ac:dyDescent="0.35">
      <c r="B108" s="2" t="str">
        <f>C9</f>
        <v>SRN</v>
      </c>
      <c r="C108" s="2"/>
      <c r="D108" s="2"/>
      <c r="E108" s="43"/>
      <c r="F108" s="2"/>
      <c r="G108" s="2"/>
    </row>
    <row r="109" spans="1:15" x14ac:dyDescent="0.3">
      <c r="B109" s="153" t="s">
        <v>392</v>
      </c>
      <c r="C109" s="154"/>
      <c r="D109" s="156" t="s">
        <v>393</v>
      </c>
      <c r="E109" s="158" t="s">
        <v>394</v>
      </c>
      <c r="F109" s="68" t="s">
        <v>395</v>
      </c>
      <c r="G109" s="340" t="s">
        <v>385</v>
      </c>
    </row>
    <row r="110" spans="1:15" x14ac:dyDescent="0.3">
      <c r="B110" s="85" t="s">
        <v>396</v>
      </c>
      <c r="C110" s="71" t="s">
        <v>25</v>
      </c>
      <c r="D110" s="240">
        <f t="shared" ref="D110:F111" si="0">D114+D118</f>
        <v>189.721</v>
      </c>
      <c r="E110" s="240">
        <f t="shared" si="0"/>
        <v>0</v>
      </c>
      <c r="F110" s="240">
        <f t="shared" si="0"/>
        <v>189.721</v>
      </c>
      <c r="G110" s="409" t="str">
        <f>IF(ABS(SUM(D110,E110)-F110)&lt;0.001,"OK","ERROR")</f>
        <v>OK</v>
      </c>
    </row>
    <row r="111" spans="1:15" x14ac:dyDescent="0.3">
      <c r="B111" s="155" t="s">
        <v>397</v>
      </c>
      <c r="C111" s="71" t="s">
        <v>25</v>
      </c>
      <c r="D111" s="240">
        <f t="shared" si="0"/>
        <v>37.409999999999997</v>
      </c>
      <c r="E111" s="240">
        <f t="shared" si="0"/>
        <v>0</v>
      </c>
      <c r="F111" s="240">
        <f t="shared" si="0"/>
        <v>37.409999999999997</v>
      </c>
      <c r="G111" s="409" t="str">
        <f>IF(ABS(SUM(D111,E111)-F111)&lt;0.001,"OK","ERROR")</f>
        <v>OK</v>
      </c>
    </row>
    <row r="112" spans="1:15" x14ac:dyDescent="0.3">
      <c r="B112" s="85" t="s">
        <v>398</v>
      </c>
      <c r="C112" s="71" t="s">
        <v>93</v>
      </c>
      <c r="D112" s="240">
        <f>D116+D120</f>
        <v>121.48000000000002</v>
      </c>
      <c r="E112" s="240" t="s">
        <v>341</v>
      </c>
      <c r="F112" s="240">
        <f>D112</f>
        <v>121.48000000000002</v>
      </c>
      <c r="G112" s="409" t="str">
        <f>IF(ABS(SUM(D112,E112)-F112)&lt;0.001,"OK","ERROR")</f>
        <v>OK</v>
      </c>
    </row>
    <row r="113" spans="2:7" x14ac:dyDescent="0.3">
      <c r="B113" s="34"/>
      <c r="C113" s="16"/>
      <c r="D113" s="265"/>
      <c r="E113" s="265"/>
      <c r="F113" s="265"/>
      <c r="G113" s="409"/>
    </row>
    <row r="114" spans="2:7" x14ac:dyDescent="0.3">
      <c r="B114" s="85" t="s">
        <v>399</v>
      </c>
      <c r="C114" s="71" t="s">
        <v>25</v>
      </c>
      <c r="D114" s="240">
        <f>INDEX(Analysis!H$101:H$117,MATCH($B$108,Analysis!$B$101:$B$117,0))</f>
        <v>156.60300000000001</v>
      </c>
      <c r="E114" s="240">
        <f>INDEX(Analysis!I$101:I$117,MATCH($B$108,Analysis!$B$101:$B$117,0))</f>
        <v>0</v>
      </c>
      <c r="F114" s="240">
        <f>SUM(D114:E114)</f>
        <v>156.60300000000001</v>
      </c>
      <c r="G114" s="409" t="str">
        <f t="shared" ref="G114:G118" si="1">IF(ABS(SUM(D114,E114)-F114)&lt;0.001,"OK","ERROR")</f>
        <v>OK</v>
      </c>
    </row>
    <row r="115" spans="2:7" x14ac:dyDescent="0.3">
      <c r="B115" s="155" t="s">
        <v>400</v>
      </c>
      <c r="C115" s="157" t="s">
        <v>25</v>
      </c>
      <c r="D115" s="239">
        <f>INDEX(Analysis!H$150:H$166,MATCH($B$108,Analysis!$B$150:$B$166,0))</f>
        <v>1</v>
      </c>
      <c r="E115" s="239">
        <f>INDEX(Analysis!I$150:I$166,MATCH($B$108,Analysis!$B$150:$B$166,0))</f>
        <v>0</v>
      </c>
      <c r="F115" s="240">
        <f>SUM(D115:E115)</f>
        <v>1</v>
      </c>
      <c r="G115" s="409" t="str">
        <f>IF(ABS(SUM(D115,E115)-F115)&lt;0.001,"OK","ERROR")</f>
        <v>OK</v>
      </c>
    </row>
    <row r="116" spans="2:7" x14ac:dyDescent="0.3">
      <c r="B116" s="85" t="s">
        <v>401</v>
      </c>
      <c r="C116" s="71" t="s">
        <v>93</v>
      </c>
      <c r="D116" s="240">
        <f>INDEX(Analysis!$H$26:$H$42,MATCH($B$108,Analysis!$B$26:$B$42,0))</f>
        <v>83.800000000000011</v>
      </c>
      <c r="E116" s="240" t="s">
        <v>341</v>
      </c>
      <c r="F116" s="240">
        <f>D116</f>
        <v>83.800000000000011</v>
      </c>
      <c r="G116" s="409" t="str">
        <f>IF(ABS(SUM(D116,E116)-F116)&lt;0.001,"OK","ERROR")</f>
        <v>OK</v>
      </c>
    </row>
    <row r="117" spans="2:7" x14ac:dyDescent="0.3">
      <c r="B117" s="34"/>
      <c r="C117" s="16"/>
      <c r="D117" s="265"/>
      <c r="E117" s="265"/>
      <c r="F117" s="265"/>
      <c r="G117" s="409"/>
    </row>
    <row r="118" spans="2:7" x14ac:dyDescent="0.3">
      <c r="B118" s="85" t="s">
        <v>402</v>
      </c>
      <c r="C118" s="71" t="s">
        <v>403</v>
      </c>
      <c r="D118" s="240">
        <f>INDEX(Analysis!H$125:H$141,MATCH($B$108,Analysis!$B$125:$B$141,0))</f>
        <v>33.118000000000002</v>
      </c>
      <c r="E118" s="240">
        <f>INDEX(Analysis!I$125:I$141,MATCH($B$108,Analysis!$B$125:$B$141,0))</f>
        <v>0</v>
      </c>
      <c r="F118" s="240">
        <f>SUM(D118:E118)</f>
        <v>33.118000000000002</v>
      </c>
      <c r="G118" s="409" t="str">
        <f t="shared" si="1"/>
        <v>OK</v>
      </c>
    </row>
    <row r="119" spans="2:7" x14ac:dyDescent="0.3">
      <c r="B119" s="155" t="s">
        <v>404</v>
      </c>
      <c r="C119" s="71" t="s">
        <v>403</v>
      </c>
      <c r="D119" s="239">
        <f>INDEX(Analysis!H$175:H$191,MATCH($B$108,Analysis!$B$175:$B$191,0))</f>
        <v>36.409999999999997</v>
      </c>
      <c r="E119" s="239">
        <f>INDEX(Analysis!I$175:I$191,MATCH($B$108,Analysis!$B$175:$B$191,0))</f>
        <v>0</v>
      </c>
      <c r="F119" s="240">
        <f>SUM(D119:E119)</f>
        <v>36.409999999999997</v>
      </c>
      <c r="G119" s="409" t="str">
        <f>IF(ABS(SUM(D119,E119)-F119)&lt;0.001,"OK","ERROR")</f>
        <v>OK</v>
      </c>
    </row>
    <row r="120" spans="2:7" ht="15.75" thickBot="1" x14ac:dyDescent="0.35">
      <c r="B120" s="151" t="s">
        <v>405</v>
      </c>
      <c r="C120" s="74" t="s">
        <v>93</v>
      </c>
      <c r="D120" s="266">
        <f>INDEX(Analysis!$H$51:$H$67,MATCH($B$108,Analysis!$B$51:$B$67,0))</f>
        <v>37.68</v>
      </c>
      <c r="E120" s="266" t="s">
        <v>341</v>
      </c>
      <c r="F120" s="266">
        <f>D120</f>
        <v>37.68</v>
      </c>
      <c r="G120" s="410" t="str">
        <f>IF(ABS(SUM(D120,E120)-F120)&lt;0.001,"OK","ERROR")</f>
        <v>OK</v>
      </c>
    </row>
    <row r="122" spans="2:7" x14ac:dyDescent="0.3">
      <c r="C122" s="246"/>
      <c r="G122" s="189"/>
    </row>
    <row r="123" spans="2:7" x14ac:dyDescent="0.3">
      <c r="C123" s="189"/>
    </row>
    <row r="124" spans="2:7" x14ac:dyDescent="0.3">
      <c r="C124" s="189"/>
      <c r="G124" s="189"/>
    </row>
    <row r="125" spans="2:7" x14ac:dyDescent="0.3">
      <c r="C125" s="189"/>
    </row>
    <row r="126" spans="2:7" x14ac:dyDescent="0.3">
      <c r="G126" s="189"/>
    </row>
  </sheetData>
  <mergeCells count="4">
    <mergeCell ref="E103:I103"/>
    <mergeCell ref="C4:D4"/>
    <mergeCell ref="C5:D5"/>
    <mergeCell ref="C6:D6"/>
  </mergeCells>
  <conditionalFormatting sqref="D108 G110:G112 G114:G116 G118:G120">
    <cfRule type="cellIs" dxfId="105" priority="45" operator="equal">
      <formula>"OK"</formula>
    </cfRule>
    <cfRule type="cellIs" dxfId="104" priority="46" operator="equal">
      <formula>"ERROR"</formula>
    </cfRule>
  </conditionalFormatting>
  <conditionalFormatting sqref="F4">
    <cfRule type="cellIs" dxfId="103" priority="3" operator="equal">
      <formula>"OK"</formula>
    </cfRule>
    <cfRule type="cellIs" dxfId="102" priority="4" operator="equal">
      <formula>"ERROR"</formula>
    </cfRule>
  </conditionalFormatting>
  <conditionalFormatting sqref="F5">
    <cfRule type="cellIs" dxfId="101" priority="1" operator="equal">
      <formula>"OK"</formula>
    </cfRule>
    <cfRule type="cellIs" dxfId="100" priority="2" operator="equal">
      <formula>"ERROR"</formula>
    </cfRule>
  </conditionalFormatting>
  <dataValidations disablePrompts="1"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Q81"/>
  <sheetViews>
    <sheetView zoomScale="90" zoomScaleNormal="90" workbookViewId="0"/>
  </sheetViews>
  <sheetFormatPr defaultColWidth="8.85546875" defaultRowHeight="15.75" x14ac:dyDescent="0.3"/>
  <cols>
    <col min="1" max="1" width="8" style="44" customWidth="1"/>
    <col min="2" max="2" width="58.7109375" style="2" customWidth="1"/>
    <col min="3" max="4" width="14.85546875" style="2" customWidth="1"/>
    <col min="5" max="5" width="14.85546875" style="38" customWidth="1"/>
    <col min="6" max="6" width="14.85546875" style="2" customWidth="1"/>
    <col min="7" max="7" width="55.28515625" style="2" customWidth="1"/>
  </cols>
  <sheetData>
    <row r="1" spans="1:7" ht="21.75" x14ac:dyDescent="0.3">
      <c r="A1" s="331"/>
      <c r="B1" s="6" t="s">
        <v>934</v>
      </c>
      <c r="C1" s="1"/>
      <c r="D1" s="1"/>
      <c r="E1" s="45"/>
      <c r="F1" s="1"/>
    </row>
    <row r="2" spans="1:7" ht="22.5" thickBot="1" x14ac:dyDescent="0.35">
      <c r="A2" s="331"/>
      <c r="B2" s="5"/>
      <c r="C2" s="8"/>
      <c r="D2" s="8"/>
    </row>
    <row r="3" spans="1:7" ht="22.5" thickBot="1" x14ac:dyDescent="0.35">
      <c r="A3" s="331"/>
      <c r="B3" s="5" t="s">
        <v>1</v>
      </c>
      <c r="C3" s="8"/>
      <c r="D3" s="8"/>
      <c r="F3" s="394" t="s">
        <v>385</v>
      </c>
    </row>
    <row r="4" spans="1:7" x14ac:dyDescent="0.3">
      <c r="B4" s="354" t="s">
        <v>471</v>
      </c>
      <c r="C4" s="711" t="s">
        <v>540</v>
      </c>
      <c r="D4" s="712"/>
      <c r="F4" s="395" t="str">
        <f>IF(ABS(ROUND(C10,3)-ROUND((F71+F72),3))=0,"OK","ERROR")</f>
        <v>OK</v>
      </c>
      <c r="G4" s="2" t="s">
        <v>472</v>
      </c>
    </row>
    <row r="5" spans="1:7" ht="16.5" thickBot="1" x14ac:dyDescent="0.35">
      <c r="B5" s="355" t="s">
        <v>388</v>
      </c>
      <c r="C5" s="713">
        <v>43616</v>
      </c>
      <c r="D5" s="714"/>
      <c r="F5" s="396" t="str">
        <f>IF(ABS(ROUND(D28,3)-ROUND((F71+F72),3))=0,"OK","ERROR")</f>
        <v>OK</v>
      </c>
      <c r="G5" s="2" t="s">
        <v>473</v>
      </c>
    </row>
    <row r="6" spans="1:7" ht="16.5" thickBot="1" x14ac:dyDescent="0.35">
      <c r="B6" s="356" t="s">
        <v>389</v>
      </c>
      <c r="C6" s="715" t="s">
        <v>932</v>
      </c>
      <c r="D6" s="716"/>
    </row>
    <row r="7" spans="1:7" x14ac:dyDescent="0.3">
      <c r="B7" s="16"/>
      <c r="C7" s="16"/>
      <c r="D7" s="17"/>
    </row>
    <row r="8" spans="1:7" ht="16.5" thickBot="1" x14ac:dyDescent="0.35">
      <c r="B8" s="5" t="s">
        <v>6</v>
      </c>
    </row>
    <row r="9" spans="1:7" x14ac:dyDescent="0.3">
      <c r="B9" s="357" t="s">
        <v>312</v>
      </c>
      <c r="C9" s="360" t="s">
        <v>29</v>
      </c>
      <c r="D9" s="399"/>
    </row>
    <row r="10" spans="1:7" x14ac:dyDescent="0.3">
      <c r="B10" s="358" t="s">
        <v>474</v>
      </c>
      <c r="C10" s="361">
        <f>INDEX(Analysis!L5:L21,MATCH(C9,Analysis!B5:B21,0))</f>
        <v>151.59565000000001</v>
      </c>
      <c r="D10" s="5"/>
    </row>
    <row r="11" spans="1:7" x14ac:dyDescent="0.3">
      <c r="B11" s="358" t="s">
        <v>475</v>
      </c>
      <c r="C11" s="361">
        <v>0</v>
      </c>
      <c r="D11" s="15"/>
      <c r="E11" s="63"/>
      <c r="G11" s="15"/>
    </row>
    <row r="12" spans="1:7" x14ac:dyDescent="0.3">
      <c r="B12" s="358" t="s">
        <v>476</v>
      </c>
      <c r="C12" s="362">
        <f>C10+C11</f>
        <v>151.59565000000001</v>
      </c>
      <c r="D12" s="15"/>
      <c r="E12" s="63"/>
      <c r="G12" s="15"/>
    </row>
    <row r="13" spans="1:7" x14ac:dyDescent="0.3">
      <c r="B13" s="358" t="s">
        <v>477</v>
      </c>
      <c r="C13" s="362">
        <v>0</v>
      </c>
      <c r="D13" s="15"/>
      <c r="E13" s="63"/>
      <c r="G13" s="15"/>
    </row>
    <row r="14" spans="1:7" ht="16.5" thickBot="1" x14ac:dyDescent="0.35">
      <c r="B14" s="359" t="s">
        <v>478</v>
      </c>
      <c r="C14" s="363">
        <f ca="1">F28</f>
        <v>88.031999999999982</v>
      </c>
      <c r="D14" s="15"/>
      <c r="E14" s="63"/>
      <c r="G14" s="15"/>
    </row>
    <row r="15" spans="1:7" x14ac:dyDescent="0.3">
      <c r="B15" s="337"/>
      <c r="C15" s="15"/>
      <c r="D15" s="15"/>
      <c r="E15" s="63"/>
      <c r="G15" s="15"/>
    </row>
    <row r="16" spans="1:7" ht="16.5" thickBot="1" x14ac:dyDescent="0.35">
      <c r="B16" s="5" t="s">
        <v>391</v>
      </c>
      <c r="C16" s="82"/>
    </row>
    <row r="17" spans="1:7" ht="16.5" thickBot="1" x14ac:dyDescent="0.35">
      <c r="B17" s="364" t="s">
        <v>479</v>
      </c>
      <c r="C17" s="365">
        <f ca="1">C13+C14</f>
        <v>88.031999999999982</v>
      </c>
      <c r="D17" s="5"/>
    </row>
    <row r="19" spans="1:7" ht="16.5" thickBot="1" x14ac:dyDescent="0.35">
      <c r="B19" s="172" t="s">
        <v>480</v>
      </c>
      <c r="C19" s="35"/>
      <c r="D19" s="16"/>
      <c r="E19" s="22"/>
      <c r="F19" s="40"/>
      <c r="G19" s="64"/>
    </row>
    <row r="20" spans="1:7" ht="45" x14ac:dyDescent="0.3">
      <c r="A20" s="372" t="s">
        <v>481</v>
      </c>
      <c r="B20" s="373" t="s">
        <v>482</v>
      </c>
      <c r="C20" s="382" t="s">
        <v>483</v>
      </c>
      <c r="D20" s="382" t="s">
        <v>484</v>
      </c>
      <c r="E20" s="382" t="s">
        <v>485</v>
      </c>
      <c r="F20" s="382" t="s">
        <v>486</v>
      </c>
      <c r="G20" s="470" t="s">
        <v>340</v>
      </c>
    </row>
    <row r="21" spans="1:7" ht="75" x14ac:dyDescent="0.3">
      <c r="A21" s="560">
        <v>1</v>
      </c>
      <c r="B21" s="561" t="s">
        <v>411</v>
      </c>
      <c r="C21" s="367">
        <f>SUM(C22:C23)</f>
        <v>70.599999999999994</v>
      </c>
      <c r="D21" s="367">
        <f>SUM(D22:D23)</f>
        <v>117.884</v>
      </c>
      <c r="E21" s="367">
        <f>C21</f>
        <v>70.599999999999994</v>
      </c>
      <c r="F21" s="404">
        <f ca="1">E21*MIN(C31,D31)</f>
        <v>84.719999999999985</v>
      </c>
      <c r="G21" s="162" t="s">
        <v>1054</v>
      </c>
    </row>
    <row r="22" spans="1:7" ht="15" x14ac:dyDescent="0.25">
      <c r="A22" s="560" t="s">
        <v>487</v>
      </c>
      <c r="B22" s="561" t="s">
        <v>408</v>
      </c>
      <c r="C22" s="384">
        <f>C44</f>
        <v>68.5</v>
      </c>
      <c r="D22" s="384">
        <f>D44-D25</f>
        <v>113.28400000000001</v>
      </c>
      <c r="E22" s="371"/>
      <c r="F22" s="371"/>
      <c r="G22" s="621"/>
    </row>
    <row r="23" spans="1:7" ht="15" x14ac:dyDescent="0.25">
      <c r="A23" s="560" t="s">
        <v>488</v>
      </c>
      <c r="B23" s="561" t="s">
        <v>409</v>
      </c>
      <c r="C23" s="384">
        <f>C43</f>
        <v>2.1</v>
      </c>
      <c r="D23" s="384">
        <f>D43</f>
        <v>4.5999999999999996</v>
      </c>
      <c r="E23" s="371"/>
      <c r="F23" s="371"/>
      <c r="G23" s="621"/>
    </row>
    <row r="24" spans="1:7" ht="180" x14ac:dyDescent="0.3">
      <c r="A24" s="560">
        <v>2</v>
      </c>
      <c r="B24" s="561" t="s">
        <v>412</v>
      </c>
      <c r="C24" s="405">
        <f>C41</f>
        <v>64</v>
      </c>
      <c r="D24" s="405">
        <f>D41</f>
        <v>30.4</v>
      </c>
      <c r="E24" s="371"/>
      <c r="F24" s="368">
        <f>INDEX('Leakage assessment'!B5:B21,MATCH(B69,'Leakage assessment'!A5:A21,0))</f>
        <v>0</v>
      </c>
      <c r="G24" s="162" t="s">
        <v>1018</v>
      </c>
    </row>
    <row r="25" spans="1:7" ht="60" x14ac:dyDescent="0.3">
      <c r="A25" s="560">
        <v>3</v>
      </c>
      <c r="B25" s="561" t="s">
        <v>413</v>
      </c>
      <c r="C25" s="371"/>
      <c r="D25" s="405">
        <f>E60</f>
        <v>3.3119999999999998</v>
      </c>
      <c r="E25" s="371"/>
      <c r="F25" s="405">
        <f>D25</f>
        <v>3.3119999999999998</v>
      </c>
      <c r="G25" s="473" t="s">
        <v>778</v>
      </c>
    </row>
    <row r="26" spans="1:7" x14ac:dyDescent="0.3">
      <c r="A26" s="560">
        <v>4</v>
      </c>
      <c r="B26" s="561" t="s">
        <v>415</v>
      </c>
      <c r="C26" s="371"/>
      <c r="D26" s="405">
        <v>0</v>
      </c>
      <c r="E26" s="371"/>
      <c r="F26" s="405">
        <v>0</v>
      </c>
      <c r="G26" s="488" t="s">
        <v>489</v>
      </c>
    </row>
    <row r="27" spans="1:7" ht="16.5" thickBot="1" x14ac:dyDescent="0.35">
      <c r="A27" s="562">
        <v>5</v>
      </c>
      <c r="B27" s="563" t="s">
        <v>416</v>
      </c>
      <c r="C27" s="377"/>
      <c r="D27" s="378">
        <v>0</v>
      </c>
      <c r="E27" s="377"/>
      <c r="F27" s="378">
        <v>0</v>
      </c>
      <c r="G27" s="489" t="s">
        <v>489</v>
      </c>
    </row>
    <row r="28" spans="1:7" ht="16.5" thickBot="1" x14ac:dyDescent="0.35">
      <c r="B28" s="379" t="s">
        <v>313</v>
      </c>
      <c r="C28" s="380">
        <f>SUM(C22,C24)</f>
        <v>132.5</v>
      </c>
      <c r="D28" s="380">
        <f>SUM(D22:D27)</f>
        <v>151.596</v>
      </c>
      <c r="E28" s="380">
        <f>SUM(E21)</f>
        <v>70.599999999999994</v>
      </c>
      <c r="F28" s="380">
        <f ca="1">SUM(F21:F27)</f>
        <v>88.031999999999982</v>
      </c>
      <c r="G28" s="381"/>
    </row>
    <row r="29" spans="1:7" x14ac:dyDescent="0.3">
      <c r="B29" s="71"/>
      <c r="C29" s="318"/>
      <c r="D29" s="318"/>
      <c r="E29" s="317"/>
      <c r="F29" s="318"/>
      <c r="G29" s="70"/>
    </row>
    <row r="30" spans="1:7" ht="30.75" thickBot="1" x14ac:dyDescent="0.35">
      <c r="B30" s="172" t="s">
        <v>490</v>
      </c>
      <c r="C30" s="386" t="s">
        <v>491</v>
      </c>
      <c r="D30" s="386" t="s">
        <v>492</v>
      </c>
      <c r="E30" s="319"/>
      <c r="F30" s="320"/>
      <c r="G30" s="70"/>
    </row>
    <row r="31" spans="1:7" x14ac:dyDescent="0.3">
      <c r="B31" s="387" t="s">
        <v>418</v>
      </c>
      <c r="C31" s="388">
        <f>D21/C21</f>
        <v>1.6697450424929179</v>
      </c>
      <c r="D31" s="389">
        <f ca="1">'Unit costs'!B3</f>
        <v>1.2</v>
      </c>
      <c r="E31" s="319"/>
      <c r="F31" s="320"/>
      <c r="G31" s="65"/>
    </row>
    <row r="32" spans="1:7" ht="16.5" thickBot="1" x14ac:dyDescent="0.35">
      <c r="B32" s="390" t="s">
        <v>420</v>
      </c>
      <c r="C32" s="391">
        <f>D24/C24</f>
        <v>0.47499999999999998</v>
      </c>
      <c r="D32" s="392">
        <f ca="1">'Unit costs'!B4</f>
        <v>2.0302304832713758</v>
      </c>
      <c r="E32" s="319"/>
      <c r="F32" s="320"/>
      <c r="G32" s="65"/>
    </row>
    <row r="33" spans="1:43" ht="16.5" thickBot="1" x14ac:dyDescent="0.35">
      <c r="B33" s="16"/>
      <c r="C33" s="182"/>
      <c r="D33" s="182"/>
      <c r="E33" s="319"/>
      <c r="F33" s="320"/>
      <c r="G33" s="65"/>
    </row>
    <row r="34" spans="1:43" ht="16.5" thickBot="1" x14ac:dyDescent="0.35">
      <c r="B34" s="393" t="s">
        <v>747</v>
      </c>
      <c r="C34" s="433">
        <v>0.05</v>
      </c>
      <c r="D34" s="339"/>
      <c r="E34" s="319"/>
      <c r="F34" s="320"/>
      <c r="G34" s="70"/>
    </row>
    <row r="35" spans="1:43" x14ac:dyDescent="0.3">
      <c r="B35" s="20"/>
      <c r="C35" s="69"/>
      <c r="D35" s="16"/>
      <c r="E35" s="22"/>
      <c r="F35" s="16"/>
      <c r="G35" s="70"/>
    </row>
    <row r="36" spans="1:43" x14ac:dyDescent="0.3">
      <c r="B36" s="66" t="s">
        <v>303</v>
      </c>
    </row>
    <row r="37" spans="1:43" x14ac:dyDescent="0.3">
      <c r="A37" s="331">
        <v>1</v>
      </c>
      <c r="B37" s="335" t="s">
        <v>411</v>
      </c>
      <c r="C37" s="398"/>
      <c r="D37" s="398"/>
      <c r="E37" s="398"/>
      <c r="F37" s="398"/>
      <c r="G37" s="398"/>
    </row>
    <row r="38" spans="1:43" s="2" customFormat="1" ht="19.5" customHeight="1" x14ac:dyDescent="0.3">
      <c r="B38" s="172" t="s">
        <v>774</v>
      </c>
      <c r="E38" s="38"/>
      <c r="G38" s="73"/>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row>
    <row r="39" spans="1:43" s="2" customFormat="1" ht="45" x14ac:dyDescent="0.3">
      <c r="B39" s="324" t="s">
        <v>541</v>
      </c>
      <c r="C39" s="617" t="s">
        <v>1049</v>
      </c>
      <c r="D39" s="617" t="s">
        <v>542</v>
      </c>
      <c r="E39" s="617" t="s">
        <v>543</v>
      </c>
      <c r="G39" s="73"/>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row>
    <row r="40" spans="1:43" s="2" customFormat="1" ht="15" x14ac:dyDescent="0.3">
      <c r="B40" s="9" t="s">
        <v>544</v>
      </c>
      <c r="C40" s="325"/>
      <c r="D40" s="325">
        <v>84.2</v>
      </c>
      <c r="E40" s="325">
        <v>60.3</v>
      </c>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row>
    <row r="41" spans="1:43" s="2" customFormat="1" ht="15.75" customHeight="1" x14ac:dyDescent="0.3">
      <c r="B41" s="9" t="s">
        <v>545</v>
      </c>
      <c r="C41" s="325">
        <v>64</v>
      </c>
      <c r="D41" s="325">
        <v>30.4</v>
      </c>
      <c r="E41" s="325"/>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row>
    <row r="42" spans="1:43" s="2" customFormat="1" ht="15" x14ac:dyDescent="0.3">
      <c r="B42" s="9" t="s">
        <v>546</v>
      </c>
      <c r="C42" s="325">
        <v>10.199999999999999</v>
      </c>
      <c r="D42" s="325">
        <v>66.599999999999994</v>
      </c>
      <c r="E42" s="325">
        <v>38.4</v>
      </c>
      <c r="F42" s="67" t="s">
        <v>547</v>
      </c>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row>
    <row r="43" spans="1:43" s="2" customFormat="1" ht="15" x14ac:dyDescent="0.3">
      <c r="B43" s="9" t="s">
        <v>548</v>
      </c>
      <c r="C43" s="325">
        <v>2.1</v>
      </c>
      <c r="D43" s="325">
        <v>4.5999999999999996</v>
      </c>
      <c r="E43" s="325"/>
      <c r="G43" s="2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row>
    <row r="44" spans="1:43" s="2" customFormat="1" ht="15" x14ac:dyDescent="0.3">
      <c r="B44" s="9" t="s">
        <v>549</v>
      </c>
      <c r="C44" s="325">
        <v>68.5</v>
      </c>
      <c r="D44" s="325">
        <v>116.596</v>
      </c>
      <c r="E44" s="325">
        <v>41.6</v>
      </c>
      <c r="G44" s="73"/>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row>
    <row r="45" spans="1:43" s="2" customFormat="1" ht="15" x14ac:dyDescent="0.3">
      <c r="B45" s="323" t="s">
        <v>313</v>
      </c>
      <c r="C45" s="616">
        <v>154</v>
      </c>
      <c r="D45" s="616">
        <v>302.39999999999998</v>
      </c>
      <c r="E45" s="616">
        <v>140.30000000000001</v>
      </c>
      <c r="G45" s="73"/>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row>
    <row r="46" spans="1:43" s="2" customFormat="1" ht="15" x14ac:dyDescent="0.3">
      <c r="E46" s="38"/>
      <c r="G46" s="73"/>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row>
    <row r="47" spans="1:43" x14ac:dyDescent="0.3">
      <c r="C47" s="398"/>
      <c r="D47" s="398"/>
      <c r="E47" s="398"/>
      <c r="F47" s="398"/>
      <c r="G47" s="662"/>
    </row>
    <row r="48" spans="1:43" x14ac:dyDescent="0.3">
      <c r="A48" s="44" t="s">
        <v>487</v>
      </c>
      <c r="B48" s="335" t="s">
        <v>408</v>
      </c>
    </row>
    <row r="49" spans="1:7" x14ac:dyDescent="0.3">
      <c r="A49" s="331"/>
      <c r="B49" s="717"/>
      <c r="C49" s="717"/>
      <c r="D49" s="717"/>
      <c r="E49" s="717"/>
      <c r="F49" s="717"/>
      <c r="G49" s="717"/>
    </row>
    <row r="50" spans="1:7" x14ac:dyDescent="0.3">
      <c r="A50" s="331"/>
      <c r="B50" s="70"/>
      <c r="C50" s="398"/>
      <c r="D50" s="398"/>
      <c r="E50" s="398"/>
      <c r="F50" s="398"/>
      <c r="G50" s="398"/>
    </row>
    <row r="51" spans="1:7" x14ac:dyDescent="0.3">
      <c r="A51" s="331" t="s">
        <v>488</v>
      </c>
      <c r="B51" s="335" t="s">
        <v>409</v>
      </c>
      <c r="C51" s="398"/>
      <c r="D51" s="398"/>
      <c r="E51" s="398"/>
      <c r="F51" s="398"/>
      <c r="G51" s="398"/>
    </row>
    <row r="52" spans="1:7" x14ac:dyDescent="0.3">
      <c r="C52" s="398"/>
      <c r="D52" s="398"/>
      <c r="E52" s="398"/>
      <c r="F52" s="398"/>
      <c r="G52" s="398"/>
    </row>
    <row r="53" spans="1:7" x14ac:dyDescent="0.3">
      <c r="A53" s="331"/>
      <c r="B53" s="70"/>
      <c r="C53" s="398"/>
      <c r="D53" s="398"/>
      <c r="E53" s="398"/>
      <c r="F53" s="398"/>
      <c r="G53" s="398"/>
    </row>
    <row r="54" spans="1:7" x14ac:dyDescent="0.3">
      <c r="A54" s="331">
        <v>2</v>
      </c>
      <c r="B54" s="335" t="s">
        <v>412</v>
      </c>
      <c r="C54" s="398"/>
      <c r="D54" s="398"/>
      <c r="E54" s="398"/>
      <c r="F54" s="398"/>
      <c r="G54" s="398"/>
    </row>
    <row r="55" spans="1:7" x14ac:dyDescent="0.3">
      <c r="A55" s="331"/>
      <c r="B55" s="71"/>
      <c r="C55" s="398"/>
      <c r="D55" s="398"/>
      <c r="E55" s="398"/>
      <c r="F55" s="398"/>
      <c r="G55" s="398"/>
    </row>
    <row r="56" spans="1:7" x14ac:dyDescent="0.3">
      <c r="A56" s="331"/>
      <c r="B56" s="70"/>
      <c r="C56" s="398"/>
      <c r="D56" s="398"/>
      <c r="E56" s="398"/>
      <c r="F56" s="398"/>
      <c r="G56" s="398"/>
    </row>
    <row r="57" spans="1:7" x14ac:dyDescent="0.3">
      <c r="A57" s="331">
        <v>3</v>
      </c>
      <c r="B57" s="335" t="s">
        <v>413</v>
      </c>
      <c r="C57" s="398"/>
      <c r="D57" s="398"/>
      <c r="E57" s="398"/>
      <c r="F57" s="398"/>
      <c r="G57" s="398"/>
    </row>
    <row r="58" spans="1:7" s="308" customFormat="1" x14ac:dyDescent="0.3">
      <c r="A58" s="331"/>
      <c r="B58" s="5" t="s">
        <v>550</v>
      </c>
      <c r="C58" s="2"/>
      <c r="D58" s="2"/>
      <c r="E58" s="38"/>
      <c r="F58" s="401"/>
      <c r="G58" s="401"/>
    </row>
    <row r="59" spans="1:7" s="308" customFormat="1" x14ac:dyDescent="0.3">
      <c r="A59" s="331"/>
      <c r="B59" s="9" t="s">
        <v>551</v>
      </c>
      <c r="C59" s="720" t="s">
        <v>552</v>
      </c>
      <c r="D59" s="720"/>
      <c r="E59" s="720"/>
      <c r="F59" s="401"/>
      <c r="G59" s="401"/>
    </row>
    <row r="60" spans="1:7" x14ac:dyDescent="0.3">
      <c r="A60" s="331"/>
      <c r="B60" s="9" t="s">
        <v>553</v>
      </c>
      <c r="C60" s="325" t="s">
        <v>554</v>
      </c>
      <c r="D60" s="325" t="s">
        <v>25</v>
      </c>
      <c r="E60" s="325">
        <v>3.3119999999999998</v>
      </c>
      <c r="F60" s="398"/>
      <c r="G60" s="398"/>
    </row>
    <row r="61" spans="1:7" x14ac:dyDescent="0.3">
      <c r="A61" s="331"/>
      <c r="B61" s="70"/>
      <c r="C61" s="398"/>
      <c r="D61" s="398"/>
      <c r="E61" s="398"/>
      <c r="F61" s="398"/>
      <c r="G61" s="398"/>
    </row>
    <row r="62" spans="1:7" x14ac:dyDescent="0.3">
      <c r="A62" s="338">
        <v>4</v>
      </c>
      <c r="B62" s="328" t="s">
        <v>415</v>
      </c>
      <c r="C62" s="73"/>
      <c r="D62" s="73"/>
      <c r="E62" s="76"/>
      <c r="F62" s="4"/>
      <c r="G62" s="4"/>
    </row>
    <row r="63" spans="1:7" x14ac:dyDescent="0.3">
      <c r="A63" s="338"/>
      <c r="B63" s="718"/>
      <c r="C63" s="718"/>
      <c r="D63" s="718"/>
      <c r="E63" s="718"/>
      <c r="F63" s="718"/>
      <c r="G63" s="718"/>
    </row>
    <row r="64" spans="1:7" x14ac:dyDescent="0.3">
      <c r="B64" s="180"/>
      <c r="C64" s="180"/>
      <c r="D64" s="180"/>
      <c r="E64" s="180"/>
      <c r="F64" s="180"/>
      <c r="G64" s="180"/>
    </row>
    <row r="65" spans="1:7" x14ac:dyDescent="0.3">
      <c r="A65" s="338">
        <v>5</v>
      </c>
      <c r="B65" s="328" t="str">
        <f>B25</f>
        <v>Long-term enhancement</v>
      </c>
      <c r="C65" s="397"/>
      <c r="D65" s="397"/>
      <c r="E65" s="397"/>
      <c r="F65" s="397"/>
      <c r="G65" s="397"/>
    </row>
    <row r="66" spans="1:7" x14ac:dyDescent="0.3">
      <c r="A66" s="338"/>
      <c r="B66" s="70"/>
      <c r="C66" s="397"/>
      <c r="D66" s="397"/>
      <c r="E66" s="397"/>
      <c r="F66" s="397"/>
      <c r="G66" s="397"/>
    </row>
    <row r="67" spans="1:7" x14ac:dyDescent="0.3">
      <c r="A67" s="338"/>
      <c r="B67" s="70"/>
      <c r="C67" s="397"/>
      <c r="D67" s="397"/>
      <c r="E67" s="397"/>
      <c r="F67" s="397"/>
      <c r="G67" s="397"/>
    </row>
    <row r="68" spans="1:7" x14ac:dyDescent="0.3">
      <c r="A68" s="44">
        <v>6</v>
      </c>
      <c r="B68" s="328" t="s">
        <v>494</v>
      </c>
      <c r="C68" s="180"/>
      <c r="D68" s="180"/>
      <c r="E68" s="180"/>
      <c r="F68" s="180"/>
      <c r="G68" s="180"/>
    </row>
    <row r="69" spans="1:7" ht="16.5" thickBot="1" x14ac:dyDescent="0.35">
      <c r="B69" s="2" t="str">
        <f>C9</f>
        <v>SVE</v>
      </c>
      <c r="E69" s="43"/>
    </row>
    <row r="70" spans="1:7" x14ac:dyDescent="0.3">
      <c r="B70" s="153" t="s">
        <v>495</v>
      </c>
      <c r="C70" s="154"/>
      <c r="D70" s="156" t="s">
        <v>393</v>
      </c>
      <c r="E70" s="158" t="s">
        <v>394</v>
      </c>
      <c r="F70" s="68" t="s">
        <v>395</v>
      </c>
      <c r="G70" s="340" t="s">
        <v>385</v>
      </c>
    </row>
    <row r="71" spans="1:7" x14ac:dyDescent="0.3">
      <c r="B71" s="85" t="s">
        <v>396</v>
      </c>
      <c r="C71" s="71" t="s">
        <v>25</v>
      </c>
      <c r="D71" s="175">
        <f t="shared" ref="D71:F72" si="0">D75+D79</f>
        <v>148.59</v>
      </c>
      <c r="E71" s="175">
        <f t="shared" si="0"/>
        <v>-1.6</v>
      </c>
      <c r="F71" s="240">
        <f t="shared" si="0"/>
        <v>146.98999999999998</v>
      </c>
      <c r="G71" s="36" t="str">
        <f>IF(ABS(SUM(D71,E71)-F71)&lt;0.001,"OK","ERROR")</f>
        <v>OK</v>
      </c>
    </row>
    <row r="72" spans="1:7" x14ac:dyDescent="0.3">
      <c r="B72" s="155" t="s">
        <v>397</v>
      </c>
      <c r="C72" s="71" t="s">
        <v>25</v>
      </c>
      <c r="D72" s="175">
        <f t="shared" si="0"/>
        <v>4.6056499999999998</v>
      </c>
      <c r="E72" s="175">
        <f t="shared" si="0"/>
        <v>0</v>
      </c>
      <c r="F72" s="240">
        <f t="shared" si="0"/>
        <v>4.6056499999999998</v>
      </c>
      <c r="G72" s="36" t="str">
        <f>IF(ABS(SUM(D72,E72)-F72)&lt;0.001,"OK","ERROR")</f>
        <v>OK</v>
      </c>
    </row>
    <row r="73" spans="1:7" x14ac:dyDescent="0.3">
      <c r="B73" s="85" t="s">
        <v>398</v>
      </c>
      <c r="C73" s="71" t="s">
        <v>93</v>
      </c>
      <c r="D73" s="175">
        <f>D77+D81</f>
        <v>103.6113017229913</v>
      </c>
      <c r="E73" s="175" t="s">
        <v>341</v>
      </c>
      <c r="F73" s="175">
        <f>D73</f>
        <v>103.6113017229913</v>
      </c>
      <c r="G73" s="36" t="str">
        <f>IF(ABS(SUM(D73,E73)-F73)&lt;0.001,"OK","ERROR")</f>
        <v>OK</v>
      </c>
    </row>
    <row r="74" spans="1:7" x14ac:dyDescent="0.3">
      <c r="B74" s="34"/>
      <c r="C74" s="16"/>
      <c r="D74" s="177"/>
      <c r="E74" s="177"/>
      <c r="F74" s="177"/>
      <c r="G74" s="36"/>
    </row>
    <row r="75" spans="1:7" x14ac:dyDescent="0.3">
      <c r="B75" s="85" t="s">
        <v>399</v>
      </c>
      <c r="C75" s="71" t="s">
        <v>25</v>
      </c>
      <c r="D75" s="175">
        <f>INDEX(Analysis!H$101:H$117,MATCH($B$69,Analysis!$B$101:$B$117,0))</f>
        <v>116.6</v>
      </c>
      <c r="E75" s="175">
        <f>INDEX(Analysis!I$101:I$117,MATCH($B$69,Analysis!$B$101:$B$117,0))</f>
        <v>0</v>
      </c>
      <c r="F75" s="175">
        <f>SUM(D75:E75)</f>
        <v>116.6</v>
      </c>
      <c r="G75" s="36" t="str">
        <f>IF(ABS(SUM(D75,E75)-F75)&lt;0.001,"OK","ERROR")</f>
        <v>OK</v>
      </c>
    </row>
    <row r="76" spans="1:7" x14ac:dyDescent="0.3">
      <c r="A76" s="223"/>
      <c r="B76" s="155" t="s">
        <v>400</v>
      </c>
      <c r="C76" s="157" t="s">
        <v>25</v>
      </c>
      <c r="D76" s="176">
        <f>INDEX(Analysis!H$150:H$166,MATCH($B$69,Analysis!$B$150:$B$166,0))</f>
        <v>0</v>
      </c>
      <c r="E76" s="176">
        <f>INDEX(Analysis!I$150:I$166,MATCH($B$69,Analysis!$B$150:$B$166,0))</f>
        <v>0</v>
      </c>
      <c r="F76" s="175">
        <f>SUM(D76:E76)</f>
        <v>0</v>
      </c>
      <c r="G76" s="36" t="str">
        <f>IF(ABS(SUM(D76,E76)-F76)&lt;0.001,"OK","ERROR")</f>
        <v>OK</v>
      </c>
    </row>
    <row r="77" spans="1:7" x14ac:dyDescent="0.3">
      <c r="A77" s="223"/>
      <c r="B77" s="85" t="s">
        <v>401</v>
      </c>
      <c r="C77" s="71" t="s">
        <v>93</v>
      </c>
      <c r="D77" s="175">
        <f>INDEX(Analysis!$H$26:$H$42,MATCH($B$69,Analysis!$B$26:$B$42,0))</f>
        <v>0</v>
      </c>
      <c r="E77" s="175" t="s">
        <v>341</v>
      </c>
      <c r="F77" s="175">
        <f>D77</f>
        <v>0</v>
      </c>
      <c r="G77" s="36" t="str">
        <f>IF(ABS(SUM(D77,E77)-F77)&lt;0.001,"OK","ERROR")</f>
        <v>OK</v>
      </c>
    </row>
    <row r="78" spans="1:7" x14ac:dyDescent="0.3">
      <c r="A78" s="223"/>
      <c r="B78" s="34"/>
      <c r="C78" s="16"/>
      <c r="D78" s="177"/>
      <c r="E78" s="177"/>
      <c r="F78" s="177"/>
      <c r="G78" s="36"/>
    </row>
    <row r="79" spans="1:7" x14ac:dyDescent="0.3">
      <c r="A79" s="223"/>
      <c r="B79" s="85" t="s">
        <v>402</v>
      </c>
      <c r="C79" s="71" t="s">
        <v>403</v>
      </c>
      <c r="D79" s="175">
        <f>INDEX(Analysis!H$125:H$141,MATCH($B$69,Analysis!$B$125:$B$141,0))</f>
        <v>31.99</v>
      </c>
      <c r="E79" s="175">
        <f>INDEX(Analysis!I$125:I$141,MATCH($B$69,Analysis!$B$125:$B$141,0))</f>
        <v>-1.6</v>
      </c>
      <c r="F79" s="175">
        <f>SUM(D79:E79)</f>
        <v>30.389999999999997</v>
      </c>
      <c r="G79" s="36" t="str">
        <f>IF(ABS(SUM(D79,E79)-F79)&lt;0.001,"OK","ERROR")</f>
        <v>OK</v>
      </c>
    </row>
    <row r="80" spans="1:7" x14ac:dyDescent="0.3">
      <c r="A80" s="223"/>
      <c r="B80" s="155" t="s">
        <v>404</v>
      </c>
      <c r="C80" s="71" t="s">
        <v>403</v>
      </c>
      <c r="D80" s="176">
        <f>INDEX(Analysis!H$175:H$191,MATCH($B$69,Analysis!$B$175:$B$191,0))</f>
        <v>4.6056499999999998</v>
      </c>
      <c r="E80" s="176">
        <f>INDEX(Analysis!I$175:I$191,MATCH($B$69,Analysis!$B$175:$B$191,0))</f>
        <v>0</v>
      </c>
      <c r="F80" s="175">
        <f>SUM(D80:E80)</f>
        <v>4.6056499999999998</v>
      </c>
      <c r="G80" s="36" t="str">
        <f>IF(ABS(SUM(D80,E80)-F80)&lt;0.001,"OK","ERROR")</f>
        <v>OK</v>
      </c>
    </row>
    <row r="81" spans="1:7" ht="16.5" thickBot="1" x14ac:dyDescent="0.35">
      <c r="A81" s="223"/>
      <c r="B81" s="151" t="s">
        <v>405</v>
      </c>
      <c r="C81" s="74" t="s">
        <v>93</v>
      </c>
      <c r="D81" s="178">
        <f>INDEX(Analysis!$H$51:$H$67,MATCH($B$69,Analysis!$B$51:$B$67,0))</f>
        <v>103.6113017229913</v>
      </c>
      <c r="E81" s="178" t="s">
        <v>341</v>
      </c>
      <c r="F81" s="178">
        <f>D81</f>
        <v>103.6113017229913</v>
      </c>
      <c r="G81" s="37" t="str">
        <f>IF(ABS(SUM(D81,E81)-F81)&lt;0.001,"OK","ERROR")</f>
        <v>OK</v>
      </c>
    </row>
  </sheetData>
  <mergeCells count="6">
    <mergeCell ref="B49:G49"/>
    <mergeCell ref="C59:E59"/>
    <mergeCell ref="B63:G63"/>
    <mergeCell ref="C4:D4"/>
    <mergeCell ref="C5:D5"/>
    <mergeCell ref="C6:D6"/>
  </mergeCells>
  <conditionalFormatting sqref="D69 G71:G73 G75:G77 G79:G81">
    <cfRule type="cellIs" dxfId="99" priority="11" operator="equal">
      <formula>"OK"</formula>
    </cfRule>
    <cfRule type="cellIs" dxfId="98" priority="12" operator="equal">
      <formula>"ERROR"</formula>
    </cfRule>
  </conditionalFormatting>
  <conditionalFormatting sqref="F4">
    <cfRule type="cellIs" dxfId="97" priority="7" operator="equal">
      <formula>"OK"</formula>
    </cfRule>
    <cfRule type="cellIs" dxfId="96" priority="8" operator="equal">
      <formula>"ERROR"</formula>
    </cfRule>
  </conditionalFormatting>
  <conditionalFormatting sqref="F5">
    <cfRule type="cellIs" dxfId="95" priority="5" operator="equal">
      <formula>"OK"</formula>
    </cfRule>
    <cfRule type="cellIs" dxfId="94" priority="6" operator="equal">
      <formula>"ERROR"</formula>
    </cfRule>
  </conditionalFormatting>
  <conditionalFormatting sqref="F6">
    <cfRule type="cellIs" dxfId="93" priority="3" operator="equal">
      <formula>"OK"</formula>
    </cfRule>
    <cfRule type="cellIs" dxfId="92" priority="4" operator="equal">
      <formula>"ERROR"</formula>
    </cfRule>
  </conditionalFormatting>
  <conditionalFormatting sqref="F5">
    <cfRule type="cellIs" dxfId="91" priority="1" operator="equal">
      <formula>"OK"</formula>
    </cfRule>
    <cfRule type="cellIs" dxfId="90" priority="2" operator="equal">
      <formula>"ERROR"</formula>
    </cfRule>
  </conditionalFormatting>
  <dataValidations count="2">
    <dataValidation type="list" allowBlank="1" showInputMessage="1" showErrorMessage="1" sqref="C9">
      <formula1>"ANH,NES,NWT,SRN,SVE,SWB,TMS,WSH,WSX,YKY,AFW,BRL,HDD,PRT,SES,SEW,SSC"</formula1>
    </dataValidation>
    <dataValidation type="decimal" errorStyle="warning" allowBlank="1" showInputMessage="1" showErrorMessage="1" errorTitle="Input outside of expected range" error="Costs should be positive and we are expecting a range of £0-£100m" sqref="E60">
      <formula1>0</formula1>
      <formula2>100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BW106"/>
  <sheetViews>
    <sheetView zoomScaleNormal="100" workbookViewId="0"/>
  </sheetViews>
  <sheetFormatPr defaultColWidth="8.7109375" defaultRowHeight="15" x14ac:dyDescent="0.3"/>
  <cols>
    <col min="1" max="1" width="7.28515625" style="46" customWidth="1"/>
    <col min="2" max="2" width="67.85546875" style="46" customWidth="1"/>
    <col min="3" max="3" width="18" style="46" customWidth="1"/>
    <col min="4" max="4" width="16.7109375" style="46" customWidth="1"/>
    <col min="5" max="5" width="13.7109375" style="48" customWidth="1"/>
    <col min="6" max="6" width="13.7109375" style="46" customWidth="1"/>
    <col min="7" max="7" width="61" style="46" customWidth="1"/>
    <col min="8" max="8" width="53.5703125" style="46" customWidth="1"/>
    <col min="9" max="9" width="47.7109375" style="46" customWidth="1"/>
    <col min="10" max="11" width="9" style="46" customWidth="1"/>
    <col min="12" max="13" width="8.28515625" style="46" customWidth="1"/>
    <col min="14" max="15" width="8.28515625" style="219" customWidth="1"/>
    <col min="16" max="41" width="8.7109375" style="219"/>
    <col min="42" max="42" width="80.28515625" style="219" customWidth="1"/>
    <col min="43" max="68" width="8.7109375" style="219"/>
    <col min="69" max="69" width="16.85546875" style="219" bestFit="1" customWidth="1"/>
    <col min="70" max="72" width="8.7109375" style="219"/>
    <col min="73" max="16384" width="8.7109375" style="46"/>
  </cols>
  <sheetData>
    <row r="1" spans="2:72" s="4" customFormat="1" ht="21.75" x14ac:dyDescent="0.3">
      <c r="B1" s="6" t="s">
        <v>765</v>
      </c>
      <c r="C1" s="1"/>
      <c r="D1" s="1"/>
      <c r="E1" s="45"/>
      <c r="F1" s="1"/>
      <c r="G1" s="2"/>
      <c r="H1" s="10"/>
      <c r="I1" s="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2:72" s="4" customFormat="1" ht="22.5" thickBot="1" x14ac:dyDescent="0.35">
      <c r="B2" s="5"/>
      <c r="C2" s="8"/>
      <c r="D2" s="8"/>
      <c r="E2" s="38"/>
      <c r="F2" s="2"/>
      <c r="G2" s="2"/>
      <c r="H2" s="10"/>
      <c r="I2" s="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row>
    <row r="3" spans="2:72" s="4" customFormat="1" ht="22.5" thickBot="1" x14ac:dyDescent="0.35">
      <c r="B3" s="5" t="s">
        <v>1</v>
      </c>
      <c r="C3" s="8"/>
      <c r="D3" s="8"/>
      <c r="E3" s="38"/>
      <c r="F3" s="394" t="s">
        <v>385</v>
      </c>
      <c r="G3" s="2"/>
      <c r="H3" s="10"/>
      <c r="I3" s="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row>
    <row r="4" spans="2:72" s="2" customFormat="1" x14ac:dyDescent="0.3">
      <c r="B4" s="354" t="s">
        <v>471</v>
      </c>
      <c r="C4" s="711" t="s">
        <v>387</v>
      </c>
      <c r="D4" s="712"/>
      <c r="E4" s="38"/>
      <c r="F4" s="395" t="str">
        <f>IF(ROUND(C10,3)-ROUND((F79+F80),3)=0,"OK","ERROR")</f>
        <v>OK</v>
      </c>
      <c r="G4" s="2" t="s">
        <v>472</v>
      </c>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row>
    <row r="5" spans="2:72" s="2" customFormat="1" ht="15.75" thickBot="1" x14ac:dyDescent="0.35">
      <c r="B5" s="355" t="s">
        <v>388</v>
      </c>
      <c r="C5" s="713">
        <v>43616</v>
      </c>
      <c r="D5" s="714"/>
      <c r="E5" s="38"/>
      <c r="F5" s="396" t="str">
        <f>IF(ROUND(D28,3)-ROUND((C10),3)=0,"OK","ERROR")</f>
        <v>OK</v>
      </c>
      <c r="G5" s="2" t="s">
        <v>473</v>
      </c>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row>
    <row r="6" spans="2:72" s="2" customFormat="1" ht="15.75" thickBot="1" x14ac:dyDescent="0.35">
      <c r="B6" s="356" t="s">
        <v>389</v>
      </c>
      <c r="C6" s="715" t="s">
        <v>932</v>
      </c>
      <c r="D6" s="716"/>
      <c r="E6" s="38"/>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row>
    <row r="7" spans="2:72" s="2" customFormat="1" x14ac:dyDescent="0.3">
      <c r="B7" s="16"/>
      <c r="C7" s="16"/>
      <c r="D7" s="17"/>
      <c r="E7" s="38"/>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row>
    <row r="8" spans="2:72" s="2" customFormat="1" ht="15.75" thickBot="1" x14ac:dyDescent="0.35">
      <c r="B8" s="5" t="s">
        <v>6</v>
      </c>
      <c r="E8" s="38"/>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row>
    <row r="9" spans="2:72" s="2" customFormat="1" x14ac:dyDescent="0.3">
      <c r="B9" s="357" t="s">
        <v>312</v>
      </c>
      <c r="C9" s="360" t="s">
        <v>31</v>
      </c>
      <c r="D9" s="403"/>
      <c r="E9" s="38"/>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row>
    <row r="10" spans="2:72" s="2" customFormat="1" x14ac:dyDescent="0.3">
      <c r="B10" s="358" t="s">
        <v>474</v>
      </c>
      <c r="C10" s="361">
        <f>INDEX(Analysis!L5:L21,MATCH(C9,Analysis!B5:B21,0))</f>
        <v>250.38000883720002</v>
      </c>
      <c r="D10" s="5"/>
      <c r="E10" s="38"/>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row>
    <row r="11" spans="2:72" s="2" customFormat="1" x14ac:dyDescent="0.3">
      <c r="B11" s="358" t="s">
        <v>475</v>
      </c>
      <c r="C11" s="361">
        <v>0</v>
      </c>
      <c r="D11" s="15"/>
      <c r="E11" s="63"/>
      <c r="G11" s="15"/>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row>
    <row r="12" spans="2:72" s="2" customFormat="1" x14ac:dyDescent="0.3">
      <c r="B12" s="358" t="s">
        <v>476</v>
      </c>
      <c r="C12" s="362">
        <f>C10+C11</f>
        <v>250.38000883720002</v>
      </c>
      <c r="D12" s="15"/>
      <c r="E12" s="63"/>
      <c r="G12" s="15"/>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row>
    <row r="13" spans="2:72" s="2" customFormat="1" x14ac:dyDescent="0.3">
      <c r="B13" s="358" t="s">
        <v>477</v>
      </c>
      <c r="C13" s="362">
        <v>0</v>
      </c>
      <c r="D13" s="15"/>
      <c r="E13" s="63"/>
      <c r="G13" s="15"/>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row>
    <row r="14" spans="2:72" s="2" customFormat="1" ht="15.75" thickBot="1" x14ac:dyDescent="0.35">
      <c r="B14" s="359" t="s">
        <v>478</v>
      </c>
      <c r="C14" s="363">
        <f ca="1">F28</f>
        <v>79.141336279066678</v>
      </c>
      <c r="D14" s="15"/>
      <c r="E14" s="63"/>
      <c r="G14" s="15"/>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row>
    <row r="15" spans="2:72" s="2" customFormat="1" x14ac:dyDescent="0.3">
      <c r="B15" s="337"/>
      <c r="C15" s="15"/>
      <c r="D15" s="15"/>
      <c r="E15" s="63"/>
      <c r="G15" s="15"/>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row>
    <row r="16" spans="2:72" s="2" customFormat="1" ht="15.75" thickBot="1" x14ac:dyDescent="0.35">
      <c r="B16" s="5" t="s">
        <v>391</v>
      </c>
      <c r="C16" s="82"/>
      <c r="E16" s="38"/>
    </row>
    <row r="17" spans="1:7" s="2" customFormat="1" ht="15.75" thickBot="1" x14ac:dyDescent="0.35">
      <c r="B17" s="364" t="s">
        <v>479</v>
      </c>
      <c r="C17" s="365">
        <f ca="1">C13+C14</f>
        <v>79.141336279066678</v>
      </c>
      <c r="D17" s="5"/>
      <c r="E17" s="38"/>
    </row>
    <row r="18" spans="1:7" s="2" customFormat="1" x14ac:dyDescent="0.3">
      <c r="A18" s="44"/>
      <c r="E18" s="38"/>
    </row>
    <row r="19" spans="1:7" s="2" customFormat="1" ht="16.5" thickBot="1" x14ac:dyDescent="0.35">
      <c r="A19" s="44"/>
      <c r="B19" s="172" t="s">
        <v>480</v>
      </c>
      <c r="C19" s="35"/>
      <c r="D19" s="16"/>
      <c r="E19" s="22"/>
      <c r="F19" s="40"/>
      <c r="G19" s="64"/>
    </row>
    <row r="20" spans="1:7" s="31" customFormat="1" ht="45" x14ac:dyDescent="0.3">
      <c r="A20" s="372" t="s">
        <v>481</v>
      </c>
      <c r="B20" s="373" t="s">
        <v>482</v>
      </c>
      <c r="C20" s="382" t="s">
        <v>483</v>
      </c>
      <c r="D20" s="382" t="s">
        <v>484</v>
      </c>
      <c r="E20" s="382" t="s">
        <v>485</v>
      </c>
      <c r="F20" s="382" t="s">
        <v>486</v>
      </c>
      <c r="G20" s="470" t="s">
        <v>340</v>
      </c>
    </row>
    <row r="21" spans="1:7" s="2" customFormat="1" ht="60" x14ac:dyDescent="0.3">
      <c r="A21" s="560">
        <v>1</v>
      </c>
      <c r="B21" s="561" t="s">
        <v>411</v>
      </c>
      <c r="C21" s="367">
        <f>SUM(C22:C23)</f>
        <v>70.599999999999994</v>
      </c>
      <c r="D21" s="367">
        <f>D94</f>
        <v>74.269336279066678</v>
      </c>
      <c r="E21" s="367">
        <f>C22+C23</f>
        <v>70.599999999999994</v>
      </c>
      <c r="F21" s="404">
        <f ca="1">E21*MIN(D31,C31)</f>
        <v>74.269336279066678</v>
      </c>
      <c r="G21" s="162" t="s">
        <v>1057</v>
      </c>
    </row>
    <row r="22" spans="1:7" s="2" customFormat="1" x14ac:dyDescent="0.3">
      <c r="A22" s="560" t="s">
        <v>487</v>
      </c>
      <c r="B22" s="561" t="s">
        <v>408</v>
      </c>
      <c r="C22" s="384">
        <f>D45</f>
        <v>38.6</v>
      </c>
      <c r="D22" s="384">
        <f>C45</f>
        <v>42</v>
      </c>
      <c r="E22" s="371"/>
      <c r="F22" s="371"/>
      <c r="G22" s="621"/>
    </row>
    <row r="23" spans="1:7" s="2" customFormat="1" x14ac:dyDescent="0.3">
      <c r="A23" s="560" t="s">
        <v>488</v>
      </c>
      <c r="B23" s="561" t="s">
        <v>409</v>
      </c>
      <c r="C23" s="384">
        <f>C49</f>
        <v>32</v>
      </c>
      <c r="D23" s="384">
        <f>C48</f>
        <v>32</v>
      </c>
      <c r="E23" s="371"/>
      <c r="F23" s="371"/>
      <c r="G23" s="621"/>
    </row>
    <row r="24" spans="1:7" s="2" customFormat="1" ht="195" x14ac:dyDescent="0.3">
      <c r="A24" s="560">
        <v>2</v>
      </c>
      <c r="B24" s="561" t="s">
        <v>412</v>
      </c>
      <c r="C24" s="405">
        <f>C60</f>
        <v>42.4</v>
      </c>
      <c r="D24" s="405">
        <f>D95</f>
        <v>156.96933627906665</v>
      </c>
      <c r="E24" s="371"/>
      <c r="F24" s="368">
        <f>INDEX('Leakage assessment'!B5:B21,MATCH(B77,'Leakage assessment'!A5:A21,0))</f>
        <v>0</v>
      </c>
      <c r="G24" s="162" t="s">
        <v>1042</v>
      </c>
    </row>
    <row r="25" spans="1:7" s="2" customFormat="1" ht="60.75" customHeight="1" x14ac:dyDescent="0.3">
      <c r="A25" s="560">
        <v>3</v>
      </c>
      <c r="B25" s="561" t="s">
        <v>413</v>
      </c>
      <c r="C25" s="371"/>
      <c r="D25" s="405">
        <f>C66</f>
        <v>4.8719999999999999</v>
      </c>
      <c r="E25" s="371"/>
      <c r="F25" s="405">
        <f>D25</f>
        <v>4.8719999999999999</v>
      </c>
      <c r="G25" s="473" t="s">
        <v>1055</v>
      </c>
    </row>
    <row r="26" spans="1:7" s="2" customFormat="1" x14ac:dyDescent="0.3">
      <c r="A26" s="560">
        <v>4</v>
      </c>
      <c r="B26" s="561" t="s">
        <v>415</v>
      </c>
      <c r="C26" s="371"/>
      <c r="D26" s="405">
        <v>0</v>
      </c>
      <c r="E26" s="371"/>
      <c r="F26" s="405">
        <v>0</v>
      </c>
      <c r="G26" s="488" t="s">
        <v>557</v>
      </c>
    </row>
    <row r="27" spans="1:7" s="2" customFormat="1" ht="75.75" thickBot="1" x14ac:dyDescent="0.35">
      <c r="A27" s="562">
        <v>5</v>
      </c>
      <c r="B27" s="563" t="s">
        <v>416</v>
      </c>
      <c r="C27" s="377"/>
      <c r="D27" s="378">
        <f>D99</f>
        <v>14.269336279066673</v>
      </c>
      <c r="E27" s="377"/>
      <c r="F27" s="378">
        <v>0</v>
      </c>
      <c r="G27" s="491" t="s">
        <v>1056</v>
      </c>
    </row>
    <row r="28" spans="1:7" s="2" customFormat="1" ht="22.5" customHeight="1" thickBot="1" x14ac:dyDescent="0.35">
      <c r="A28" s="44"/>
      <c r="B28" s="379" t="s">
        <v>313</v>
      </c>
      <c r="C28" s="426"/>
      <c r="D28" s="426">
        <f>SUM(D21,D24:D27)</f>
        <v>250.38000883719999</v>
      </c>
      <c r="E28" s="426"/>
      <c r="F28" s="426">
        <f ca="1">SUM(F21,F24:F27)</f>
        <v>79.141336279066678</v>
      </c>
      <c r="G28" s="407"/>
    </row>
    <row r="29" spans="1:7" s="2" customFormat="1" x14ac:dyDescent="0.3">
      <c r="B29" s="71"/>
      <c r="C29" s="71"/>
      <c r="D29" s="75"/>
      <c r="E29" s="70"/>
      <c r="F29" s="71"/>
      <c r="G29" s="70"/>
    </row>
    <row r="30" spans="1:7" s="2" customFormat="1" ht="30.75" thickBot="1" x14ac:dyDescent="0.35">
      <c r="B30" s="172" t="s">
        <v>490</v>
      </c>
      <c r="C30" s="386" t="s">
        <v>491</v>
      </c>
      <c r="D30" s="386" t="s">
        <v>492</v>
      </c>
      <c r="E30" s="22"/>
      <c r="F30" s="16"/>
      <c r="G30" s="70"/>
    </row>
    <row r="31" spans="1:7" s="2" customFormat="1" x14ac:dyDescent="0.3">
      <c r="B31" s="387" t="s">
        <v>418</v>
      </c>
      <c r="C31" s="388">
        <f>IFERROR(D21/C21,0)</f>
        <v>1.0519736016864969</v>
      </c>
      <c r="D31" s="389">
        <f ca="1">'Unit costs'!B3</f>
        <v>1.2</v>
      </c>
      <c r="E31" s="22"/>
      <c r="F31" s="16"/>
    </row>
    <row r="32" spans="1:7" s="2" customFormat="1" ht="15.75" thickBot="1" x14ac:dyDescent="0.35">
      <c r="B32" s="390" t="s">
        <v>420</v>
      </c>
      <c r="C32" s="391">
        <f>D24/C24</f>
        <v>3.7021069877138362</v>
      </c>
      <c r="D32" s="392">
        <f ca="1">'Unit costs'!B4</f>
        <v>2.0302304832713758</v>
      </c>
      <c r="E32" s="22"/>
      <c r="F32" s="16"/>
      <c r="G32" s="65"/>
    </row>
    <row r="33" spans="1:75" s="2" customFormat="1" ht="16.5" thickBot="1" x14ac:dyDescent="0.35">
      <c r="B33" s="16"/>
      <c r="C33" s="16"/>
      <c r="D33" s="16"/>
      <c r="E33" s="16"/>
      <c r="F33" s="16"/>
      <c r="G33" s="65"/>
      <c r="H33" s="16"/>
      <c r="I33" s="16"/>
      <c r="J33" s="212"/>
      <c r="K33" s="213"/>
      <c r="L33" s="213"/>
      <c r="M33" s="213"/>
      <c r="N33" s="213"/>
      <c r="O33" s="213"/>
      <c r="P33" s="213"/>
      <c r="Q33" s="209"/>
      <c r="R33" s="209"/>
      <c r="S33" s="214"/>
      <c r="T33" s="210"/>
      <c r="U33" s="210"/>
      <c r="V33" s="210"/>
      <c r="W33" s="210"/>
      <c r="X33" s="210"/>
      <c r="Y33" s="210"/>
      <c r="Z33" s="211"/>
      <c r="AA33" s="211"/>
      <c r="AB33" s="211"/>
      <c r="AC33" s="211"/>
      <c r="AD33" s="232"/>
      <c r="AE33" s="211"/>
      <c r="AF33" s="234"/>
      <c r="AG33" s="211"/>
      <c r="AH33" s="211"/>
      <c r="AI33" s="211"/>
      <c r="AJ33" s="211"/>
      <c r="AK33" s="211"/>
      <c r="AL33" s="211"/>
      <c r="AM33" s="211"/>
      <c r="AN33" s="211"/>
      <c r="AO33" s="211"/>
      <c r="AP33" s="211"/>
      <c r="AQ33" s="211"/>
      <c r="AR33" s="211"/>
      <c r="AS33" s="211"/>
      <c r="AT33" s="211"/>
      <c r="AU33" s="211"/>
      <c r="AV33" s="211"/>
      <c r="AW33" s="211"/>
      <c r="AX33" s="211"/>
      <c r="AY33" s="211"/>
      <c r="AZ33" s="222"/>
      <c r="BA33" s="449"/>
      <c r="BB33" s="450"/>
      <c r="BC33" s="222"/>
      <c r="BD33" s="228"/>
      <c r="BE33" s="228"/>
      <c r="BF33" s="228"/>
      <c r="BG33" s="211"/>
      <c r="BH33" s="211"/>
      <c r="BI33" s="211"/>
      <c r="BJ33" s="211"/>
      <c r="BK33" s="222"/>
      <c r="BL33" s="222"/>
      <c r="BM33" s="222"/>
      <c r="BN33" s="222"/>
      <c r="BO33" s="222"/>
      <c r="BP33" s="227"/>
      <c r="BQ33" s="227"/>
      <c r="BR33" s="227"/>
      <c r="BS33" s="227"/>
      <c r="BT33" s="211"/>
    </row>
    <row r="34" spans="1:75" s="2" customFormat="1" ht="16.5" thickBot="1" x14ac:dyDescent="0.35">
      <c r="B34" s="451" t="s">
        <v>747</v>
      </c>
      <c r="C34" s="453">
        <v>9.2725921624741511E-2</v>
      </c>
      <c r="D34" s="16"/>
      <c r="E34" s="16"/>
      <c r="F34" s="16"/>
      <c r="G34" s="70"/>
      <c r="H34" s="16"/>
      <c r="I34" s="71"/>
      <c r="J34" s="215"/>
      <c r="K34" s="213"/>
      <c r="L34" s="213"/>
      <c r="M34" s="213"/>
      <c r="N34" s="213"/>
      <c r="O34" s="213"/>
      <c r="P34" s="213"/>
      <c r="Q34" s="209"/>
      <c r="R34" s="209"/>
      <c r="S34" s="214"/>
      <c r="T34" s="216"/>
      <c r="U34" s="216"/>
      <c r="V34" s="216"/>
      <c r="W34" s="216"/>
      <c r="X34" s="216"/>
      <c r="Y34" s="216"/>
      <c r="Z34" s="211"/>
      <c r="AA34" s="211"/>
      <c r="AB34" s="211"/>
      <c r="AC34" s="219"/>
      <c r="AD34" s="219"/>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row>
    <row r="35" spans="1:75" ht="15.75" x14ac:dyDescent="0.3">
      <c r="B35" s="16"/>
      <c r="C35" s="16"/>
      <c r="D35" s="16"/>
      <c r="E35" s="16"/>
      <c r="H35" s="189"/>
      <c r="J35" s="217"/>
      <c r="K35" s="218"/>
      <c r="L35" s="218"/>
      <c r="M35" s="218"/>
      <c r="N35" s="218"/>
      <c r="O35" s="218"/>
      <c r="P35" s="218"/>
      <c r="Q35" s="209"/>
      <c r="R35" s="209"/>
      <c r="S35" s="215"/>
      <c r="T35" s="216"/>
      <c r="U35" s="216"/>
      <c r="V35" s="216"/>
      <c r="W35" s="216"/>
      <c r="X35" s="216"/>
      <c r="Y35" s="216"/>
    </row>
    <row r="36" spans="1:75" ht="15.75" x14ac:dyDescent="0.3">
      <c r="B36" s="54" t="s">
        <v>303</v>
      </c>
      <c r="H36" s="189"/>
      <c r="J36" s="217"/>
      <c r="K36" s="218"/>
      <c r="L36" s="218"/>
      <c r="M36" s="218"/>
      <c r="N36" s="218"/>
      <c r="O36" s="218"/>
      <c r="P36" s="218"/>
      <c r="Q36" s="209"/>
      <c r="R36" s="209"/>
      <c r="S36" s="215"/>
      <c r="T36" s="216"/>
      <c r="U36" s="216"/>
      <c r="V36" s="216"/>
      <c r="W36" s="216"/>
      <c r="X36" s="216"/>
      <c r="Y36" s="216"/>
    </row>
    <row r="37" spans="1:75" ht="15.75" x14ac:dyDescent="0.3">
      <c r="A37" s="499">
        <v>1</v>
      </c>
      <c r="B37" s="54" t="s">
        <v>411</v>
      </c>
      <c r="C37" s="248"/>
      <c r="D37" s="248"/>
      <c r="E37" s="248"/>
      <c r="F37" s="248"/>
      <c r="G37" s="248"/>
      <c r="H37" s="248"/>
      <c r="I37" s="49"/>
      <c r="J37" s="49"/>
      <c r="K37" s="218"/>
      <c r="L37" s="218"/>
      <c r="M37" s="218"/>
      <c r="N37" s="218"/>
      <c r="O37" s="218"/>
      <c r="P37" s="218"/>
      <c r="Q37" s="209"/>
      <c r="R37" s="209"/>
      <c r="S37" s="215"/>
      <c r="T37" s="216"/>
      <c r="U37" s="216"/>
      <c r="V37" s="216"/>
      <c r="W37" s="216"/>
      <c r="X37" s="216"/>
      <c r="Y37" s="216"/>
      <c r="AA37" s="215"/>
      <c r="AB37" s="218"/>
      <c r="AC37" s="218"/>
      <c r="AD37" s="218"/>
      <c r="AE37" s="218"/>
      <c r="AF37" s="218"/>
      <c r="AG37" s="220"/>
      <c r="AQ37" s="46"/>
      <c r="BI37" s="229"/>
      <c r="BJ37" s="229"/>
      <c r="BR37" s="230"/>
      <c r="BS37" s="230"/>
      <c r="BU37" s="219"/>
      <c r="BV37" s="219"/>
      <c r="BW37" s="219"/>
    </row>
    <row r="38" spans="1:75" ht="15.75" x14ac:dyDescent="0.3">
      <c r="A38" s="499" t="s">
        <v>487</v>
      </c>
      <c r="B38" s="54" t="s">
        <v>959</v>
      </c>
      <c r="C38" s="248"/>
      <c r="D38" s="248"/>
      <c r="E38" s="248"/>
      <c r="F38" s="248"/>
      <c r="G38" s="248"/>
      <c r="H38" s="248"/>
      <c r="I38" s="49"/>
      <c r="J38" s="49"/>
      <c r="K38" s="218"/>
      <c r="L38" s="218"/>
      <c r="M38" s="218"/>
      <c r="N38" s="218"/>
      <c r="O38" s="218"/>
      <c r="P38" s="218"/>
      <c r="Q38" s="209"/>
      <c r="R38" s="209"/>
      <c r="S38" s="215"/>
      <c r="T38" s="216"/>
      <c r="U38" s="216"/>
      <c r="V38" s="216"/>
      <c r="W38" s="216"/>
      <c r="X38" s="216"/>
      <c r="Y38" s="216"/>
      <c r="AA38" s="215"/>
      <c r="AB38" s="218"/>
      <c r="AC38" s="218"/>
      <c r="AD38" s="218"/>
      <c r="AE38" s="218"/>
      <c r="AF38" s="218"/>
      <c r="AG38" s="220"/>
      <c r="AQ38" s="46"/>
      <c r="BI38" s="229"/>
      <c r="BJ38" s="229"/>
      <c r="BR38" s="230"/>
      <c r="BS38" s="230"/>
      <c r="BU38" s="219"/>
      <c r="BV38" s="219"/>
      <c r="BW38" s="219"/>
    </row>
    <row r="39" spans="1:75" ht="15.75" x14ac:dyDescent="0.3">
      <c r="A39" s="499"/>
      <c r="B39" s="243" t="s">
        <v>463</v>
      </c>
      <c r="C39" s="572" t="s">
        <v>559</v>
      </c>
      <c r="D39" s="572" t="s">
        <v>555</v>
      </c>
      <c r="E39" s="572" t="s">
        <v>556</v>
      </c>
      <c r="F39" s="258" t="s">
        <v>558</v>
      </c>
      <c r="H39" s="248"/>
      <c r="I39" s="49"/>
      <c r="J39" s="49"/>
      <c r="K39" s="218"/>
      <c r="L39" s="218"/>
      <c r="M39" s="218"/>
      <c r="N39" s="218"/>
      <c r="O39" s="218"/>
      <c r="P39" s="218"/>
      <c r="Q39" s="209"/>
      <c r="R39" s="209"/>
      <c r="S39" s="215"/>
      <c r="T39" s="216"/>
      <c r="U39" s="216"/>
      <c r="V39" s="216"/>
      <c r="W39" s="216"/>
      <c r="X39" s="216"/>
      <c r="Y39" s="216"/>
      <c r="AA39" s="215"/>
      <c r="AB39" s="218"/>
      <c r="AC39" s="218"/>
      <c r="AD39" s="218"/>
      <c r="AE39" s="218"/>
      <c r="AF39" s="218"/>
      <c r="AG39" s="220"/>
      <c r="AQ39" s="46"/>
      <c r="BI39" s="229"/>
      <c r="BJ39" s="229"/>
      <c r="BR39" s="230"/>
      <c r="BS39" s="230"/>
      <c r="BU39" s="219"/>
      <c r="BV39" s="219"/>
      <c r="BW39" s="219"/>
    </row>
    <row r="40" spans="1:75" ht="15.75" x14ac:dyDescent="0.3">
      <c r="A40" s="499"/>
      <c r="B40" s="50" t="s">
        <v>560</v>
      </c>
      <c r="C40" s="242"/>
      <c r="D40" s="270">
        <v>5</v>
      </c>
      <c r="E40" s="242" t="s">
        <v>561</v>
      </c>
      <c r="H40" s="248"/>
      <c r="I40" s="49"/>
      <c r="J40" s="49"/>
      <c r="K40" s="218"/>
      <c r="L40" s="218"/>
      <c r="M40" s="218"/>
      <c r="N40" s="218"/>
      <c r="O40" s="218"/>
      <c r="P40" s="218"/>
      <c r="Q40" s="209"/>
      <c r="R40" s="209"/>
      <c r="S40" s="215"/>
      <c r="T40" s="216"/>
      <c r="U40" s="216"/>
      <c r="V40" s="216"/>
      <c r="W40" s="216"/>
      <c r="X40" s="216"/>
      <c r="Y40" s="216"/>
      <c r="AA40" s="215"/>
      <c r="AB40" s="218"/>
      <c r="AC40" s="218"/>
      <c r="AD40" s="218"/>
      <c r="AE40" s="218"/>
      <c r="AF40" s="218"/>
      <c r="AG40" s="220"/>
      <c r="AQ40" s="46"/>
      <c r="BI40" s="229"/>
      <c r="BJ40" s="229"/>
      <c r="BR40" s="230"/>
      <c r="BS40" s="230"/>
      <c r="BU40" s="219"/>
      <c r="BV40" s="219"/>
      <c r="BW40" s="219"/>
    </row>
    <row r="41" spans="1:75" ht="15.75" x14ac:dyDescent="0.3">
      <c r="A41" s="499"/>
      <c r="B41" s="50" t="s">
        <v>562</v>
      </c>
      <c r="C41" s="242"/>
      <c r="D41" s="270">
        <v>18</v>
      </c>
      <c r="E41" s="242" t="s">
        <v>561</v>
      </c>
      <c r="I41" s="49"/>
      <c r="J41" s="49"/>
      <c r="K41" s="218"/>
      <c r="L41" s="218"/>
      <c r="M41" s="218"/>
      <c r="N41" s="218"/>
      <c r="O41" s="218"/>
      <c r="P41" s="218"/>
      <c r="Q41" s="209"/>
      <c r="R41" s="209"/>
      <c r="S41" s="215"/>
      <c r="T41" s="216"/>
      <c r="U41" s="216"/>
      <c r="V41" s="216"/>
      <c r="W41" s="216"/>
      <c r="X41" s="216"/>
      <c r="Y41" s="216"/>
      <c r="AA41" s="215"/>
      <c r="AB41" s="218"/>
      <c r="AC41" s="218"/>
      <c r="AD41" s="218"/>
      <c r="AE41" s="218"/>
      <c r="AF41" s="218"/>
      <c r="AG41" s="220"/>
      <c r="AQ41" s="46"/>
      <c r="BI41" s="229"/>
      <c r="BJ41" s="229"/>
      <c r="BR41" s="230"/>
      <c r="BS41" s="230"/>
      <c r="BU41" s="219"/>
      <c r="BV41" s="219"/>
      <c r="BW41" s="219"/>
    </row>
    <row r="42" spans="1:75" ht="15.75" x14ac:dyDescent="0.3">
      <c r="A42" s="499"/>
      <c r="B42" s="50" t="s">
        <v>563</v>
      </c>
      <c r="C42" s="242"/>
      <c r="D42" s="270">
        <v>3</v>
      </c>
      <c r="E42" s="242" t="s">
        <v>561</v>
      </c>
      <c r="I42" s="49"/>
      <c r="J42" s="49"/>
      <c r="K42" s="218"/>
      <c r="L42" s="218"/>
      <c r="M42" s="218"/>
      <c r="N42" s="218"/>
      <c r="O42" s="218"/>
      <c r="P42" s="218"/>
      <c r="Q42" s="209"/>
      <c r="R42" s="209"/>
      <c r="S42" s="215"/>
      <c r="T42" s="216"/>
      <c r="U42" s="216"/>
      <c r="V42" s="216"/>
      <c r="W42" s="216"/>
      <c r="X42" s="216"/>
      <c r="Y42" s="216"/>
      <c r="AA42" s="215"/>
      <c r="AB42" s="218"/>
      <c r="AC42" s="218"/>
      <c r="AD42" s="218"/>
      <c r="AE42" s="218"/>
      <c r="AF42" s="218"/>
      <c r="AG42" s="220"/>
      <c r="AQ42" s="46"/>
      <c r="BI42" s="229"/>
      <c r="BJ42" s="229"/>
      <c r="BR42" s="230"/>
      <c r="BS42" s="230"/>
      <c r="BU42" s="219"/>
      <c r="BV42" s="219"/>
      <c r="BW42" s="219"/>
    </row>
    <row r="43" spans="1:75" ht="15.75" x14ac:dyDescent="0.3">
      <c r="A43" s="499"/>
      <c r="B43" s="50" t="s">
        <v>564</v>
      </c>
      <c r="C43" s="242"/>
      <c r="D43" s="270">
        <v>4.5999999999999996</v>
      </c>
      <c r="E43" s="242" t="s">
        <v>565</v>
      </c>
      <c r="I43" s="49"/>
      <c r="J43" s="49"/>
      <c r="K43" s="218"/>
      <c r="L43" s="218"/>
      <c r="M43" s="218"/>
      <c r="N43" s="218"/>
      <c r="O43" s="218"/>
      <c r="P43" s="218"/>
      <c r="Q43" s="209"/>
      <c r="R43" s="209"/>
      <c r="S43" s="215"/>
      <c r="T43" s="216"/>
      <c r="U43" s="216"/>
      <c r="V43" s="216"/>
      <c r="W43" s="216"/>
      <c r="X43" s="216"/>
      <c r="Y43" s="216"/>
      <c r="AA43" s="215"/>
      <c r="AB43" s="218"/>
      <c r="AC43" s="218"/>
      <c r="AD43" s="218"/>
      <c r="AE43" s="218"/>
      <c r="AF43" s="218"/>
      <c r="AG43" s="220"/>
      <c r="AQ43" s="46"/>
      <c r="BI43" s="229"/>
      <c r="BJ43" s="229"/>
      <c r="BR43" s="230"/>
      <c r="BS43" s="230"/>
      <c r="BU43" s="219"/>
      <c r="BV43" s="219"/>
      <c r="BW43" s="219"/>
    </row>
    <row r="44" spans="1:75" ht="15.75" x14ac:dyDescent="0.3">
      <c r="A44" s="499"/>
      <c r="B44" s="50" t="s">
        <v>566</v>
      </c>
      <c r="C44" s="242"/>
      <c r="D44" s="270">
        <v>8</v>
      </c>
      <c r="E44" s="242" t="s">
        <v>561</v>
      </c>
      <c r="H44" s="248"/>
      <c r="I44" s="49"/>
      <c r="J44" s="49"/>
      <c r="K44" s="218"/>
      <c r="L44" s="218"/>
      <c r="M44" s="218"/>
      <c r="N44" s="218"/>
      <c r="O44" s="218"/>
      <c r="P44" s="218"/>
      <c r="Q44" s="209"/>
      <c r="R44" s="209"/>
      <c r="S44" s="215"/>
      <c r="T44" s="216"/>
      <c r="U44" s="216"/>
      <c r="V44" s="216"/>
      <c r="W44" s="216"/>
      <c r="X44" s="216"/>
      <c r="Y44" s="216"/>
      <c r="AA44" s="215"/>
      <c r="AB44" s="218"/>
      <c r="AC44" s="218"/>
      <c r="AD44" s="218"/>
      <c r="AE44" s="218"/>
      <c r="AF44" s="218"/>
      <c r="AG44" s="220"/>
      <c r="AQ44" s="46"/>
      <c r="BI44" s="229"/>
      <c r="BJ44" s="229"/>
      <c r="BR44" s="230"/>
      <c r="BS44" s="230"/>
      <c r="BU44" s="219"/>
      <c r="BV44" s="219"/>
      <c r="BW44" s="219"/>
    </row>
    <row r="45" spans="1:75" ht="15.75" x14ac:dyDescent="0.3">
      <c r="A45" s="499"/>
      <c r="B45" s="247"/>
      <c r="C45" s="249">
        <v>42</v>
      </c>
      <c r="D45" s="249">
        <f>SUM(D40:D44)</f>
        <v>38.6</v>
      </c>
      <c r="E45" s="258" t="s">
        <v>867</v>
      </c>
      <c r="H45" s="248"/>
      <c r="I45" s="49"/>
      <c r="J45" s="49"/>
      <c r="K45" s="218"/>
      <c r="L45" s="218"/>
      <c r="M45" s="218"/>
      <c r="N45" s="218"/>
      <c r="O45" s="218"/>
      <c r="P45" s="218"/>
      <c r="Q45" s="209"/>
      <c r="R45" s="209"/>
      <c r="S45" s="215"/>
      <c r="T45" s="216"/>
      <c r="U45" s="216"/>
      <c r="V45" s="216"/>
      <c r="W45" s="216"/>
      <c r="X45" s="216"/>
      <c r="Y45" s="216"/>
      <c r="AA45" s="215"/>
      <c r="AB45" s="218"/>
      <c r="AC45" s="218"/>
      <c r="AD45" s="218"/>
      <c r="AE45" s="218"/>
      <c r="AF45" s="218"/>
      <c r="AG45" s="220"/>
      <c r="AQ45" s="46"/>
      <c r="BI45" s="229"/>
      <c r="BJ45" s="229"/>
      <c r="BR45" s="230"/>
      <c r="BS45" s="230"/>
      <c r="BU45" s="219"/>
      <c r="BV45" s="219"/>
      <c r="BW45" s="219"/>
    </row>
    <row r="46" spans="1:75" ht="15.75" x14ac:dyDescent="0.3">
      <c r="A46" s="499" t="s">
        <v>488</v>
      </c>
      <c r="B46" s="335" t="s">
        <v>409</v>
      </c>
      <c r="C46" s="248"/>
      <c r="D46" s="248"/>
      <c r="E46" s="249"/>
      <c r="F46" s="249"/>
      <c r="G46" s="258"/>
      <c r="H46" s="248"/>
      <c r="I46" s="49"/>
      <c r="J46" s="49"/>
      <c r="K46" s="218"/>
      <c r="L46" s="218"/>
      <c r="M46" s="218"/>
      <c r="N46" s="218"/>
      <c r="O46" s="218"/>
      <c r="P46" s="218"/>
      <c r="Q46" s="209"/>
      <c r="R46" s="209"/>
      <c r="S46" s="215"/>
      <c r="T46" s="216"/>
      <c r="U46" s="216"/>
      <c r="V46" s="216"/>
      <c r="W46" s="216"/>
      <c r="X46" s="216"/>
      <c r="Y46" s="216"/>
      <c r="AA46" s="215"/>
      <c r="AB46" s="218"/>
      <c r="AC46" s="218"/>
      <c r="AD46" s="218"/>
      <c r="AE46" s="218"/>
      <c r="AF46" s="218"/>
      <c r="AG46" s="220"/>
      <c r="AQ46" s="46"/>
      <c r="BI46" s="229"/>
      <c r="BJ46" s="229"/>
      <c r="BR46" s="230"/>
      <c r="BS46" s="230"/>
      <c r="BU46" s="219"/>
      <c r="BV46" s="219"/>
      <c r="BW46" s="219"/>
    </row>
    <row r="47" spans="1:75" ht="15.75" x14ac:dyDescent="0.3">
      <c r="A47" s="499"/>
      <c r="B47" s="49" t="s">
        <v>858</v>
      </c>
      <c r="C47" s="248"/>
      <c r="D47" s="248"/>
      <c r="E47" s="249"/>
      <c r="F47" s="249"/>
      <c r="G47" s="258"/>
      <c r="H47" s="248"/>
      <c r="I47" s="49"/>
      <c r="J47" s="49"/>
      <c r="K47" s="218"/>
      <c r="L47" s="218"/>
      <c r="M47" s="218"/>
      <c r="N47" s="218"/>
      <c r="O47" s="218"/>
      <c r="P47" s="218"/>
      <c r="Q47" s="209"/>
      <c r="R47" s="209"/>
      <c r="S47" s="215"/>
      <c r="T47" s="216"/>
      <c r="U47" s="216"/>
      <c r="V47" s="216"/>
      <c r="W47" s="216"/>
      <c r="X47" s="216"/>
      <c r="Y47" s="216"/>
      <c r="AA47" s="215"/>
      <c r="AB47" s="218"/>
      <c r="AC47" s="218"/>
      <c r="AD47" s="218"/>
      <c r="AE47" s="218"/>
      <c r="AF47" s="218"/>
      <c r="AG47" s="220"/>
      <c r="AQ47" s="46"/>
      <c r="BI47" s="229"/>
      <c r="BJ47" s="229"/>
      <c r="BR47" s="230"/>
      <c r="BS47" s="230"/>
      <c r="BU47" s="219"/>
      <c r="BV47" s="219"/>
      <c r="BW47" s="219"/>
    </row>
    <row r="48" spans="1:75" ht="15.75" x14ac:dyDescent="0.3">
      <c r="A48" s="499"/>
      <c r="B48" s="49" t="s">
        <v>19</v>
      </c>
      <c r="C48" s="248">
        <v>32</v>
      </c>
      <c r="D48" s="248" t="s">
        <v>25</v>
      </c>
      <c r="E48" s="249"/>
      <c r="F48" s="249"/>
      <c r="G48" s="258"/>
      <c r="H48" s="248"/>
      <c r="I48" s="49"/>
      <c r="J48" s="49"/>
      <c r="K48" s="218"/>
      <c r="L48" s="218"/>
      <c r="M48" s="218"/>
      <c r="N48" s="218"/>
      <c r="O48" s="218"/>
      <c r="P48" s="218"/>
      <c r="Q48" s="209"/>
      <c r="R48" s="209"/>
      <c r="S48" s="215"/>
      <c r="T48" s="216"/>
      <c r="U48" s="216"/>
      <c r="V48" s="216"/>
      <c r="W48" s="216"/>
      <c r="X48" s="216"/>
      <c r="Y48" s="216"/>
      <c r="AA48" s="215"/>
      <c r="AB48" s="218"/>
      <c r="AC48" s="218"/>
      <c r="AD48" s="218"/>
      <c r="AE48" s="218"/>
      <c r="AF48" s="218"/>
      <c r="AG48" s="220"/>
      <c r="AQ48" s="46"/>
      <c r="BI48" s="229"/>
      <c r="BJ48" s="229"/>
      <c r="BR48" s="230"/>
      <c r="BS48" s="230"/>
      <c r="BU48" s="219"/>
      <c r="BV48" s="219"/>
      <c r="BW48" s="219"/>
    </row>
    <row r="49" spans="1:75" ht="15.75" x14ac:dyDescent="0.3">
      <c r="A49" s="499"/>
      <c r="B49" s="49" t="s">
        <v>567</v>
      </c>
      <c r="C49" s="248">
        <f>C56</f>
        <v>32</v>
      </c>
      <c r="D49" s="248" t="s">
        <v>93</v>
      </c>
      <c r="E49" s="249"/>
      <c r="F49" s="249"/>
      <c r="G49" s="258"/>
      <c r="H49" s="248"/>
      <c r="I49" s="49"/>
      <c r="J49" s="49"/>
      <c r="K49" s="218"/>
      <c r="L49" s="218"/>
      <c r="M49" s="218"/>
      <c r="N49" s="218"/>
      <c r="O49" s="218"/>
      <c r="P49" s="218"/>
      <c r="Q49" s="209"/>
      <c r="R49" s="209"/>
      <c r="S49" s="215"/>
      <c r="T49" s="216"/>
      <c r="U49" s="216"/>
      <c r="V49" s="216"/>
      <c r="W49" s="216"/>
      <c r="X49" s="216"/>
      <c r="Y49" s="216"/>
      <c r="AA49" s="215"/>
      <c r="AB49" s="218"/>
      <c r="AC49" s="218"/>
      <c r="AD49" s="218"/>
      <c r="AE49" s="218"/>
      <c r="AF49" s="218"/>
      <c r="AG49" s="220"/>
      <c r="AQ49" s="46"/>
      <c r="BI49" s="229"/>
      <c r="BJ49" s="229"/>
      <c r="BR49" s="230"/>
      <c r="BS49" s="230"/>
      <c r="BU49" s="219"/>
      <c r="BV49" s="219"/>
      <c r="BW49" s="219"/>
    </row>
    <row r="50" spans="1:75" ht="15.75" x14ac:dyDescent="0.3">
      <c r="A50" s="499"/>
      <c r="B50" s="247"/>
      <c r="C50" s="248"/>
      <c r="D50" s="248"/>
      <c r="E50" s="249"/>
      <c r="F50" s="249"/>
      <c r="G50" s="258"/>
      <c r="H50" s="248"/>
      <c r="I50" s="49"/>
      <c r="J50" s="49"/>
      <c r="K50" s="218"/>
      <c r="L50" s="218"/>
      <c r="M50" s="218"/>
      <c r="N50" s="218"/>
      <c r="O50" s="218"/>
      <c r="P50" s="218"/>
      <c r="Q50" s="209"/>
      <c r="R50" s="209"/>
      <c r="S50" s="215"/>
      <c r="T50" s="216"/>
      <c r="U50" s="216"/>
      <c r="V50" s="216"/>
      <c r="W50" s="216"/>
      <c r="X50" s="216"/>
      <c r="Y50" s="216"/>
      <c r="AA50" s="215"/>
      <c r="AB50" s="218"/>
      <c r="AC50" s="218"/>
      <c r="AD50" s="218"/>
      <c r="AE50" s="218"/>
      <c r="AF50" s="218"/>
      <c r="AG50" s="220"/>
      <c r="AQ50" s="46"/>
      <c r="BI50" s="229"/>
      <c r="BJ50" s="229"/>
      <c r="BR50" s="230"/>
      <c r="BS50" s="230"/>
      <c r="BU50" s="219"/>
      <c r="BV50" s="219"/>
      <c r="BW50" s="219"/>
    </row>
    <row r="51" spans="1:75" ht="15.75" x14ac:dyDescent="0.3">
      <c r="A51" s="499"/>
      <c r="B51" s="49" t="s">
        <v>568</v>
      </c>
      <c r="C51" s="248">
        <f>D89</f>
        <v>202.77849418195541</v>
      </c>
      <c r="D51" s="248" t="s">
        <v>93</v>
      </c>
      <c r="E51" s="249"/>
      <c r="F51" s="249"/>
      <c r="G51" s="258"/>
      <c r="H51" s="248"/>
      <c r="I51" s="49"/>
      <c r="J51" s="49"/>
      <c r="K51" s="218"/>
      <c r="L51" s="218"/>
      <c r="M51" s="218"/>
      <c r="N51" s="218"/>
      <c r="O51" s="218"/>
      <c r="P51" s="218"/>
      <c r="Q51" s="209"/>
      <c r="R51" s="209"/>
      <c r="S51" s="215"/>
      <c r="T51" s="216"/>
      <c r="U51" s="216"/>
      <c r="V51" s="216"/>
      <c r="W51" s="216"/>
      <c r="X51" s="216"/>
      <c r="Y51" s="216"/>
      <c r="AA51" s="215"/>
      <c r="AB51" s="218"/>
      <c r="AC51" s="218"/>
      <c r="AD51" s="218"/>
      <c r="AE51" s="218"/>
      <c r="AF51" s="218"/>
      <c r="AG51" s="220"/>
      <c r="AQ51" s="46"/>
      <c r="BI51" s="229"/>
      <c r="BJ51" s="229"/>
      <c r="BR51" s="230"/>
      <c r="BS51" s="230"/>
      <c r="BU51" s="219"/>
      <c r="BV51" s="219"/>
      <c r="BW51" s="219"/>
    </row>
    <row r="52" spans="1:75" ht="15.75" x14ac:dyDescent="0.3">
      <c r="A52" s="499"/>
      <c r="B52" s="49" t="s">
        <v>569</v>
      </c>
      <c r="C52" s="248">
        <f>Analysis!C84-Analysis!D84</f>
        <v>134.30027152230002</v>
      </c>
      <c r="D52" s="248" t="s">
        <v>93</v>
      </c>
      <c r="E52" s="258" t="s">
        <v>859</v>
      </c>
      <c r="F52" s="249"/>
      <c r="G52" s="258"/>
      <c r="H52" s="248"/>
      <c r="I52" s="49"/>
      <c r="J52" s="49"/>
      <c r="K52" s="218"/>
      <c r="L52" s="218"/>
      <c r="M52" s="218"/>
      <c r="N52" s="218"/>
      <c r="O52" s="218"/>
      <c r="P52" s="218"/>
      <c r="Q52" s="209"/>
      <c r="R52" s="209"/>
      <c r="S52" s="215"/>
      <c r="T52" s="216"/>
      <c r="U52" s="216"/>
      <c r="V52" s="216"/>
      <c r="W52" s="216"/>
      <c r="X52" s="216"/>
      <c r="Y52" s="216"/>
      <c r="AA52" s="215"/>
      <c r="AB52" s="218"/>
      <c r="AC52" s="218"/>
      <c r="AD52" s="218"/>
      <c r="AE52" s="218"/>
      <c r="AF52" s="218"/>
      <c r="AG52" s="220"/>
      <c r="AQ52" s="46"/>
      <c r="BI52" s="229"/>
      <c r="BJ52" s="229"/>
      <c r="BR52" s="230"/>
      <c r="BS52" s="230"/>
      <c r="BU52" s="219"/>
      <c r="BV52" s="219"/>
      <c r="BW52" s="219"/>
    </row>
    <row r="53" spans="1:75" ht="15.75" x14ac:dyDescent="0.3">
      <c r="A53" s="499"/>
      <c r="B53" s="49" t="s">
        <v>570</v>
      </c>
      <c r="C53" s="248">
        <f>C51-C52</f>
        <v>68.478222659655387</v>
      </c>
      <c r="D53" s="248" t="s">
        <v>93</v>
      </c>
      <c r="E53" s="249"/>
      <c r="F53" s="249"/>
      <c r="G53" s="258"/>
      <c r="H53" s="248"/>
      <c r="I53" s="49"/>
      <c r="J53" s="49"/>
      <c r="K53" s="218"/>
      <c r="L53" s="218"/>
      <c r="M53" s="218"/>
      <c r="N53" s="218"/>
      <c r="O53" s="218"/>
      <c r="P53" s="218"/>
      <c r="Q53" s="209"/>
      <c r="R53" s="209"/>
      <c r="S53" s="215"/>
      <c r="T53" s="216"/>
      <c r="U53" s="216"/>
      <c r="V53" s="216"/>
      <c r="W53" s="216"/>
      <c r="X53" s="216"/>
      <c r="Y53" s="216"/>
      <c r="AA53" s="215"/>
      <c r="AB53" s="218"/>
      <c r="AC53" s="218"/>
      <c r="AD53" s="218"/>
      <c r="AE53" s="218"/>
      <c r="AF53" s="218"/>
      <c r="AG53" s="220"/>
      <c r="AQ53" s="46"/>
      <c r="BI53" s="229"/>
      <c r="BJ53" s="229"/>
      <c r="BR53" s="230"/>
      <c r="BS53" s="230"/>
      <c r="BU53" s="219"/>
      <c r="BV53" s="219"/>
      <c r="BW53" s="219"/>
    </row>
    <row r="54" spans="1:75" ht="15.75" x14ac:dyDescent="0.3">
      <c r="A54" s="499"/>
      <c r="B54" s="49" t="s">
        <v>571</v>
      </c>
      <c r="C54" s="248"/>
      <c r="D54" s="248"/>
      <c r="E54" s="249"/>
      <c r="F54" s="249"/>
      <c r="G54" s="258"/>
      <c r="H54" s="248"/>
      <c r="I54" s="49"/>
      <c r="J54" s="49"/>
      <c r="K54" s="218"/>
      <c r="L54" s="218"/>
      <c r="M54" s="218"/>
      <c r="N54" s="218"/>
      <c r="O54" s="218"/>
      <c r="P54" s="218"/>
      <c r="Q54" s="209"/>
      <c r="R54" s="209"/>
      <c r="S54" s="215"/>
      <c r="T54" s="216"/>
      <c r="U54" s="216"/>
      <c r="V54" s="216"/>
      <c r="W54" s="216"/>
      <c r="X54" s="216"/>
      <c r="Y54" s="216"/>
      <c r="AA54" s="215"/>
      <c r="AB54" s="218"/>
      <c r="AC54" s="218"/>
      <c r="AD54" s="218"/>
      <c r="AE54" s="218"/>
      <c r="AF54" s="218"/>
      <c r="AG54" s="220"/>
      <c r="AQ54" s="46"/>
      <c r="BI54" s="229"/>
      <c r="BJ54" s="229"/>
      <c r="BR54" s="230"/>
      <c r="BS54" s="230"/>
      <c r="BU54" s="219"/>
      <c r="BV54" s="219"/>
      <c r="BW54" s="219"/>
    </row>
    <row r="55" spans="1:75" ht="15.75" x14ac:dyDescent="0.3">
      <c r="A55" s="499"/>
      <c r="B55" s="49" t="s">
        <v>581</v>
      </c>
      <c r="C55" s="248">
        <v>32</v>
      </c>
      <c r="D55" s="248" t="s">
        <v>93</v>
      </c>
      <c r="E55" s="303" t="s">
        <v>865</v>
      </c>
      <c r="F55" s="249"/>
      <c r="G55" s="258"/>
      <c r="H55" s="248"/>
      <c r="I55" s="49"/>
      <c r="J55" s="49"/>
      <c r="K55" s="218"/>
      <c r="L55" s="218"/>
      <c r="M55" s="218"/>
      <c r="N55" s="218"/>
      <c r="O55" s="218"/>
      <c r="P55" s="218"/>
      <c r="Q55" s="209"/>
      <c r="R55" s="209"/>
      <c r="S55" s="215"/>
      <c r="T55" s="216"/>
      <c r="U55" s="216"/>
      <c r="V55" s="216"/>
      <c r="W55" s="216"/>
      <c r="X55" s="216"/>
      <c r="Y55" s="216"/>
      <c r="AA55" s="215"/>
      <c r="AB55" s="218"/>
      <c r="AC55" s="218"/>
      <c r="AD55" s="218"/>
      <c r="AE55" s="218"/>
      <c r="AF55" s="218"/>
      <c r="AG55" s="220"/>
      <c r="AQ55" s="46"/>
      <c r="BI55" s="229"/>
      <c r="BJ55" s="229"/>
      <c r="BR55" s="230"/>
      <c r="BS55" s="230"/>
      <c r="BU55" s="219"/>
      <c r="BV55" s="219"/>
      <c r="BW55" s="219"/>
    </row>
    <row r="56" spans="1:75" ht="30" x14ac:dyDescent="0.3">
      <c r="A56" s="499"/>
      <c r="B56" s="164" t="s">
        <v>582</v>
      </c>
      <c r="C56" s="248">
        <v>32</v>
      </c>
      <c r="D56" s="248" t="s">
        <v>93</v>
      </c>
      <c r="E56" s="303" t="s">
        <v>864</v>
      </c>
      <c r="F56" s="249"/>
      <c r="G56" s="258"/>
      <c r="H56" s="248"/>
      <c r="I56" s="49"/>
      <c r="J56" s="49"/>
      <c r="K56" s="218"/>
      <c r="L56" s="218"/>
      <c r="M56" s="218"/>
      <c r="N56" s="218"/>
      <c r="O56" s="218"/>
      <c r="P56" s="218"/>
      <c r="Q56" s="209"/>
      <c r="R56" s="209"/>
      <c r="S56" s="215"/>
      <c r="T56" s="216"/>
      <c r="U56" s="216"/>
      <c r="V56" s="216"/>
      <c r="W56" s="216"/>
      <c r="X56" s="216"/>
      <c r="Y56" s="216"/>
      <c r="AA56" s="215"/>
      <c r="AB56" s="218"/>
      <c r="AC56" s="218"/>
      <c r="AD56" s="218"/>
      <c r="AE56" s="218"/>
      <c r="AF56" s="218"/>
      <c r="AG56" s="220"/>
      <c r="AQ56" s="46"/>
      <c r="BI56" s="229"/>
      <c r="BJ56" s="229"/>
      <c r="BR56" s="230"/>
      <c r="BS56" s="230"/>
      <c r="BU56" s="219"/>
      <c r="BV56" s="219"/>
      <c r="BW56" s="219"/>
    </row>
    <row r="57" spans="1:75" ht="15.75" x14ac:dyDescent="0.3">
      <c r="A57" s="499"/>
      <c r="B57" s="49" t="s">
        <v>41</v>
      </c>
      <c r="C57" s="248">
        <f>C53-C55-C56</f>
        <v>4.4782226596553869</v>
      </c>
      <c r="D57" s="248" t="s">
        <v>93</v>
      </c>
      <c r="E57" s="303" t="s">
        <v>572</v>
      </c>
      <c r="F57" s="249"/>
      <c r="G57" s="258"/>
      <c r="H57" s="248"/>
      <c r="I57" s="49"/>
      <c r="J57" s="49"/>
      <c r="K57" s="218"/>
      <c r="L57" s="218"/>
      <c r="M57" s="218"/>
      <c r="N57" s="218"/>
      <c r="O57" s="218"/>
      <c r="P57" s="218"/>
      <c r="Q57" s="209"/>
      <c r="R57" s="209"/>
      <c r="S57" s="215"/>
      <c r="T57" s="216"/>
      <c r="U57" s="216"/>
      <c r="V57" s="216"/>
      <c r="W57" s="216"/>
      <c r="X57" s="216"/>
      <c r="Y57" s="216"/>
      <c r="AA57" s="215"/>
      <c r="AB57" s="218"/>
      <c r="AC57" s="218"/>
      <c r="AD57" s="218"/>
      <c r="AE57" s="218"/>
      <c r="AF57" s="218"/>
      <c r="AG57" s="220"/>
      <c r="AQ57" s="46"/>
      <c r="BI57" s="229"/>
      <c r="BJ57" s="229"/>
      <c r="BR57" s="230"/>
      <c r="BS57" s="230"/>
      <c r="BU57" s="219"/>
      <c r="BV57" s="219"/>
      <c r="BW57" s="219"/>
    </row>
    <row r="58" spans="1:75" ht="15.75" x14ac:dyDescent="0.3">
      <c r="A58" s="499"/>
      <c r="B58" s="49"/>
      <c r="C58" s="248"/>
      <c r="D58" s="248"/>
      <c r="E58" s="249"/>
      <c r="F58" s="249"/>
      <c r="G58" s="258"/>
      <c r="H58" s="248"/>
      <c r="I58" s="49"/>
      <c r="J58" s="49"/>
      <c r="K58" s="218"/>
      <c r="L58" s="218"/>
      <c r="M58" s="218"/>
      <c r="N58" s="218"/>
      <c r="O58" s="218"/>
      <c r="P58" s="218"/>
      <c r="Q58" s="209"/>
      <c r="R58" s="209"/>
      <c r="S58" s="215"/>
      <c r="T58" s="216"/>
      <c r="U58" s="216"/>
      <c r="V58" s="216"/>
      <c r="W58" s="216"/>
      <c r="X58" s="216"/>
      <c r="Y58" s="216"/>
      <c r="AA58" s="215"/>
      <c r="AB58" s="218"/>
      <c r="AC58" s="218"/>
      <c r="AD58" s="218"/>
      <c r="AE58" s="218"/>
      <c r="AF58" s="218"/>
      <c r="AG58" s="220"/>
      <c r="AQ58" s="46"/>
      <c r="BI58" s="229"/>
      <c r="BJ58" s="229"/>
      <c r="BR58" s="230"/>
      <c r="BS58" s="230"/>
      <c r="BU58" s="219"/>
      <c r="BV58" s="219"/>
      <c r="BW58" s="219"/>
    </row>
    <row r="59" spans="1:75" ht="15.75" x14ac:dyDescent="0.3">
      <c r="A59" s="499">
        <v>2</v>
      </c>
      <c r="B59" s="54" t="s">
        <v>960</v>
      </c>
      <c r="C59" s="248"/>
      <c r="D59" s="248"/>
      <c r="E59" s="249"/>
      <c r="F59" s="249"/>
      <c r="G59" s="258"/>
      <c r="H59" s="248"/>
      <c r="I59" s="49"/>
      <c r="J59" s="49"/>
      <c r="K59" s="218"/>
      <c r="L59" s="218"/>
      <c r="M59" s="218"/>
      <c r="N59" s="218"/>
      <c r="O59" s="218"/>
      <c r="P59" s="218"/>
      <c r="Q59" s="209"/>
      <c r="R59" s="209"/>
      <c r="S59" s="215"/>
      <c r="T59" s="216"/>
      <c r="U59" s="216"/>
      <c r="V59" s="216"/>
      <c r="W59" s="216"/>
      <c r="X59" s="216"/>
      <c r="Y59" s="216"/>
      <c r="AA59" s="215"/>
      <c r="AB59" s="218"/>
      <c r="AC59" s="218"/>
      <c r="AD59" s="218"/>
      <c r="AE59" s="218"/>
      <c r="AF59" s="218"/>
      <c r="AG59" s="220"/>
      <c r="AQ59" s="46"/>
      <c r="BI59" s="229"/>
      <c r="BJ59" s="229"/>
      <c r="BR59" s="230"/>
      <c r="BS59" s="230"/>
      <c r="BU59" s="219"/>
      <c r="BV59" s="219"/>
      <c r="BW59" s="219"/>
    </row>
    <row r="60" spans="1:75" ht="15.75" x14ac:dyDescent="0.3">
      <c r="A60" s="499"/>
      <c r="B60" s="304" t="str">
        <f>B53</f>
        <v>Remaining non-leakage demand side benefits</v>
      </c>
      <c r="C60" s="269">
        <f>63.4-21</f>
        <v>42.4</v>
      </c>
      <c r="D60" s="269" t="str">
        <f>D53</f>
        <v>Ml/d</v>
      </c>
      <c r="E60" s="304" t="s">
        <v>860</v>
      </c>
      <c r="G60" s="258"/>
      <c r="H60" s="248"/>
      <c r="I60" s="49"/>
      <c r="J60" s="49"/>
      <c r="K60" s="218"/>
      <c r="L60" s="218"/>
      <c r="M60" s="218"/>
      <c r="N60" s="218"/>
      <c r="O60" s="218"/>
      <c r="P60" s="218"/>
      <c r="Q60" s="209"/>
      <c r="R60" s="209"/>
      <c r="S60" s="215"/>
      <c r="T60" s="216"/>
      <c r="U60" s="216"/>
      <c r="V60" s="216"/>
      <c r="W60" s="216"/>
      <c r="X60" s="216"/>
      <c r="Y60" s="216"/>
      <c r="AA60" s="215"/>
      <c r="AB60" s="218"/>
      <c r="AC60" s="218"/>
      <c r="AD60" s="218"/>
      <c r="AE60" s="218"/>
      <c r="AF60" s="218"/>
      <c r="AG60" s="220"/>
      <c r="AQ60" s="46"/>
      <c r="BI60" s="229"/>
      <c r="BJ60" s="229"/>
      <c r="BR60" s="230"/>
      <c r="BS60" s="230"/>
      <c r="BU60" s="219"/>
      <c r="BV60" s="219"/>
      <c r="BW60" s="219"/>
    </row>
    <row r="61" spans="1:75" ht="15.75" x14ac:dyDescent="0.3">
      <c r="A61" s="499"/>
      <c r="B61" s="86" t="s">
        <v>573</v>
      </c>
      <c r="C61" s="269">
        <f>156.7</f>
        <v>156.69999999999999</v>
      </c>
      <c r="D61" s="269" t="s">
        <v>25</v>
      </c>
      <c r="E61" s="304" t="s">
        <v>868</v>
      </c>
      <c r="F61" s="305"/>
      <c r="G61" s="258"/>
      <c r="H61" s="248"/>
      <c r="I61" s="49"/>
      <c r="J61" s="49"/>
      <c r="K61" s="218"/>
      <c r="L61" s="218"/>
      <c r="M61" s="218"/>
      <c r="N61" s="218"/>
      <c r="O61" s="218"/>
      <c r="P61" s="218"/>
      <c r="Q61" s="209"/>
      <c r="R61" s="209"/>
      <c r="S61" s="215"/>
      <c r="T61" s="216"/>
      <c r="U61" s="216"/>
      <c r="V61" s="216"/>
      <c r="W61" s="216"/>
      <c r="X61" s="216"/>
      <c r="Y61" s="216"/>
      <c r="AA61" s="215"/>
      <c r="AB61" s="218"/>
      <c r="AC61" s="218"/>
      <c r="AD61" s="218"/>
      <c r="AE61" s="218"/>
      <c r="AF61" s="218"/>
      <c r="AG61" s="220"/>
      <c r="AQ61" s="46"/>
      <c r="BI61" s="229"/>
      <c r="BJ61" s="229"/>
      <c r="BR61" s="230"/>
      <c r="BS61" s="230"/>
      <c r="BU61" s="219"/>
      <c r="BV61" s="219"/>
      <c r="BW61" s="219"/>
    </row>
    <row r="62" spans="1:75" ht="15.75" x14ac:dyDescent="0.3">
      <c r="A62" s="499"/>
      <c r="B62" s="49" t="s">
        <v>833</v>
      </c>
      <c r="C62" s="248"/>
      <c r="D62" s="248"/>
      <c r="E62" s="249"/>
      <c r="F62" s="249"/>
      <c r="G62" s="258"/>
      <c r="H62" s="248"/>
      <c r="I62" s="49"/>
      <c r="J62" s="49"/>
      <c r="K62" s="218"/>
      <c r="L62" s="218"/>
      <c r="M62" s="218"/>
      <c r="N62" s="218"/>
      <c r="O62" s="218"/>
      <c r="P62" s="218"/>
      <c r="Q62" s="209"/>
      <c r="R62" s="209"/>
      <c r="S62" s="215"/>
      <c r="T62" s="216"/>
      <c r="U62" s="216"/>
      <c r="V62" s="216"/>
      <c r="W62" s="216"/>
      <c r="X62" s="216"/>
      <c r="Y62" s="216"/>
      <c r="AA62" s="215"/>
      <c r="AB62" s="218"/>
      <c r="AC62" s="218"/>
      <c r="AD62" s="218"/>
      <c r="AE62" s="218"/>
      <c r="AF62" s="218"/>
      <c r="AG62" s="220"/>
      <c r="AQ62" s="46"/>
      <c r="BI62" s="229"/>
      <c r="BJ62" s="229"/>
      <c r="BR62" s="230"/>
      <c r="BS62" s="230"/>
      <c r="BU62" s="219"/>
      <c r="BV62" s="219"/>
      <c r="BW62" s="219"/>
    </row>
    <row r="63" spans="1:75" ht="15.75" x14ac:dyDescent="0.3">
      <c r="A63" s="499"/>
      <c r="B63" s="247"/>
      <c r="C63" s="248"/>
      <c r="D63" s="248"/>
      <c r="E63" s="249"/>
      <c r="F63" s="249"/>
      <c r="G63" s="258"/>
      <c r="H63" s="248"/>
      <c r="I63" s="49"/>
      <c r="J63" s="49"/>
      <c r="K63" s="218"/>
      <c r="L63" s="218"/>
      <c r="M63" s="218"/>
      <c r="N63" s="218"/>
      <c r="O63" s="218"/>
      <c r="P63" s="218"/>
      <c r="Q63" s="209"/>
      <c r="R63" s="209"/>
      <c r="S63" s="215"/>
      <c r="T63" s="216"/>
      <c r="U63" s="216"/>
      <c r="V63" s="216"/>
      <c r="W63" s="216"/>
      <c r="X63" s="216"/>
      <c r="Y63" s="216"/>
      <c r="AA63" s="215"/>
      <c r="AB63" s="218"/>
      <c r="AC63" s="218"/>
      <c r="AD63" s="218"/>
      <c r="AE63" s="218"/>
      <c r="AF63" s="218"/>
      <c r="AG63" s="220"/>
      <c r="AQ63" s="46"/>
      <c r="BI63" s="229"/>
      <c r="BJ63" s="229"/>
      <c r="BR63" s="230"/>
      <c r="BS63" s="230"/>
      <c r="BU63" s="219"/>
      <c r="BV63" s="219"/>
      <c r="BW63" s="219"/>
    </row>
    <row r="64" spans="1:75" ht="15.75" x14ac:dyDescent="0.3">
      <c r="A64" s="499">
        <v>3</v>
      </c>
      <c r="B64" s="54" t="s">
        <v>961</v>
      </c>
      <c r="C64" s="248"/>
      <c r="D64" s="248"/>
      <c r="E64" s="249"/>
      <c r="F64" s="249"/>
      <c r="G64" s="258"/>
      <c r="H64" s="248"/>
      <c r="I64" s="49"/>
      <c r="J64" s="49"/>
      <c r="K64" s="218"/>
      <c r="L64" s="218"/>
      <c r="M64" s="218"/>
      <c r="N64" s="218"/>
      <c r="O64" s="218"/>
      <c r="P64" s="218"/>
      <c r="Q64" s="209"/>
      <c r="R64" s="209"/>
      <c r="S64" s="215"/>
      <c r="T64" s="216"/>
      <c r="U64" s="216"/>
      <c r="V64" s="216"/>
      <c r="W64" s="216"/>
      <c r="X64" s="216"/>
      <c r="Y64" s="216"/>
      <c r="AA64" s="215"/>
      <c r="AB64" s="218"/>
      <c r="AC64" s="218"/>
      <c r="AD64" s="218"/>
      <c r="AE64" s="218"/>
      <c r="AF64" s="218"/>
      <c r="AG64" s="220"/>
      <c r="AQ64" s="46"/>
      <c r="BI64" s="229"/>
      <c r="BJ64" s="229"/>
      <c r="BR64" s="230"/>
      <c r="BS64" s="230"/>
      <c r="BU64" s="219"/>
      <c r="BV64" s="219"/>
      <c r="BW64" s="219"/>
    </row>
    <row r="65" spans="1:75" ht="15.75" x14ac:dyDescent="0.3">
      <c r="A65" s="499"/>
      <c r="B65" s="49" t="s">
        <v>963</v>
      </c>
      <c r="C65" s="248"/>
      <c r="D65" s="248"/>
      <c r="E65" s="258"/>
      <c r="F65" s="248"/>
      <c r="G65" s="248"/>
      <c r="H65" s="248"/>
      <c r="I65" s="49"/>
      <c r="J65" s="49"/>
      <c r="K65" s="218"/>
      <c r="L65" s="218"/>
      <c r="M65" s="218"/>
      <c r="N65" s="218"/>
      <c r="O65" s="218"/>
      <c r="P65" s="218"/>
      <c r="Q65" s="209"/>
      <c r="R65" s="209"/>
      <c r="S65" s="215"/>
      <c r="T65" s="216"/>
      <c r="U65" s="216"/>
      <c r="V65" s="216"/>
      <c r="W65" s="216"/>
      <c r="X65" s="216"/>
      <c r="Y65" s="216"/>
      <c r="AA65" s="215"/>
      <c r="AB65" s="218"/>
      <c r="AC65" s="218"/>
      <c r="AD65" s="218"/>
      <c r="AE65" s="218"/>
      <c r="AF65" s="218"/>
      <c r="AG65" s="220"/>
      <c r="AQ65" s="46"/>
      <c r="BI65" s="229"/>
      <c r="BJ65" s="229"/>
      <c r="BR65" s="230"/>
      <c r="BS65" s="230"/>
      <c r="BU65" s="219"/>
      <c r="BV65" s="219"/>
      <c r="BW65" s="219"/>
    </row>
    <row r="66" spans="1:75" ht="15.75" x14ac:dyDescent="0.3">
      <c r="A66" s="499"/>
      <c r="B66" s="49" t="s">
        <v>574</v>
      </c>
      <c r="C66" s="248">
        <v>4.8719999999999999</v>
      </c>
      <c r="D66" s="248" t="s">
        <v>460</v>
      </c>
      <c r="E66" s="258"/>
      <c r="F66" s="248"/>
      <c r="G66" s="248"/>
      <c r="H66" s="248"/>
      <c r="I66" s="49"/>
      <c r="J66" s="49"/>
      <c r="K66" s="218"/>
      <c r="L66" s="218"/>
      <c r="M66" s="218"/>
      <c r="N66" s="218"/>
      <c r="O66" s="218"/>
      <c r="P66" s="218"/>
      <c r="Q66" s="209"/>
      <c r="R66" s="209"/>
      <c r="S66" s="215"/>
      <c r="T66" s="216"/>
      <c r="U66" s="216"/>
      <c r="V66" s="216"/>
      <c r="W66" s="216"/>
      <c r="X66" s="216"/>
      <c r="Y66" s="216"/>
      <c r="AA66" s="215"/>
      <c r="AB66" s="218"/>
      <c r="AC66" s="218"/>
      <c r="AD66" s="218"/>
      <c r="AE66" s="218"/>
      <c r="AF66" s="218"/>
      <c r="AG66" s="220"/>
      <c r="AQ66" s="46"/>
      <c r="BI66" s="229"/>
      <c r="BJ66" s="229"/>
      <c r="BR66" s="230"/>
      <c r="BS66" s="230"/>
      <c r="BU66" s="219"/>
      <c r="BV66" s="219"/>
      <c r="BW66" s="219"/>
    </row>
    <row r="67" spans="1:75" ht="15.75" x14ac:dyDescent="0.3">
      <c r="A67" s="499"/>
      <c r="B67" s="247"/>
      <c r="C67" s="248"/>
      <c r="D67" s="248"/>
      <c r="E67" s="248"/>
      <c r="F67" s="248"/>
      <c r="G67" s="248"/>
      <c r="H67" s="248"/>
      <c r="I67" s="49"/>
      <c r="J67" s="49"/>
      <c r="K67" s="218"/>
      <c r="L67" s="218"/>
      <c r="M67" s="218"/>
      <c r="N67" s="218"/>
      <c r="O67" s="218"/>
      <c r="P67" s="218"/>
      <c r="Q67" s="209"/>
      <c r="R67" s="209"/>
      <c r="S67" s="215"/>
      <c r="T67" s="216"/>
      <c r="U67" s="216"/>
      <c r="V67" s="216"/>
      <c r="W67" s="216"/>
      <c r="X67" s="216"/>
      <c r="Y67" s="216"/>
      <c r="AA67" s="215"/>
      <c r="AB67" s="218"/>
      <c r="AC67" s="218"/>
      <c r="AD67" s="218"/>
      <c r="AE67" s="218"/>
      <c r="AF67" s="218"/>
      <c r="AG67" s="220"/>
      <c r="AQ67" s="46"/>
      <c r="BI67" s="229"/>
      <c r="BJ67" s="229"/>
      <c r="BR67" s="230"/>
      <c r="BS67" s="230"/>
      <c r="BU67" s="219"/>
      <c r="BV67" s="219"/>
      <c r="BW67" s="219"/>
    </row>
    <row r="68" spans="1:75" ht="15.75" x14ac:dyDescent="0.3">
      <c r="A68" s="499">
        <v>4</v>
      </c>
      <c r="B68" s="54" t="s">
        <v>962</v>
      </c>
      <c r="C68" s="248"/>
      <c r="D68" s="248"/>
      <c r="E68" s="248"/>
      <c r="F68" s="248"/>
      <c r="G68" s="248"/>
      <c r="H68" s="248"/>
      <c r="I68" s="49"/>
      <c r="J68" s="49"/>
      <c r="K68" s="218"/>
      <c r="L68" s="218"/>
      <c r="M68" s="218"/>
      <c r="N68" s="218"/>
      <c r="O68" s="218"/>
      <c r="P68" s="218"/>
      <c r="Q68" s="209"/>
      <c r="R68" s="209"/>
      <c r="S68" s="215"/>
      <c r="T68" s="216"/>
      <c r="U68" s="216"/>
      <c r="V68" s="216"/>
      <c r="W68" s="216"/>
      <c r="X68" s="216"/>
      <c r="Y68" s="216"/>
      <c r="AA68" s="215"/>
      <c r="AB68" s="218"/>
      <c r="AC68" s="218"/>
      <c r="AD68" s="218"/>
      <c r="AE68" s="218"/>
      <c r="AF68" s="218"/>
      <c r="AG68" s="220"/>
      <c r="AQ68" s="46"/>
      <c r="BI68" s="229"/>
      <c r="BJ68" s="229"/>
      <c r="BR68" s="230"/>
      <c r="BS68" s="230"/>
      <c r="BU68" s="219"/>
      <c r="BV68" s="219"/>
      <c r="BW68" s="219"/>
    </row>
    <row r="69" spans="1:75" ht="15.75" x14ac:dyDescent="0.3">
      <c r="B69" s="54"/>
      <c r="C69" s="248"/>
      <c r="D69" s="248"/>
      <c r="E69" s="248"/>
      <c r="F69" s="248"/>
      <c r="G69" s="248"/>
      <c r="H69" s="248"/>
      <c r="I69" s="49"/>
      <c r="J69" s="49"/>
      <c r="K69" s="218"/>
      <c r="L69" s="218"/>
      <c r="M69" s="218"/>
      <c r="N69" s="218"/>
      <c r="O69" s="218"/>
      <c r="P69" s="218"/>
      <c r="Q69" s="209"/>
      <c r="R69" s="209"/>
      <c r="S69" s="215"/>
      <c r="T69" s="216"/>
      <c r="U69" s="216"/>
      <c r="V69" s="216"/>
      <c r="W69" s="216"/>
      <c r="X69" s="216"/>
      <c r="Y69" s="216"/>
      <c r="AA69" s="215"/>
      <c r="AB69" s="218"/>
      <c r="AC69" s="218"/>
      <c r="AD69" s="218"/>
      <c r="AE69" s="218"/>
      <c r="AF69" s="218"/>
      <c r="AG69" s="220"/>
      <c r="AQ69" s="46"/>
      <c r="BI69" s="229"/>
      <c r="BJ69" s="229"/>
      <c r="BR69" s="230"/>
      <c r="BS69" s="230"/>
      <c r="BU69" s="219"/>
      <c r="BV69" s="219"/>
      <c r="BW69" s="219"/>
    </row>
    <row r="70" spans="1:75" ht="15.75" x14ac:dyDescent="0.3">
      <c r="A70" s="499">
        <v>5</v>
      </c>
      <c r="B70" s="328" t="s">
        <v>416</v>
      </c>
      <c r="D70" s="248"/>
      <c r="E70" s="248"/>
      <c r="F70" s="248"/>
      <c r="G70" s="248"/>
      <c r="H70" s="248"/>
      <c r="I70" s="49"/>
      <c r="J70" s="49"/>
      <c r="K70" s="218"/>
      <c r="L70" s="218"/>
      <c r="M70" s="218"/>
      <c r="N70" s="218"/>
      <c r="O70" s="218"/>
      <c r="P70" s="218"/>
      <c r="Q70" s="209"/>
      <c r="R70" s="209"/>
      <c r="S70" s="215"/>
      <c r="T70" s="216"/>
      <c r="U70" s="216"/>
      <c r="V70" s="216"/>
      <c r="W70" s="216"/>
      <c r="X70" s="216"/>
      <c r="Y70" s="216"/>
      <c r="AA70" s="215"/>
      <c r="AB70" s="218"/>
      <c r="AC70" s="218"/>
      <c r="AD70" s="218"/>
      <c r="AE70" s="218"/>
      <c r="AF70" s="218"/>
      <c r="AG70" s="220"/>
      <c r="AQ70" s="46"/>
      <c r="BI70" s="229"/>
      <c r="BJ70" s="229"/>
      <c r="BR70" s="230"/>
      <c r="BS70" s="230"/>
      <c r="BU70" s="219"/>
      <c r="BV70" s="219"/>
      <c r="BW70" s="219"/>
    </row>
    <row r="71" spans="1:75" ht="105" x14ac:dyDescent="0.3">
      <c r="B71" s="498" t="s">
        <v>861</v>
      </c>
      <c r="C71" s="269" t="s">
        <v>575</v>
      </c>
      <c r="D71" s="248"/>
      <c r="E71" s="248"/>
      <c r="F71" s="248"/>
      <c r="G71" s="248"/>
      <c r="H71" s="248"/>
      <c r="I71" s="49"/>
      <c r="J71" s="49"/>
      <c r="K71" s="218"/>
      <c r="L71" s="218"/>
      <c r="M71" s="218"/>
      <c r="N71" s="218"/>
      <c r="O71" s="218"/>
      <c r="P71" s="218"/>
      <c r="Q71" s="209"/>
      <c r="R71" s="209"/>
      <c r="S71" s="215"/>
      <c r="T71" s="216"/>
      <c r="U71" s="216"/>
      <c r="V71" s="216"/>
      <c r="W71" s="216"/>
      <c r="X71" s="216"/>
      <c r="Y71" s="216"/>
      <c r="AA71" s="215"/>
      <c r="AB71" s="218"/>
      <c r="AC71" s="218"/>
      <c r="AD71" s="218"/>
      <c r="AE71" s="218"/>
      <c r="AF71" s="218"/>
      <c r="AG71" s="220"/>
      <c r="AQ71" s="46"/>
      <c r="BI71" s="229"/>
      <c r="BJ71" s="229"/>
      <c r="BR71" s="230"/>
      <c r="BS71" s="230"/>
      <c r="BU71" s="219"/>
      <c r="BV71" s="219"/>
      <c r="BW71" s="219"/>
    </row>
    <row r="72" spans="1:75" ht="15.75" x14ac:dyDescent="0.3">
      <c r="B72" s="86" t="s">
        <v>862</v>
      </c>
      <c r="C72" s="269"/>
      <c r="E72" s="248"/>
      <c r="F72" s="248"/>
      <c r="G72" s="248"/>
      <c r="H72" s="248"/>
      <c r="I72" s="49"/>
      <c r="J72" s="49"/>
      <c r="K72" s="218"/>
      <c r="L72" s="218"/>
      <c r="M72" s="218"/>
      <c r="N72" s="218"/>
      <c r="O72" s="218"/>
      <c r="P72" s="218"/>
      <c r="Q72" s="209"/>
      <c r="R72" s="209"/>
      <c r="S72" s="215"/>
      <c r="T72" s="216"/>
      <c r="U72" s="216"/>
      <c r="V72" s="216"/>
      <c r="W72" s="216"/>
      <c r="X72" s="216"/>
      <c r="Y72" s="216"/>
      <c r="AA72" s="215"/>
      <c r="AB72" s="218"/>
      <c r="AC72" s="218"/>
      <c r="AD72" s="218"/>
      <c r="AE72" s="218"/>
      <c r="AF72" s="218"/>
      <c r="AG72" s="220"/>
      <c r="AQ72" s="46"/>
      <c r="BI72" s="229"/>
      <c r="BJ72" s="229"/>
      <c r="BR72" s="230"/>
      <c r="BS72" s="230"/>
      <c r="BU72" s="219"/>
      <c r="BV72" s="219"/>
      <c r="BW72" s="219"/>
    </row>
    <row r="73" spans="1:75" ht="15.75" x14ac:dyDescent="0.3">
      <c r="B73" s="148" t="s">
        <v>576</v>
      </c>
      <c r="C73" s="306">
        <v>14</v>
      </c>
      <c r="D73" s="46" t="s">
        <v>460</v>
      </c>
      <c r="E73" s="248"/>
      <c r="F73" s="248"/>
      <c r="G73" s="248"/>
      <c r="H73" s="248"/>
      <c r="I73" s="49"/>
      <c r="J73" s="49"/>
      <c r="K73" s="218"/>
      <c r="L73" s="218"/>
      <c r="M73" s="218"/>
      <c r="N73" s="218"/>
      <c r="O73" s="218"/>
      <c r="P73" s="218"/>
      <c r="Q73" s="209"/>
      <c r="R73" s="209"/>
      <c r="S73" s="215"/>
      <c r="T73" s="216"/>
      <c r="U73" s="216"/>
      <c r="V73" s="216"/>
      <c r="W73" s="216"/>
      <c r="X73" s="216"/>
      <c r="Y73" s="216"/>
      <c r="AA73" s="215"/>
      <c r="AB73" s="218"/>
      <c r="AC73" s="218"/>
      <c r="AD73" s="218"/>
      <c r="AE73" s="218"/>
      <c r="AF73" s="218"/>
      <c r="AG73" s="220"/>
      <c r="AQ73" s="46"/>
      <c r="BI73" s="229"/>
      <c r="BJ73" s="229"/>
      <c r="BR73" s="230"/>
      <c r="BS73" s="230"/>
      <c r="BU73" s="219"/>
      <c r="BV73" s="219"/>
      <c r="BW73" s="219"/>
    </row>
    <row r="74" spans="1:75" ht="15.75" x14ac:dyDescent="0.3">
      <c r="B74" s="49" t="s">
        <v>850</v>
      </c>
      <c r="C74" s="248"/>
      <c r="D74" s="248"/>
      <c r="E74" s="248"/>
      <c r="F74" s="248"/>
      <c r="G74" s="248"/>
      <c r="H74" s="248"/>
      <c r="I74" s="49"/>
      <c r="J74" s="49"/>
      <c r="K74" s="218"/>
      <c r="L74" s="218"/>
      <c r="M74" s="218"/>
      <c r="N74" s="218"/>
      <c r="O74" s="218"/>
      <c r="P74" s="218"/>
      <c r="Q74" s="209"/>
      <c r="R74" s="209"/>
      <c r="S74" s="215"/>
      <c r="T74" s="216"/>
      <c r="U74" s="216"/>
      <c r="V74" s="216"/>
      <c r="W74" s="216"/>
      <c r="X74" s="216"/>
      <c r="Y74" s="216"/>
      <c r="AA74" s="215"/>
      <c r="AB74" s="218"/>
      <c r="AC74" s="218"/>
      <c r="AD74" s="218"/>
      <c r="AE74" s="218"/>
      <c r="AF74" s="218"/>
      <c r="AG74" s="220"/>
      <c r="AQ74" s="46"/>
      <c r="BI74" s="229"/>
      <c r="BJ74" s="229"/>
      <c r="BR74" s="230"/>
      <c r="BS74" s="230"/>
      <c r="BU74" s="219"/>
      <c r="BV74" s="219"/>
      <c r="BW74" s="219"/>
    </row>
    <row r="75" spans="1:75" ht="15.75" x14ac:dyDescent="0.3">
      <c r="B75" s="49"/>
      <c r="C75" s="248"/>
      <c r="D75" s="248"/>
      <c r="E75" s="248"/>
      <c r="F75" s="248"/>
      <c r="G75" s="248"/>
      <c r="H75" s="248"/>
      <c r="I75" s="49"/>
      <c r="J75" s="49"/>
      <c r="K75" s="218"/>
      <c r="L75" s="218"/>
      <c r="M75" s="218"/>
      <c r="N75" s="218"/>
      <c r="O75" s="218"/>
      <c r="P75" s="218"/>
      <c r="Q75" s="209"/>
      <c r="R75" s="209"/>
      <c r="S75" s="215"/>
      <c r="T75" s="216"/>
      <c r="U75" s="216"/>
      <c r="V75" s="216"/>
      <c r="W75" s="216"/>
      <c r="X75" s="216"/>
      <c r="Y75" s="216"/>
      <c r="AA75" s="215"/>
      <c r="AB75" s="218"/>
      <c r="AC75" s="218"/>
      <c r="AD75" s="218"/>
      <c r="AE75" s="218"/>
      <c r="AF75" s="218"/>
      <c r="AG75" s="220"/>
      <c r="AQ75" s="46"/>
      <c r="BI75" s="229"/>
      <c r="BJ75" s="229"/>
      <c r="BR75" s="230"/>
      <c r="BS75" s="230"/>
      <c r="BU75" s="219"/>
      <c r="BV75" s="219"/>
      <c r="BW75" s="219"/>
    </row>
    <row r="76" spans="1:75" x14ac:dyDescent="0.3">
      <c r="A76" s="44">
        <v>6</v>
      </c>
      <c r="B76" s="328" t="s">
        <v>494</v>
      </c>
      <c r="E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row>
    <row r="77" spans="1:75" ht="15.75" thickBot="1" x14ac:dyDescent="0.35">
      <c r="A77" s="2"/>
      <c r="B77" s="2" t="str">
        <f>C9</f>
        <v>TMS</v>
      </c>
      <c r="C77" s="2"/>
      <c r="D77" s="2"/>
      <c r="E77" s="43"/>
      <c r="F77" s="82"/>
      <c r="G77" s="2"/>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row>
    <row r="78" spans="1:75" x14ac:dyDescent="0.3">
      <c r="A78" s="2"/>
      <c r="B78" s="153" t="s">
        <v>392</v>
      </c>
      <c r="C78" s="154"/>
      <c r="D78" s="156" t="s">
        <v>393</v>
      </c>
      <c r="E78" s="158" t="s">
        <v>394</v>
      </c>
      <c r="F78" s="68" t="s">
        <v>395</v>
      </c>
      <c r="G78" s="340" t="s">
        <v>385</v>
      </c>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row>
    <row r="79" spans="1:75" x14ac:dyDescent="0.3">
      <c r="A79" s="2"/>
      <c r="B79" s="85" t="s">
        <v>396</v>
      </c>
      <c r="C79" s="71" t="s">
        <v>25</v>
      </c>
      <c r="D79" s="240">
        <f t="shared" ref="D79:F80" si="0">D83+D87</f>
        <v>161.26803354750001</v>
      </c>
      <c r="E79" s="175">
        <f t="shared" si="0"/>
        <v>0</v>
      </c>
      <c r="F79" s="240">
        <f t="shared" si="0"/>
        <v>161.26803354750001</v>
      </c>
      <c r="G79" s="409" t="str">
        <f>IF(ABS(SUM(D79,E79)-F79)&lt;0.001,"OK","ERROR")</f>
        <v>OK</v>
      </c>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row>
    <row r="80" spans="1:75" x14ac:dyDescent="0.3">
      <c r="A80" s="2"/>
      <c r="B80" s="155" t="s">
        <v>397</v>
      </c>
      <c r="C80" s="71" t="s">
        <v>25</v>
      </c>
      <c r="D80" s="240">
        <f t="shared" si="0"/>
        <v>89.111975289700013</v>
      </c>
      <c r="E80" s="175">
        <f t="shared" si="0"/>
        <v>0</v>
      </c>
      <c r="F80" s="240">
        <f t="shared" si="0"/>
        <v>89.111975289700013</v>
      </c>
      <c r="G80" s="409" t="str">
        <f>IF(ABS(SUM(D80,E80)-F80)&lt;0.001,"OK","ERROR")</f>
        <v>OK</v>
      </c>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row>
    <row r="81" spans="1:75" x14ac:dyDescent="0.3">
      <c r="A81" s="2"/>
      <c r="B81" s="85" t="s">
        <v>398</v>
      </c>
      <c r="C81" s="71" t="s">
        <v>93</v>
      </c>
      <c r="D81" s="240">
        <f>D85+D89</f>
        <v>241.3784941819554</v>
      </c>
      <c r="E81" s="175" t="s">
        <v>341</v>
      </c>
      <c r="F81" s="240">
        <f>D81</f>
        <v>241.3784941819554</v>
      </c>
      <c r="G81" s="409" t="str">
        <f>IF(ABS(SUM(D81,E81)-F81)&lt;0.001,"OK","ERROR")</f>
        <v>OK</v>
      </c>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row>
    <row r="82" spans="1:75" x14ac:dyDescent="0.3">
      <c r="A82" s="2"/>
      <c r="B82" s="34"/>
      <c r="C82" s="16"/>
      <c r="D82" s="265"/>
      <c r="E82" s="177"/>
      <c r="F82" s="265"/>
      <c r="G82" s="409"/>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row>
    <row r="83" spans="1:75" x14ac:dyDescent="0.3">
      <c r="A83" s="2"/>
      <c r="B83" s="85" t="s">
        <v>399</v>
      </c>
      <c r="C83" s="71" t="s">
        <v>25</v>
      </c>
      <c r="D83" s="240">
        <f>INDEX(Analysis!H$101:H$117,MATCH($B$77,Analysis!$B$101:$B$117,0))</f>
        <v>38.915417332099999</v>
      </c>
      <c r="E83" s="175">
        <f>INDEX(Analysis!I$101:I$117,MATCH($B$77,Analysis!$B$101:$B$117,0))</f>
        <v>0</v>
      </c>
      <c r="F83" s="240">
        <f>SUM(D83:E83)</f>
        <v>38.915417332099999</v>
      </c>
      <c r="G83" s="409" t="str">
        <f t="shared" ref="G83:G87" si="1">IF(ABS(SUM(D83,E83)-F83)&lt;0.001,"OK","ERROR")</f>
        <v>OK</v>
      </c>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row>
    <row r="84" spans="1:75" x14ac:dyDescent="0.3">
      <c r="A84" s="2"/>
      <c r="B84" s="155" t="s">
        <v>400</v>
      </c>
      <c r="C84" s="157" t="s">
        <v>25</v>
      </c>
      <c r="D84" s="239">
        <f>INDEX(Analysis!H$150:H$166,MATCH($B$77,Analysis!$B$150:$B$166,0))</f>
        <v>12.733988166100001</v>
      </c>
      <c r="E84" s="176">
        <f>INDEX(Analysis!I$150:I$166,MATCH($B$77,Analysis!$B$150:$B$166,0))</f>
        <v>0</v>
      </c>
      <c r="F84" s="240">
        <f>SUM(D84:E84)</f>
        <v>12.733988166100001</v>
      </c>
      <c r="G84" s="409" t="str">
        <f>IF(ABS(SUM(D84,E84)-F84)&lt;0.001,"OK","ERROR")</f>
        <v>OK</v>
      </c>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row>
    <row r="85" spans="1:75" x14ac:dyDescent="0.3">
      <c r="A85" s="2"/>
      <c r="B85" s="85" t="s">
        <v>401</v>
      </c>
      <c r="C85" s="71" t="s">
        <v>93</v>
      </c>
      <c r="D85" s="240">
        <f>INDEX(Analysis!$H$26:$H$42,MATCH($B$77,Analysis!$B$26:$B$42,0))</f>
        <v>38.6</v>
      </c>
      <c r="E85" s="175" t="s">
        <v>341</v>
      </c>
      <c r="F85" s="240">
        <f>D85</f>
        <v>38.6</v>
      </c>
      <c r="G85" s="409" t="str">
        <f>IF(ABS(SUM(D85,E85)-F85)&lt;0.001,"OK","ERROR")</f>
        <v>OK</v>
      </c>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row>
    <row r="86" spans="1:75" x14ac:dyDescent="0.3">
      <c r="A86" s="2"/>
      <c r="B86" s="34"/>
      <c r="C86" s="16"/>
      <c r="D86" s="265"/>
      <c r="E86" s="177"/>
      <c r="F86" s="265"/>
      <c r="G86" s="409"/>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row>
    <row r="87" spans="1:75" x14ac:dyDescent="0.3">
      <c r="A87" s="2"/>
      <c r="B87" s="85" t="s">
        <v>402</v>
      </c>
      <c r="C87" s="71" t="s">
        <v>403</v>
      </c>
      <c r="D87" s="240">
        <f>INDEX(Analysis!H$125:H$141,MATCH($B$77,Analysis!$B$125:$B$141,0))</f>
        <v>122.3526162154</v>
      </c>
      <c r="E87" s="175">
        <f>INDEX(Analysis!I$125:I$141,MATCH($B$77,Analysis!$B$125:$B$141,0))</f>
        <v>0</v>
      </c>
      <c r="F87" s="240">
        <f>SUM(D87:E87)</f>
        <v>122.3526162154</v>
      </c>
      <c r="G87" s="409" t="str">
        <f t="shared" si="1"/>
        <v>OK</v>
      </c>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row>
    <row r="88" spans="1:75" x14ac:dyDescent="0.3">
      <c r="A88" s="2"/>
      <c r="B88" s="155" t="s">
        <v>404</v>
      </c>
      <c r="C88" s="71" t="s">
        <v>403</v>
      </c>
      <c r="D88" s="239">
        <f>INDEX(Analysis!H$175:H$191,MATCH($B$77,Analysis!$B$175:$B$191,0))</f>
        <v>76.377987123600008</v>
      </c>
      <c r="E88" s="176">
        <f>INDEX(Analysis!I$175:I$191,MATCH($B$77,Analysis!$B$175:$B$191,0))</f>
        <v>0</v>
      </c>
      <c r="F88" s="240">
        <f>SUM(D88:E88)</f>
        <v>76.377987123600008</v>
      </c>
      <c r="G88" s="409" t="str">
        <f>IF(ABS(SUM(D88,E88)-F88)&lt;0.001,"OK","ERROR")</f>
        <v>OK</v>
      </c>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row>
    <row r="89" spans="1:75" ht="15.75" thickBot="1" x14ac:dyDescent="0.35">
      <c r="A89" s="2"/>
      <c r="B89" s="151" t="s">
        <v>405</v>
      </c>
      <c r="C89" s="74" t="s">
        <v>93</v>
      </c>
      <c r="D89" s="266">
        <f>INDEX(Analysis!$H$51:$H$67,MATCH($B$77,Analysis!$B$51:$B$67,0))</f>
        <v>202.77849418195541</v>
      </c>
      <c r="E89" s="178" t="s">
        <v>341</v>
      </c>
      <c r="F89" s="266">
        <f>D89</f>
        <v>202.77849418195541</v>
      </c>
      <c r="G89" s="410" t="str">
        <f>IF(ABS(SUM(D89,E89)-F89)&lt;0.001,"OK","ERROR")</f>
        <v>OK</v>
      </c>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row>
    <row r="90" spans="1:75" x14ac:dyDescent="0.3">
      <c r="E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row>
    <row r="91" spans="1:75" x14ac:dyDescent="0.3">
      <c r="A91" s="44">
        <v>7</v>
      </c>
      <c r="B91" s="328" t="s">
        <v>863</v>
      </c>
      <c r="E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row>
    <row r="92" spans="1:75" ht="15.75" x14ac:dyDescent="0.3">
      <c r="B92" s="49" t="s">
        <v>869</v>
      </c>
      <c r="C92" s="248"/>
      <c r="D92" s="248"/>
      <c r="E92" s="248"/>
      <c r="F92" s="248"/>
      <c r="G92" s="248"/>
      <c r="H92" s="248"/>
      <c r="I92" s="49"/>
      <c r="J92" s="49"/>
      <c r="K92" s="218"/>
      <c r="L92" s="218"/>
      <c r="M92" s="218"/>
      <c r="N92" s="218"/>
      <c r="O92" s="218"/>
      <c r="P92" s="218"/>
      <c r="Q92" s="209"/>
      <c r="R92" s="209"/>
      <c r="S92" s="215"/>
      <c r="T92" s="216"/>
      <c r="U92" s="216"/>
      <c r="V92" s="216"/>
      <c r="W92" s="216"/>
      <c r="X92" s="216"/>
      <c r="Y92" s="216"/>
      <c r="AA92" s="215"/>
      <c r="AB92" s="218"/>
      <c r="AC92" s="218"/>
      <c r="AD92" s="218"/>
      <c r="AE92" s="218"/>
      <c r="AF92" s="218"/>
      <c r="AG92" s="220"/>
      <c r="AQ92" s="46"/>
      <c r="BI92" s="229"/>
      <c r="BJ92" s="229"/>
      <c r="BR92" s="230"/>
      <c r="BS92" s="230"/>
      <c r="BU92" s="219"/>
      <c r="BV92" s="219"/>
      <c r="BW92" s="219"/>
    </row>
    <row r="93" spans="1:75" ht="15.75" x14ac:dyDescent="0.3">
      <c r="B93" s="49"/>
      <c r="C93" s="248" t="s">
        <v>958</v>
      </c>
      <c r="D93" s="248" t="s">
        <v>577</v>
      </c>
      <c r="E93" s="248"/>
      <c r="F93" s="248"/>
      <c r="G93" s="248"/>
      <c r="H93" s="248"/>
      <c r="I93" s="49"/>
      <c r="J93" s="49"/>
      <c r="K93" s="218"/>
      <c r="L93" s="218"/>
      <c r="M93" s="218"/>
      <c r="N93" s="218"/>
      <c r="O93" s="218"/>
      <c r="P93" s="218"/>
      <c r="Q93" s="209"/>
      <c r="R93" s="209"/>
      <c r="S93" s="215"/>
      <c r="T93" s="216"/>
      <c r="U93" s="216"/>
      <c r="V93" s="216"/>
      <c r="W93" s="216"/>
      <c r="X93" s="216"/>
      <c r="Y93" s="216"/>
      <c r="AA93" s="215"/>
      <c r="AB93" s="218"/>
      <c r="AC93" s="218"/>
      <c r="AD93" s="218"/>
      <c r="AE93" s="218"/>
      <c r="AF93" s="218"/>
      <c r="AG93" s="220"/>
      <c r="AQ93" s="46"/>
      <c r="BI93" s="229"/>
      <c r="BJ93" s="229"/>
      <c r="BR93" s="230"/>
      <c r="BS93" s="230"/>
      <c r="BU93" s="219"/>
      <c r="BV93" s="219"/>
      <c r="BW93" s="219"/>
    </row>
    <row r="94" spans="1:75" ht="15.75" x14ac:dyDescent="0.3">
      <c r="B94" s="71" t="s">
        <v>411</v>
      </c>
      <c r="C94" s="248">
        <f>32+42</f>
        <v>74</v>
      </c>
      <c r="D94" s="248">
        <f>$C$102/3+C94</f>
        <v>74.269336279066678</v>
      </c>
      <c r="E94" s="248"/>
      <c r="F94" s="248"/>
      <c r="G94" s="248"/>
      <c r="H94" s="248"/>
      <c r="I94" s="49"/>
      <c r="J94" s="49"/>
      <c r="K94" s="218"/>
      <c r="L94" s="218"/>
      <c r="M94" s="218"/>
      <c r="N94" s="218"/>
      <c r="O94" s="218"/>
      <c r="P94" s="218"/>
      <c r="Q94" s="209"/>
      <c r="R94" s="209"/>
      <c r="S94" s="215"/>
      <c r="T94" s="216"/>
      <c r="U94" s="216"/>
      <c r="V94" s="216"/>
      <c r="W94" s="216"/>
      <c r="X94" s="216"/>
      <c r="Y94" s="216"/>
      <c r="AA94" s="215"/>
      <c r="AB94" s="218"/>
      <c r="AC94" s="218"/>
      <c r="AD94" s="218"/>
      <c r="AE94" s="218"/>
      <c r="AF94" s="218"/>
      <c r="AG94" s="220"/>
      <c r="AQ94" s="46"/>
      <c r="BI94" s="229"/>
      <c r="BJ94" s="229"/>
      <c r="BR94" s="230"/>
      <c r="BS94" s="230"/>
      <c r="BU94" s="219"/>
      <c r="BV94" s="219"/>
      <c r="BW94" s="219"/>
    </row>
    <row r="95" spans="1:75" ht="15.75" x14ac:dyDescent="0.3">
      <c r="B95" s="71" t="s">
        <v>412</v>
      </c>
      <c r="C95" s="248">
        <v>156.69999999999999</v>
      </c>
      <c r="D95" s="248">
        <f>$C$102/3+C95</f>
        <v>156.96933627906665</v>
      </c>
      <c r="E95" s="248"/>
      <c r="F95" s="248"/>
      <c r="G95" s="248"/>
      <c r="H95" s="248"/>
      <c r="I95" s="49"/>
      <c r="J95" s="49"/>
      <c r="K95" s="218"/>
      <c r="L95" s="218"/>
      <c r="M95" s="218"/>
      <c r="N95" s="218"/>
      <c r="O95" s="218"/>
      <c r="P95" s="218"/>
      <c r="Q95" s="209"/>
      <c r="R95" s="209"/>
      <c r="S95" s="215"/>
      <c r="T95" s="216"/>
      <c r="U95" s="216"/>
      <c r="V95" s="216"/>
      <c r="W95" s="216"/>
      <c r="X95" s="216"/>
      <c r="Y95" s="216"/>
      <c r="AA95" s="215"/>
      <c r="AB95" s="218"/>
      <c r="AC95" s="218"/>
      <c r="AD95" s="218"/>
      <c r="AE95" s="218"/>
      <c r="AF95" s="218"/>
      <c r="AG95" s="220"/>
      <c r="AQ95" s="46"/>
      <c r="BI95" s="229"/>
      <c r="BJ95" s="229"/>
      <c r="BR95" s="230"/>
      <c r="BS95" s="230"/>
      <c r="BU95" s="219"/>
      <c r="BV95" s="219"/>
      <c r="BW95" s="219"/>
    </row>
    <row r="96" spans="1:75" ht="15.75" x14ac:dyDescent="0.3">
      <c r="B96" s="71" t="s">
        <v>413</v>
      </c>
      <c r="C96" s="248">
        <v>4.8719999999999999</v>
      </c>
      <c r="D96" s="248">
        <f>C96</f>
        <v>4.8719999999999999</v>
      </c>
      <c r="E96" s="258" t="s">
        <v>578</v>
      </c>
      <c r="F96" s="248"/>
      <c r="G96" s="248"/>
      <c r="H96" s="248"/>
      <c r="I96" s="49"/>
      <c r="J96" s="49"/>
      <c r="K96" s="218"/>
      <c r="L96" s="218"/>
      <c r="M96" s="218"/>
      <c r="N96" s="218"/>
      <c r="O96" s="218"/>
      <c r="P96" s="218"/>
      <c r="Q96" s="209"/>
      <c r="R96" s="209"/>
      <c r="S96" s="215"/>
      <c r="T96" s="216"/>
      <c r="U96" s="216"/>
      <c r="V96" s="216"/>
      <c r="W96" s="216"/>
      <c r="X96" s="216"/>
      <c r="Y96" s="216"/>
      <c r="AA96" s="215"/>
      <c r="AB96" s="218"/>
      <c r="AC96" s="218"/>
      <c r="AD96" s="218"/>
      <c r="AE96" s="218"/>
      <c r="AF96" s="218"/>
      <c r="AG96" s="220"/>
      <c r="AQ96" s="46"/>
      <c r="BI96" s="229"/>
      <c r="BJ96" s="229"/>
      <c r="BR96" s="230"/>
      <c r="BS96" s="230"/>
      <c r="BU96" s="219"/>
      <c r="BV96" s="219"/>
      <c r="BW96" s="219"/>
    </row>
    <row r="97" spans="2:75" ht="15.75" x14ac:dyDescent="0.3">
      <c r="B97" s="71" t="s">
        <v>414</v>
      </c>
      <c r="C97" s="248">
        <v>0</v>
      </c>
      <c r="D97" s="248">
        <f>C97</f>
        <v>0</v>
      </c>
      <c r="E97" s="258" t="s">
        <v>579</v>
      </c>
      <c r="F97" s="248"/>
      <c r="G97" s="248"/>
      <c r="H97" s="248"/>
      <c r="I97" s="49"/>
      <c r="J97" s="49"/>
      <c r="K97" s="218"/>
      <c r="L97" s="218"/>
      <c r="M97" s="218"/>
      <c r="N97" s="218"/>
      <c r="O97" s="218"/>
      <c r="P97" s="218"/>
      <c r="Q97" s="209"/>
      <c r="R97" s="209"/>
      <c r="S97" s="215"/>
      <c r="T97" s="216"/>
      <c r="U97" s="216"/>
      <c r="V97" s="216"/>
      <c r="W97" s="216"/>
      <c r="X97" s="216"/>
      <c r="Y97" s="216"/>
      <c r="AA97" s="215"/>
      <c r="AB97" s="218"/>
      <c r="AC97" s="218"/>
      <c r="AD97" s="218"/>
      <c r="AE97" s="218"/>
      <c r="AF97" s="218"/>
      <c r="AG97" s="220"/>
      <c r="AQ97" s="46"/>
      <c r="BI97" s="229"/>
      <c r="BJ97" s="229"/>
      <c r="BR97" s="230"/>
      <c r="BS97" s="230"/>
      <c r="BU97" s="219"/>
      <c r="BV97" s="219"/>
      <c r="BW97" s="219"/>
    </row>
    <row r="98" spans="2:75" ht="15.75" x14ac:dyDescent="0.3">
      <c r="B98" s="71" t="s">
        <v>415</v>
      </c>
      <c r="C98" s="248">
        <v>0</v>
      </c>
      <c r="D98" s="248">
        <f>C98</f>
        <v>0</v>
      </c>
      <c r="E98" s="248"/>
      <c r="F98" s="248"/>
      <c r="G98" s="248"/>
      <c r="H98" s="248"/>
      <c r="I98" s="49"/>
      <c r="J98" s="49"/>
      <c r="K98" s="218"/>
      <c r="L98" s="218"/>
      <c r="M98" s="218"/>
      <c r="N98" s="218"/>
      <c r="O98" s="218"/>
      <c r="P98" s="218"/>
      <c r="Q98" s="209"/>
      <c r="R98" s="209"/>
      <c r="S98" s="215"/>
      <c r="T98" s="216"/>
      <c r="U98" s="216"/>
      <c r="V98" s="216"/>
      <c r="W98" s="216"/>
      <c r="X98" s="216"/>
      <c r="Y98" s="216"/>
      <c r="AA98" s="215"/>
      <c r="AB98" s="218"/>
      <c r="AC98" s="218"/>
      <c r="AD98" s="218"/>
      <c r="AE98" s="218"/>
      <c r="AF98" s="218"/>
      <c r="AG98" s="220"/>
      <c r="AQ98" s="46"/>
      <c r="BI98" s="229"/>
      <c r="BJ98" s="229"/>
      <c r="BR98" s="230"/>
      <c r="BS98" s="230"/>
      <c r="BU98" s="219"/>
      <c r="BV98" s="219"/>
      <c r="BW98" s="219"/>
    </row>
    <row r="99" spans="2:75" ht="15.75" x14ac:dyDescent="0.3">
      <c r="B99" s="71" t="s">
        <v>416</v>
      </c>
      <c r="C99" s="248">
        <v>14</v>
      </c>
      <c r="D99" s="248">
        <f>$C$102/3+C99</f>
        <v>14.269336279066673</v>
      </c>
      <c r="E99" s="248"/>
      <c r="F99" s="248"/>
      <c r="G99" s="248"/>
      <c r="H99" s="248"/>
      <c r="I99" s="49"/>
      <c r="J99" s="49"/>
      <c r="K99" s="218"/>
      <c r="L99" s="218"/>
      <c r="M99" s="218"/>
      <c r="N99" s="218"/>
      <c r="O99" s="218"/>
      <c r="P99" s="218"/>
      <c r="Q99" s="209"/>
      <c r="R99" s="209"/>
      <c r="S99" s="215"/>
      <c r="T99" s="216"/>
      <c r="U99" s="216"/>
      <c r="V99" s="216"/>
      <c r="W99" s="216"/>
      <c r="X99" s="216"/>
      <c r="Y99" s="216"/>
      <c r="AA99" s="215"/>
      <c r="AB99" s="218"/>
      <c r="AC99" s="218"/>
      <c r="AD99" s="218"/>
      <c r="AE99" s="218"/>
      <c r="AF99" s="218"/>
      <c r="AG99" s="220"/>
      <c r="AQ99" s="46"/>
      <c r="BI99" s="229"/>
      <c r="BJ99" s="229"/>
      <c r="BR99" s="230"/>
      <c r="BS99" s="230"/>
      <c r="BU99" s="219"/>
      <c r="BV99" s="219"/>
      <c r="BW99" s="219"/>
    </row>
    <row r="100" spans="2:75" ht="15.75" x14ac:dyDescent="0.3">
      <c r="B100" s="49"/>
      <c r="C100" s="249">
        <f>SUM(C94:C99)</f>
        <v>249.572</v>
      </c>
      <c r="D100" s="249">
        <f>SUM(D94:D99)</f>
        <v>250.38000883719999</v>
      </c>
      <c r="E100" s="248"/>
      <c r="F100" s="248"/>
      <c r="G100" s="248"/>
      <c r="H100" s="248"/>
      <c r="I100" s="49"/>
      <c r="J100" s="49"/>
      <c r="K100" s="218"/>
      <c r="L100" s="218"/>
      <c r="M100" s="218"/>
      <c r="N100" s="218"/>
      <c r="O100" s="218"/>
      <c r="P100" s="218"/>
      <c r="Q100" s="209"/>
      <c r="R100" s="209"/>
      <c r="S100" s="215"/>
      <c r="T100" s="216"/>
      <c r="U100" s="216"/>
      <c r="V100" s="216"/>
      <c r="W100" s="216"/>
      <c r="X100" s="216"/>
      <c r="Y100" s="216"/>
      <c r="AA100" s="215"/>
      <c r="AB100" s="218"/>
      <c r="AC100" s="218"/>
      <c r="AD100" s="218"/>
      <c r="AE100" s="218"/>
      <c r="AF100" s="218"/>
      <c r="AG100" s="220"/>
      <c r="AQ100" s="46"/>
      <c r="BI100" s="229"/>
      <c r="BJ100" s="229"/>
      <c r="BR100" s="230"/>
      <c r="BS100" s="230"/>
      <c r="BU100" s="219"/>
      <c r="BV100" s="219"/>
      <c r="BW100" s="219"/>
    </row>
    <row r="101" spans="2:75" ht="15.75" x14ac:dyDescent="0.3">
      <c r="B101" s="49" t="s">
        <v>580</v>
      </c>
      <c r="C101" s="248">
        <f>D79+D80</f>
        <v>250.38000883720002</v>
      </c>
      <c r="D101" s="248"/>
      <c r="E101" s="248"/>
      <c r="F101" s="248"/>
      <c r="G101" s="248"/>
      <c r="H101" s="248"/>
      <c r="I101" s="49"/>
      <c r="J101" s="49"/>
      <c r="K101" s="218"/>
      <c r="L101" s="218"/>
      <c r="M101" s="218"/>
      <c r="N101" s="218"/>
      <c r="O101" s="218"/>
      <c r="P101" s="218"/>
      <c r="Q101" s="209"/>
      <c r="R101" s="209"/>
      <c r="S101" s="215"/>
      <c r="T101" s="216"/>
      <c r="U101" s="216"/>
      <c r="V101" s="216"/>
      <c r="W101" s="216"/>
      <c r="X101" s="216"/>
      <c r="Y101" s="216"/>
      <c r="AA101" s="215"/>
      <c r="AB101" s="218"/>
      <c r="AC101" s="218"/>
      <c r="AD101" s="218"/>
      <c r="AE101" s="218"/>
      <c r="AF101" s="218"/>
      <c r="AG101" s="220"/>
      <c r="AQ101" s="46"/>
      <c r="BI101" s="229"/>
      <c r="BJ101" s="229"/>
      <c r="BR101" s="230"/>
      <c r="BS101" s="230"/>
      <c r="BU101" s="219"/>
      <c r="BV101" s="219"/>
      <c r="BW101" s="219"/>
    </row>
    <row r="102" spans="2:75" ht="15.75" x14ac:dyDescent="0.3">
      <c r="B102" s="49" t="s">
        <v>41</v>
      </c>
      <c r="C102" s="248">
        <f>C101-C100</f>
        <v>0.80800883720002048</v>
      </c>
      <c r="D102" s="248"/>
      <c r="E102" s="248"/>
      <c r="F102" s="248"/>
      <c r="G102" s="248"/>
      <c r="H102" s="248"/>
      <c r="I102" s="49"/>
      <c r="J102" s="49"/>
      <c r="K102" s="218"/>
      <c r="L102" s="218"/>
      <c r="M102" s="218"/>
      <c r="N102" s="218"/>
      <c r="O102" s="218"/>
      <c r="P102" s="218"/>
      <c r="Q102" s="209"/>
      <c r="R102" s="209"/>
      <c r="S102" s="215"/>
      <c r="T102" s="216"/>
      <c r="U102" s="216"/>
      <c r="V102" s="216"/>
      <c r="W102" s="216"/>
      <c r="X102" s="216"/>
      <c r="Y102" s="216"/>
      <c r="AA102" s="215"/>
      <c r="AB102" s="218"/>
      <c r="AC102" s="218"/>
      <c r="AD102" s="218"/>
      <c r="AE102" s="218"/>
      <c r="AF102" s="218"/>
      <c r="AG102" s="220"/>
      <c r="AQ102" s="46"/>
      <c r="BI102" s="229"/>
      <c r="BJ102" s="229"/>
      <c r="BR102" s="230"/>
      <c r="BS102" s="230"/>
      <c r="BU102" s="219"/>
      <c r="BV102" s="219"/>
      <c r="BW102" s="219"/>
    </row>
    <row r="103" spans="2:75" ht="15.75" x14ac:dyDescent="0.3">
      <c r="B103" s="247"/>
      <c r="C103" s="248"/>
      <c r="D103" s="248"/>
      <c r="E103" s="248"/>
      <c r="F103" s="248"/>
      <c r="G103" s="248"/>
      <c r="H103" s="248"/>
      <c r="I103" s="49"/>
      <c r="J103" s="49"/>
      <c r="K103" s="218"/>
      <c r="L103" s="218"/>
      <c r="M103" s="218"/>
      <c r="N103" s="218"/>
      <c r="O103" s="218"/>
      <c r="P103" s="218"/>
      <c r="Q103" s="209"/>
      <c r="R103" s="209"/>
      <c r="S103" s="215"/>
      <c r="T103" s="216"/>
      <c r="U103" s="216"/>
      <c r="V103" s="216"/>
      <c r="W103" s="216"/>
      <c r="X103" s="216"/>
      <c r="Y103" s="216"/>
      <c r="AA103" s="215"/>
      <c r="AB103" s="218"/>
      <c r="AC103" s="218"/>
      <c r="AD103" s="218"/>
      <c r="AE103" s="218"/>
      <c r="AF103" s="218"/>
      <c r="AG103" s="220"/>
      <c r="AQ103" s="46"/>
      <c r="BI103" s="229"/>
      <c r="BJ103" s="229"/>
      <c r="BR103" s="230"/>
      <c r="BS103" s="230"/>
      <c r="BU103" s="219"/>
      <c r="BV103" s="219"/>
      <c r="BW103" s="219"/>
    </row>
    <row r="104" spans="2:75" x14ac:dyDescent="0.3">
      <c r="E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row>
    <row r="105" spans="2:75" x14ac:dyDescent="0.3">
      <c r="E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row>
    <row r="106" spans="2:75" x14ac:dyDescent="0.3">
      <c r="B106" s="5"/>
      <c r="C106" s="56"/>
      <c r="D106" s="5"/>
      <c r="E106" s="29"/>
      <c r="F106" s="2"/>
      <c r="G106" s="2"/>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row>
  </sheetData>
  <mergeCells count="3">
    <mergeCell ref="C4:D4"/>
    <mergeCell ref="C5:D5"/>
    <mergeCell ref="C6:D6"/>
  </mergeCells>
  <conditionalFormatting sqref="D77 G79:G81 G83:G85 G87:G89">
    <cfRule type="cellIs" dxfId="89" priority="35" operator="equal">
      <formula>"OK"</formula>
    </cfRule>
    <cfRule type="cellIs" dxfId="88" priority="36" operator="equal">
      <formula>"ERROR"</formula>
    </cfRule>
  </conditionalFormatting>
  <conditionalFormatting sqref="F5">
    <cfRule type="cellIs" dxfId="87" priority="1" operator="equal">
      <formula>"OK"</formula>
    </cfRule>
    <cfRule type="cellIs" dxfId="86" priority="2" operator="equal">
      <formula>"ERROR"</formula>
    </cfRule>
  </conditionalFormatting>
  <conditionalFormatting sqref="F4">
    <cfRule type="cellIs" dxfId="85" priority="3" operator="equal">
      <formula>"OK"</formula>
    </cfRule>
    <cfRule type="cellIs" dxfId="84" priority="4"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M144"/>
  <sheetViews>
    <sheetView zoomScaleNormal="100" workbookViewId="0"/>
  </sheetViews>
  <sheetFormatPr defaultColWidth="8.7109375" defaultRowHeight="15" x14ac:dyDescent="0.3"/>
  <cols>
    <col min="1" max="1" width="7.7109375" style="2" customWidth="1"/>
    <col min="2" max="2" width="46" style="2" customWidth="1"/>
    <col min="3" max="3" width="23.28515625" style="2" customWidth="1"/>
    <col min="4" max="4" width="17.7109375" style="2" customWidth="1"/>
    <col min="5" max="5" width="17.28515625" style="38" customWidth="1"/>
    <col min="6" max="6" width="21.28515625" style="2" customWidth="1"/>
    <col min="7" max="7" width="74.28515625" style="2" customWidth="1"/>
    <col min="8" max="8" width="13.7109375" style="2" customWidth="1"/>
    <col min="9" max="9" width="11.28515625" style="2" customWidth="1"/>
    <col min="10" max="10" width="11.140625" style="2" customWidth="1"/>
    <col min="11" max="12" width="8.28515625" style="2" customWidth="1"/>
    <col min="13" max="16384" width="8.7109375" style="2"/>
  </cols>
  <sheetData>
    <row r="1" spans="2:8" s="4" customFormat="1" ht="21.75" x14ac:dyDescent="0.3">
      <c r="B1" s="6" t="s">
        <v>1040</v>
      </c>
      <c r="C1" s="1"/>
      <c r="D1" s="1"/>
      <c r="E1" s="45"/>
      <c r="F1" s="1"/>
      <c r="G1" s="2"/>
      <c r="H1" s="10"/>
    </row>
    <row r="2" spans="2:8" s="4" customFormat="1" ht="22.5" thickBot="1" x14ac:dyDescent="0.35">
      <c r="B2" s="5"/>
      <c r="C2" s="8"/>
      <c r="D2" s="8"/>
      <c r="E2" s="38"/>
      <c r="F2" s="2"/>
      <c r="G2" s="2"/>
      <c r="H2" s="10"/>
    </row>
    <row r="3" spans="2:8" s="4" customFormat="1" ht="22.5" thickBot="1" x14ac:dyDescent="0.35">
      <c r="B3" s="5" t="s">
        <v>1</v>
      </c>
      <c r="C3" s="8"/>
      <c r="D3" s="8"/>
      <c r="E3" s="38"/>
      <c r="F3" s="394" t="s">
        <v>385</v>
      </c>
      <c r="G3" s="2"/>
      <c r="H3" s="10"/>
    </row>
    <row r="4" spans="2:8" x14ac:dyDescent="0.3">
      <c r="B4" s="354" t="s">
        <v>471</v>
      </c>
      <c r="C4" s="711" t="s">
        <v>540</v>
      </c>
      <c r="D4" s="712"/>
      <c r="F4" s="395" t="str">
        <f>IF(ROUND(C10,3)-ROUND((F134+F135),3)=0,"OK","ERROR")</f>
        <v>OK</v>
      </c>
      <c r="G4" s="2" t="s">
        <v>472</v>
      </c>
    </row>
    <row r="5" spans="2:8" ht="15.75" thickBot="1" x14ac:dyDescent="0.35">
      <c r="B5" s="355" t="s">
        <v>388</v>
      </c>
      <c r="C5" s="713">
        <v>43616</v>
      </c>
      <c r="D5" s="714"/>
      <c r="F5" s="396" t="str">
        <f>IF(ROUND(D28,3)-ROUND(C10,3)=0,"OK","ERROR")</f>
        <v>OK</v>
      </c>
      <c r="G5" s="2" t="s">
        <v>473</v>
      </c>
    </row>
    <row r="6" spans="2:8" ht="15.75" thickBot="1" x14ac:dyDescent="0.35">
      <c r="B6" s="356" t="s">
        <v>389</v>
      </c>
      <c r="C6" s="715" t="s">
        <v>932</v>
      </c>
      <c r="D6" s="716"/>
    </row>
    <row r="7" spans="2:8" x14ac:dyDescent="0.3">
      <c r="B7" s="16"/>
      <c r="C7" s="16"/>
      <c r="D7" s="17"/>
    </row>
    <row r="8" spans="2:8" ht="15.75" thickBot="1" x14ac:dyDescent="0.35">
      <c r="B8" s="5" t="s">
        <v>6</v>
      </c>
    </row>
    <row r="9" spans="2:8" x14ac:dyDescent="0.3">
      <c r="B9" s="357" t="s">
        <v>312</v>
      </c>
      <c r="C9" s="360" t="s">
        <v>27</v>
      </c>
      <c r="D9" s="402"/>
    </row>
    <row r="10" spans="2:8" x14ac:dyDescent="0.3">
      <c r="B10" s="358" t="s">
        <v>474</v>
      </c>
      <c r="C10" s="361">
        <f>INDEX(Analysis!L5:L21,MATCH(C9,Analysis!B5:B21,0))</f>
        <v>94.498000000000005</v>
      </c>
      <c r="D10" s="5"/>
    </row>
    <row r="11" spans="2:8" x14ac:dyDescent="0.3">
      <c r="B11" s="358" t="s">
        <v>475</v>
      </c>
      <c r="C11" s="361">
        <v>0</v>
      </c>
      <c r="D11" s="15"/>
      <c r="E11" s="63"/>
      <c r="G11" s="15"/>
    </row>
    <row r="12" spans="2:8" x14ac:dyDescent="0.3">
      <c r="B12" s="358" t="s">
        <v>476</v>
      </c>
      <c r="C12" s="362">
        <f>C10+C11</f>
        <v>94.498000000000005</v>
      </c>
      <c r="D12" s="15"/>
      <c r="E12" s="63"/>
      <c r="G12" s="15"/>
    </row>
    <row r="13" spans="2:8" x14ac:dyDescent="0.3">
      <c r="B13" s="358" t="s">
        <v>477</v>
      </c>
      <c r="C13" s="362">
        <v>0</v>
      </c>
      <c r="D13" s="15"/>
      <c r="E13" s="63"/>
      <c r="G13" s="15"/>
    </row>
    <row r="14" spans="2:8" ht="15.75" thickBot="1" x14ac:dyDescent="0.35">
      <c r="B14" s="359" t="s">
        <v>478</v>
      </c>
      <c r="C14" s="363">
        <f ca="1">F28</f>
        <v>32.823999999999998</v>
      </c>
      <c r="D14" s="15"/>
      <c r="E14" s="63"/>
      <c r="G14" s="15"/>
    </row>
    <row r="15" spans="2:8" x14ac:dyDescent="0.3">
      <c r="B15" s="337"/>
      <c r="C15" s="15"/>
      <c r="D15" s="15"/>
      <c r="E15" s="63"/>
      <c r="G15" s="15"/>
    </row>
    <row r="16" spans="2:8" ht="15.75" thickBot="1" x14ac:dyDescent="0.35">
      <c r="B16" s="5" t="s">
        <v>391</v>
      </c>
      <c r="C16" s="82"/>
    </row>
    <row r="17" spans="1:11" ht="15.75" thickBot="1" x14ac:dyDescent="0.35">
      <c r="B17" s="364" t="s">
        <v>479</v>
      </c>
      <c r="C17" s="365">
        <f ca="1">C13+C14</f>
        <v>32.823999999999998</v>
      </c>
      <c r="D17" s="5"/>
    </row>
    <row r="18" spans="1:11" x14ac:dyDescent="0.3">
      <c r="A18" s="44"/>
    </row>
    <row r="19" spans="1:11" ht="16.5" thickBot="1" x14ac:dyDescent="0.35">
      <c r="A19" s="44"/>
      <c r="B19" s="172" t="s">
        <v>480</v>
      </c>
      <c r="C19" s="35"/>
      <c r="D19" s="320"/>
      <c r="E19" s="22"/>
      <c r="F19" s="40"/>
      <c r="G19" s="64"/>
    </row>
    <row r="20" spans="1:11" s="31" customFormat="1" ht="30" x14ac:dyDescent="0.3">
      <c r="A20" s="372" t="s">
        <v>481</v>
      </c>
      <c r="B20" s="373" t="s">
        <v>482</v>
      </c>
      <c r="C20" s="382" t="s">
        <v>483</v>
      </c>
      <c r="D20" s="382" t="s">
        <v>484</v>
      </c>
      <c r="E20" s="382" t="s">
        <v>485</v>
      </c>
      <c r="F20" s="382" t="s">
        <v>486</v>
      </c>
      <c r="G20" s="470" t="s">
        <v>340</v>
      </c>
    </row>
    <row r="21" spans="1:11" ht="90" x14ac:dyDescent="0.3">
      <c r="A21" s="374">
        <v>1</v>
      </c>
      <c r="B21" s="166" t="s">
        <v>411</v>
      </c>
      <c r="C21" s="367">
        <f>SUM(C22:C23)</f>
        <v>17.600000000000001</v>
      </c>
      <c r="D21" s="367">
        <f>SUM(D22:D23)</f>
        <v>23.605886792452829</v>
      </c>
      <c r="E21" s="367">
        <f>C21</f>
        <v>17.600000000000001</v>
      </c>
      <c r="F21" s="368">
        <f ca="1">E21*MIN(C31,D31)</f>
        <v>21.12</v>
      </c>
      <c r="G21" s="490" t="s">
        <v>991</v>
      </c>
    </row>
    <row r="22" spans="1:11" ht="135.75" customHeight="1" x14ac:dyDescent="0.3">
      <c r="A22" s="374" t="s">
        <v>487</v>
      </c>
      <c r="B22" s="166" t="s">
        <v>408</v>
      </c>
      <c r="C22" s="384">
        <f>D140</f>
        <v>5.0999999999999996</v>
      </c>
      <c r="D22" s="406">
        <f>SUM(F47:F48)</f>
        <v>9.8539999999999992</v>
      </c>
      <c r="E22" s="371"/>
      <c r="F22" s="371"/>
      <c r="G22" s="619" t="s">
        <v>980</v>
      </c>
    </row>
    <row r="23" spans="1:11" ht="45" x14ac:dyDescent="0.3">
      <c r="A23" s="374" t="s">
        <v>488</v>
      </c>
      <c r="B23" s="166" t="s">
        <v>409</v>
      </c>
      <c r="C23" s="384">
        <f>C93</f>
        <v>12.5</v>
      </c>
      <c r="D23" s="406">
        <f>C23/(C23+C92)*C86</f>
        <v>13.751886792452829</v>
      </c>
      <c r="E23" s="371"/>
      <c r="F23" s="371"/>
      <c r="G23" s="473" t="s">
        <v>992</v>
      </c>
      <c r="I23" s="473"/>
    </row>
    <row r="24" spans="1:11" ht="150" x14ac:dyDescent="0.3">
      <c r="A24" s="374">
        <v>2</v>
      </c>
      <c r="B24" s="166" t="s">
        <v>412</v>
      </c>
      <c r="C24" s="405">
        <f>D112</f>
        <v>26</v>
      </c>
      <c r="D24" s="405">
        <f>C103</f>
        <v>52.903113207547165</v>
      </c>
      <c r="E24" s="371"/>
      <c r="F24" s="368">
        <f>INDEX('Leakage assessment'!B5:B21,MATCH(B132,'Leakage assessment'!A5:A21,0))</f>
        <v>0</v>
      </c>
      <c r="G24" s="473" t="s">
        <v>1033</v>
      </c>
    </row>
    <row r="25" spans="1:11" ht="135" x14ac:dyDescent="0.3">
      <c r="A25" s="374">
        <v>3</v>
      </c>
      <c r="B25" s="166" t="s">
        <v>413</v>
      </c>
      <c r="C25" s="371"/>
      <c r="D25" s="405">
        <f>E61+E62</f>
        <v>8.49</v>
      </c>
      <c r="E25" s="371"/>
      <c r="F25" s="367">
        <f>E62*(1-C34)</f>
        <v>6.1654999999999998</v>
      </c>
      <c r="G25" s="473" t="s">
        <v>1041</v>
      </c>
    </row>
    <row r="26" spans="1:11" ht="60" x14ac:dyDescent="0.3">
      <c r="A26" s="374">
        <v>4</v>
      </c>
      <c r="B26" s="166" t="s">
        <v>415</v>
      </c>
      <c r="C26" s="371"/>
      <c r="D26" s="405">
        <f>C56</f>
        <v>5.83</v>
      </c>
      <c r="E26" s="371"/>
      <c r="F26" s="367">
        <f>D26*(1-C34)</f>
        <v>5.5385</v>
      </c>
      <c r="G26" s="488" t="s">
        <v>1001</v>
      </c>
    </row>
    <row r="27" spans="1:11" ht="90.75" thickBot="1" x14ac:dyDescent="0.35">
      <c r="A27" s="375">
        <v>5</v>
      </c>
      <c r="B27" s="376" t="s">
        <v>416</v>
      </c>
      <c r="C27" s="377"/>
      <c r="D27" s="378">
        <f>C53+C54+E69+0.024</f>
        <v>3.6689999999999996</v>
      </c>
      <c r="E27" s="377"/>
      <c r="F27" s="378">
        <v>0</v>
      </c>
      <c r="G27" s="491" t="s">
        <v>1011</v>
      </c>
    </row>
    <row r="28" spans="1:11" ht="18.399999999999999" customHeight="1" thickBot="1" x14ac:dyDescent="0.35">
      <c r="A28" s="492"/>
      <c r="B28" s="379" t="s">
        <v>313</v>
      </c>
      <c r="C28" s="380"/>
      <c r="D28" s="380">
        <f>SUM(D22:D27)</f>
        <v>94.497999999999976</v>
      </c>
      <c r="E28" s="380"/>
      <c r="F28" s="380">
        <f ca="1">SUM(F21:F27)</f>
        <v>32.823999999999998</v>
      </c>
      <c r="G28" s="493"/>
    </row>
    <row r="29" spans="1:11" x14ac:dyDescent="0.3">
      <c r="A29" s="44"/>
      <c r="B29" s="71"/>
      <c r="C29" s="318"/>
      <c r="D29" s="318"/>
      <c r="E29" s="317"/>
      <c r="F29" s="318"/>
      <c r="G29" s="70"/>
      <c r="H29" s="71"/>
      <c r="I29" s="71"/>
      <c r="J29" s="232"/>
      <c r="K29" s="225"/>
    </row>
    <row r="30" spans="1:11" ht="33.75" customHeight="1" thickBot="1" x14ac:dyDescent="0.35">
      <c r="B30" s="172" t="s">
        <v>490</v>
      </c>
      <c r="C30" s="386" t="s">
        <v>491</v>
      </c>
      <c r="D30" s="386" t="s">
        <v>492</v>
      </c>
      <c r="E30" s="319"/>
      <c r="F30" s="320"/>
      <c r="G30" s="317"/>
      <c r="H30" s="71"/>
    </row>
    <row r="31" spans="1:11" x14ac:dyDescent="0.3">
      <c r="B31" s="387" t="s">
        <v>418</v>
      </c>
      <c r="C31" s="388">
        <f>IFERROR(D21/C21,0)</f>
        <v>1.3412435677530015</v>
      </c>
      <c r="D31" s="389">
        <f ca="1">'Unit costs'!B3</f>
        <v>1.2</v>
      </c>
      <c r="E31" s="319"/>
      <c r="F31" s="320"/>
      <c r="G31" s="319"/>
      <c r="H31" s="16"/>
    </row>
    <row r="32" spans="1:11" ht="15.75" thickBot="1" x14ac:dyDescent="0.35">
      <c r="B32" s="390" t="s">
        <v>420</v>
      </c>
      <c r="C32" s="391">
        <f>D24/C24</f>
        <v>2.0347351233671986</v>
      </c>
      <c r="D32" s="392">
        <f ca="1">'Unit costs'!B4</f>
        <v>2.0302304832713758</v>
      </c>
      <c r="E32" s="319"/>
      <c r="F32" s="320"/>
      <c r="G32" s="319"/>
      <c r="H32" s="16"/>
    </row>
    <row r="33" spans="1:12" ht="15.75" thickBot="1" x14ac:dyDescent="0.35">
      <c r="B33" s="16"/>
      <c r="C33" s="182"/>
      <c r="D33" s="182"/>
      <c r="E33" s="319"/>
      <c r="F33" s="320"/>
      <c r="G33" s="319"/>
      <c r="H33" s="16"/>
    </row>
    <row r="34" spans="1:12" ht="15.75" thickBot="1" x14ac:dyDescent="0.35">
      <c r="B34" s="393" t="s">
        <v>747</v>
      </c>
      <c r="C34" s="433">
        <v>0.05</v>
      </c>
      <c r="D34" s="339"/>
      <c r="E34" s="319"/>
      <c r="F34" s="320"/>
      <c r="G34" s="317"/>
      <c r="H34" s="16"/>
    </row>
    <row r="35" spans="1:12" s="31" customFormat="1" x14ac:dyDescent="0.3">
      <c r="B35" s="159"/>
      <c r="C35" s="188"/>
      <c r="D35" s="160"/>
      <c r="E35" s="17"/>
      <c r="F35" s="160"/>
      <c r="G35" s="347"/>
      <c r="H35" s="160"/>
      <c r="I35" s="2"/>
      <c r="J35" s="2"/>
      <c r="K35" s="2"/>
      <c r="L35" s="2"/>
    </row>
    <row r="36" spans="1:12" x14ac:dyDescent="0.3">
      <c r="B36" s="66" t="s">
        <v>303</v>
      </c>
    </row>
    <row r="37" spans="1:12" s="308" customFormat="1" ht="15.75" x14ac:dyDescent="0.3">
      <c r="A37" s="331">
        <v>1</v>
      </c>
      <c r="B37" s="335" t="s">
        <v>411</v>
      </c>
      <c r="C37" s="401"/>
      <c r="D37" s="401"/>
      <c r="E37" s="401"/>
      <c r="F37" s="401"/>
      <c r="G37" s="401"/>
      <c r="H37" s="401"/>
      <c r="I37" s="217"/>
      <c r="J37" s="218"/>
    </row>
    <row r="38" spans="1:12" s="308" customFormat="1" ht="15.75" x14ac:dyDescent="0.3">
      <c r="A38" s="44"/>
      <c r="B38" s="2"/>
      <c r="C38" s="401"/>
      <c r="D38" s="401"/>
      <c r="E38" s="401"/>
      <c r="F38" s="401"/>
      <c r="G38" s="401"/>
      <c r="H38" s="401"/>
      <c r="I38" s="217"/>
      <c r="J38" s="218"/>
    </row>
    <row r="39" spans="1:12" x14ac:dyDescent="0.3">
      <c r="A39" s="44" t="s">
        <v>487</v>
      </c>
      <c r="B39" s="335" t="s">
        <v>408</v>
      </c>
    </row>
    <row r="40" spans="1:12" x14ac:dyDescent="0.3">
      <c r="A40" s="44"/>
    </row>
    <row r="41" spans="1:12" x14ac:dyDescent="0.3">
      <c r="A41" s="44"/>
      <c r="B41" s="5"/>
    </row>
    <row r="42" spans="1:12" x14ac:dyDescent="0.3">
      <c r="A42" s="44"/>
      <c r="B42" s="5"/>
    </row>
    <row r="43" spans="1:12" x14ac:dyDescent="0.3">
      <c r="A43" s="44"/>
      <c r="B43" s="5"/>
    </row>
    <row r="44" spans="1:12" x14ac:dyDescent="0.3">
      <c r="A44" s="44"/>
      <c r="B44" s="5"/>
    </row>
    <row r="45" spans="1:12" x14ac:dyDescent="0.3">
      <c r="A45" s="44"/>
    </row>
    <row r="46" spans="1:12" ht="60" x14ac:dyDescent="0.3">
      <c r="A46" s="44"/>
      <c r="B46" s="323" t="s">
        <v>463</v>
      </c>
      <c r="C46" s="323" t="s">
        <v>421</v>
      </c>
      <c r="D46" s="323" t="s">
        <v>422</v>
      </c>
      <c r="E46" s="326" t="s">
        <v>559</v>
      </c>
      <c r="F46" s="324" t="s">
        <v>974</v>
      </c>
      <c r="G46" s="324" t="s">
        <v>975</v>
      </c>
    </row>
    <row r="47" spans="1:12" x14ac:dyDescent="0.3">
      <c r="A47" s="44"/>
      <c r="B47" s="9" t="s">
        <v>973</v>
      </c>
      <c r="C47" s="342">
        <f>C55</f>
        <v>6.3780000000000001</v>
      </c>
      <c r="D47" s="9">
        <f>F69</f>
        <v>0.47599999999999998</v>
      </c>
      <c r="E47" s="440">
        <f>C47+D47</f>
        <v>6.8540000000000001</v>
      </c>
      <c r="F47" s="342">
        <f>D61+D47</f>
        <v>4.8540000000000001</v>
      </c>
      <c r="G47" s="342">
        <f>E61</f>
        <v>2</v>
      </c>
    </row>
    <row r="48" spans="1:12" x14ac:dyDescent="0.3">
      <c r="A48" s="44"/>
      <c r="B48" s="9" t="s">
        <v>601</v>
      </c>
      <c r="C48" s="342">
        <f>C62</f>
        <v>11.49</v>
      </c>
      <c r="D48" s="9">
        <v>0</v>
      </c>
      <c r="E48" s="440">
        <f>C48+D48</f>
        <v>11.49</v>
      </c>
      <c r="F48" s="342">
        <f>D62</f>
        <v>5</v>
      </c>
      <c r="G48" s="342">
        <f>E62</f>
        <v>6.49</v>
      </c>
    </row>
    <row r="49" spans="1:12" x14ac:dyDescent="0.3">
      <c r="A49" s="44"/>
      <c r="B49" s="5"/>
    </row>
    <row r="50" spans="1:12" ht="32.25" customHeight="1" x14ac:dyDescent="0.3">
      <c r="B50" s="666" t="s">
        <v>976</v>
      </c>
      <c r="C50" s="664"/>
      <c r="D50" s="664"/>
      <c r="E50" s="664"/>
      <c r="F50" s="664"/>
      <c r="G50" s="664"/>
      <c r="H50" s="664"/>
    </row>
    <row r="51" spans="1:12" ht="33.75" customHeight="1" x14ac:dyDescent="0.3">
      <c r="B51" s="323" t="s">
        <v>583</v>
      </c>
      <c r="C51" s="324" t="s">
        <v>584</v>
      </c>
      <c r="D51" s="323" t="s">
        <v>585</v>
      </c>
      <c r="E51" s="2"/>
    </row>
    <row r="52" spans="1:12" ht="15.75" customHeight="1" x14ac:dyDescent="0.3">
      <c r="B52" s="322" t="s">
        <v>586</v>
      </c>
      <c r="C52" s="9">
        <v>11.513999999999999</v>
      </c>
      <c r="D52" s="9" t="s">
        <v>587</v>
      </c>
    </row>
    <row r="53" spans="1:12" ht="28.5" customHeight="1" x14ac:dyDescent="0.3">
      <c r="B53" s="322" t="s">
        <v>588</v>
      </c>
      <c r="C53" s="9">
        <v>0.69899999999999995</v>
      </c>
      <c r="D53" s="9" t="s">
        <v>587</v>
      </c>
      <c r="F53" s="721"/>
      <c r="G53" s="721"/>
      <c r="H53" s="721"/>
      <c r="I53" s="721"/>
      <c r="J53" s="721"/>
      <c r="K53" s="721"/>
      <c r="L53" s="721"/>
    </row>
    <row r="54" spans="1:12" x14ac:dyDescent="0.3">
      <c r="B54" s="322" t="s">
        <v>589</v>
      </c>
      <c r="C54" s="9">
        <v>2.2629999999999999</v>
      </c>
      <c r="D54" s="9" t="s">
        <v>587</v>
      </c>
    </row>
    <row r="55" spans="1:12" ht="30" x14ac:dyDescent="0.3">
      <c r="B55" s="322" t="s">
        <v>590</v>
      </c>
      <c r="C55" s="9">
        <v>6.3780000000000001</v>
      </c>
      <c r="D55" s="9" t="s">
        <v>587</v>
      </c>
    </row>
    <row r="56" spans="1:12" x14ac:dyDescent="0.3">
      <c r="B56" s="322" t="s">
        <v>591</v>
      </c>
      <c r="C56" s="9">
        <v>5.83</v>
      </c>
      <c r="D56" s="9" t="s">
        <v>587</v>
      </c>
    </row>
    <row r="57" spans="1:12" ht="45" x14ac:dyDescent="0.3">
      <c r="B57" s="324" t="s">
        <v>592</v>
      </c>
      <c r="C57" s="323">
        <v>26.684000000000001</v>
      </c>
      <c r="D57" s="9"/>
    </row>
    <row r="59" spans="1:12" x14ac:dyDescent="0.3">
      <c r="B59" s="33" t="s">
        <v>978</v>
      </c>
    </row>
    <row r="60" spans="1:12" ht="60" x14ac:dyDescent="0.3">
      <c r="B60" s="324" t="s">
        <v>463</v>
      </c>
      <c r="C60" s="324" t="s">
        <v>597</v>
      </c>
      <c r="D60" s="324" t="s">
        <v>598</v>
      </c>
      <c r="E60" s="324" t="s">
        <v>599</v>
      </c>
    </row>
    <row r="61" spans="1:12" x14ac:dyDescent="0.3">
      <c r="B61" s="9" t="s">
        <v>600</v>
      </c>
      <c r="C61" s="342">
        <f>SUM(D61:E61)</f>
        <v>6.3780000000000001</v>
      </c>
      <c r="D61" s="342">
        <v>4.3780000000000001</v>
      </c>
      <c r="E61" s="440">
        <v>2</v>
      </c>
    </row>
    <row r="62" spans="1:12" x14ac:dyDescent="0.3">
      <c r="B62" s="9" t="s">
        <v>601</v>
      </c>
      <c r="C62" s="342">
        <f>SUM(D62:E62)</f>
        <v>11.49</v>
      </c>
      <c r="D62" s="342">
        <v>5</v>
      </c>
      <c r="E62" s="440">
        <f>6.514-0.024</f>
        <v>6.49</v>
      </c>
    </row>
    <row r="63" spans="1:12" x14ac:dyDescent="0.3">
      <c r="B63" s="9" t="s">
        <v>313</v>
      </c>
      <c r="C63" s="342">
        <f>SUM(C61:C62)</f>
        <v>17.868000000000002</v>
      </c>
      <c r="D63" s="342">
        <f>SUM(D61:D62)</f>
        <v>9.3780000000000001</v>
      </c>
      <c r="E63" s="440">
        <f>SUM(E61:E62)</f>
        <v>8.49</v>
      </c>
    </row>
    <row r="64" spans="1:12" x14ac:dyDescent="0.3">
      <c r="B64" s="33" t="s">
        <v>977</v>
      </c>
    </row>
    <row r="65" spans="1:13" x14ac:dyDescent="0.3">
      <c r="B65" s="33"/>
    </row>
    <row r="66" spans="1:13" ht="108" customHeight="1" x14ac:dyDescent="0.3">
      <c r="B66" s="719" t="s">
        <v>1003</v>
      </c>
      <c r="C66" s="719"/>
      <c r="D66" s="719"/>
      <c r="E66" s="719"/>
      <c r="F66" s="719"/>
    </row>
    <row r="67" spans="1:13" x14ac:dyDescent="0.3">
      <c r="B67" s="5" t="s">
        <v>593</v>
      </c>
      <c r="E67" s="724" t="s">
        <v>594</v>
      </c>
      <c r="F67" s="724"/>
      <c r="G67" s="724"/>
      <c r="H67" s="724"/>
    </row>
    <row r="68" spans="1:13" ht="32.25" customHeight="1" x14ac:dyDescent="0.3">
      <c r="B68" s="351" t="s">
        <v>979</v>
      </c>
      <c r="C68" s="723" t="s">
        <v>595</v>
      </c>
      <c r="D68" s="723"/>
      <c r="E68" s="665" t="s">
        <v>344</v>
      </c>
      <c r="F68" s="324" t="s">
        <v>345</v>
      </c>
      <c r="G68" s="324" t="s">
        <v>346</v>
      </c>
      <c r="H68" s="324" t="s">
        <v>347</v>
      </c>
      <c r="I68" s="667"/>
      <c r="J68" s="667"/>
      <c r="K68" s="667"/>
      <c r="L68" s="667"/>
      <c r="M68" s="667"/>
    </row>
    <row r="69" spans="1:13" ht="43.5" customHeight="1" x14ac:dyDescent="0.3">
      <c r="B69" s="325">
        <v>47</v>
      </c>
      <c r="C69" s="722" t="s">
        <v>596</v>
      </c>
      <c r="D69" s="722"/>
      <c r="E69" s="633">
        <v>0.68300000000000005</v>
      </c>
      <c r="F69" s="633">
        <v>0.47599999999999998</v>
      </c>
      <c r="G69" s="663">
        <v>1.476</v>
      </c>
      <c r="H69" s="663">
        <v>2.476</v>
      </c>
    </row>
    <row r="70" spans="1:13" ht="21" customHeight="1" x14ac:dyDescent="0.3">
      <c r="C70" s="349"/>
      <c r="D70" s="349"/>
    </row>
    <row r="71" spans="1:13" x14ac:dyDescent="0.3">
      <c r="A71" s="331" t="s">
        <v>488</v>
      </c>
      <c r="B71" s="335" t="s">
        <v>409</v>
      </c>
      <c r="E71" s="2"/>
    </row>
    <row r="72" spans="1:13" x14ac:dyDescent="0.3">
      <c r="B72" s="2" t="s">
        <v>981</v>
      </c>
      <c r="E72" s="2"/>
    </row>
    <row r="73" spans="1:13" x14ac:dyDescent="0.3">
      <c r="B73" s="2" t="s">
        <v>987</v>
      </c>
      <c r="E73" s="2"/>
    </row>
    <row r="74" spans="1:13" x14ac:dyDescent="0.3">
      <c r="B74" s="2" t="s">
        <v>982</v>
      </c>
      <c r="E74" s="2"/>
    </row>
    <row r="75" spans="1:13" x14ac:dyDescent="0.3">
      <c r="E75" s="2"/>
    </row>
    <row r="76" spans="1:13" ht="90" x14ac:dyDescent="0.3">
      <c r="B76" s="326" t="s">
        <v>603</v>
      </c>
      <c r="C76" s="324" t="s">
        <v>604</v>
      </c>
      <c r="D76" s="324" t="s">
        <v>984</v>
      </c>
      <c r="E76" s="324" t="s">
        <v>983</v>
      </c>
    </row>
    <row r="77" spans="1:13" x14ac:dyDescent="0.3">
      <c r="B77" s="345" t="s">
        <v>605</v>
      </c>
      <c r="C77" s="327">
        <v>730000</v>
      </c>
      <c r="D77" s="9">
        <v>22.969000000000001</v>
      </c>
      <c r="E77" s="9">
        <f>D77+32.8-D83</f>
        <v>22.991999999999997</v>
      </c>
    </row>
    <row r="78" spans="1:13" x14ac:dyDescent="0.3">
      <c r="B78" s="345" t="s">
        <v>606</v>
      </c>
      <c r="C78" s="327">
        <v>73000</v>
      </c>
      <c r="D78" s="9">
        <v>0.72899999999999998</v>
      </c>
      <c r="E78" s="9">
        <v>0.72899999999999998</v>
      </c>
    </row>
    <row r="79" spans="1:13" x14ac:dyDescent="0.3">
      <c r="B79" s="345" t="s">
        <v>607</v>
      </c>
      <c r="C79" s="327">
        <v>36500</v>
      </c>
      <c r="D79" s="9">
        <v>2.37</v>
      </c>
      <c r="E79" s="9">
        <v>2.37</v>
      </c>
    </row>
    <row r="80" spans="1:13" x14ac:dyDescent="0.3">
      <c r="B80" s="345" t="s">
        <v>608</v>
      </c>
      <c r="C80" s="327">
        <v>29000</v>
      </c>
      <c r="D80" s="9">
        <v>2.1880000000000002</v>
      </c>
      <c r="E80" s="9">
        <v>2.1880000000000002</v>
      </c>
    </row>
    <row r="81" spans="1:10" x14ac:dyDescent="0.3">
      <c r="B81" s="345" t="s">
        <v>609</v>
      </c>
      <c r="C81" s="327">
        <v>2900</v>
      </c>
      <c r="D81" s="9">
        <v>0.875</v>
      </c>
      <c r="E81" s="9">
        <v>0.875</v>
      </c>
    </row>
    <row r="82" spans="1:10" x14ac:dyDescent="0.3">
      <c r="B82" s="345" t="s">
        <v>610</v>
      </c>
      <c r="C82" s="327">
        <v>18000</v>
      </c>
      <c r="D82" s="9">
        <v>3.6459999999999999</v>
      </c>
      <c r="E82" s="9">
        <v>3.6459999999999999</v>
      </c>
    </row>
    <row r="83" spans="1:10" x14ac:dyDescent="0.3">
      <c r="B83" s="345" t="s">
        <v>611</v>
      </c>
      <c r="C83" s="9"/>
      <c r="D83" s="9">
        <f>SUM(D77:D82)</f>
        <v>32.777000000000001</v>
      </c>
      <c r="E83" s="342">
        <f>SUM(E77:E82)</f>
        <v>32.799999999999997</v>
      </c>
    </row>
    <row r="85" spans="1:10" x14ac:dyDescent="0.3">
      <c r="B85" s="38" t="s">
        <v>985</v>
      </c>
      <c r="C85" s="2">
        <f>E82</f>
        <v>3.6459999999999999</v>
      </c>
    </row>
    <row r="86" spans="1:10" x14ac:dyDescent="0.3">
      <c r="B86" s="38" t="s">
        <v>986</v>
      </c>
      <c r="C86" s="82">
        <f>E83-C85</f>
        <v>29.153999999999996</v>
      </c>
      <c r="G86" s="22"/>
      <c r="H86" s="16"/>
      <c r="I86" s="320"/>
      <c r="J86" s="16"/>
    </row>
    <row r="87" spans="1:10" x14ac:dyDescent="0.3">
      <c r="B87" s="160"/>
      <c r="C87" s="16"/>
      <c r="G87" s="22"/>
      <c r="H87" s="16"/>
      <c r="I87" s="320"/>
      <c r="J87" s="16"/>
    </row>
    <row r="88" spans="1:10" ht="30" x14ac:dyDescent="0.3">
      <c r="B88" s="160" t="s">
        <v>1004</v>
      </c>
      <c r="C88" s="320">
        <f>C93/SUM($C$92:$C$93)*C86</f>
        <v>13.751886792452829</v>
      </c>
      <c r="G88" s="22"/>
      <c r="H88" s="16"/>
      <c r="I88" s="320"/>
      <c r="J88" s="16"/>
    </row>
    <row r="89" spans="1:10" ht="30" x14ac:dyDescent="0.3">
      <c r="B89" s="160" t="s">
        <v>988</v>
      </c>
      <c r="C89" s="320">
        <f>C92/SUM($C$92:$C$93)*C86</f>
        <v>15.402113207547167</v>
      </c>
      <c r="G89" s="22"/>
      <c r="H89" s="16"/>
      <c r="I89" s="320"/>
      <c r="J89" s="16"/>
    </row>
    <row r="90" spans="1:10" x14ac:dyDescent="0.3">
      <c r="B90" s="160"/>
      <c r="C90" s="16"/>
      <c r="G90" s="22"/>
      <c r="H90" s="16"/>
      <c r="I90" s="320"/>
      <c r="J90" s="16"/>
    </row>
    <row r="91" spans="1:10" x14ac:dyDescent="0.3">
      <c r="B91" s="10" t="s">
        <v>602</v>
      </c>
      <c r="G91" s="22"/>
      <c r="H91" s="16"/>
      <c r="I91" s="320"/>
      <c r="J91" s="16"/>
    </row>
    <row r="92" spans="1:10" x14ac:dyDescent="0.3">
      <c r="B92" s="2" t="s">
        <v>989</v>
      </c>
      <c r="C92" s="30">
        <v>14</v>
      </c>
      <c r="D92" s="2" t="s">
        <v>93</v>
      </c>
    </row>
    <row r="93" spans="1:10" x14ac:dyDescent="0.3">
      <c r="B93" s="2" t="s">
        <v>990</v>
      </c>
      <c r="C93" s="30">
        <v>12.5</v>
      </c>
      <c r="D93" s="2" t="s">
        <v>93</v>
      </c>
    </row>
    <row r="94" spans="1:10" s="308" customFormat="1" ht="15.75" x14ac:dyDescent="0.3">
      <c r="B94" s="2"/>
      <c r="C94" s="2"/>
      <c r="D94" s="2"/>
      <c r="E94" s="401"/>
      <c r="F94" s="401"/>
      <c r="G94" s="401"/>
      <c r="H94" s="401"/>
      <c r="I94" s="217"/>
      <c r="J94" s="218"/>
    </row>
    <row r="95" spans="1:10" x14ac:dyDescent="0.3">
      <c r="A95" s="331">
        <v>2</v>
      </c>
      <c r="B95" s="335" t="s">
        <v>412</v>
      </c>
    </row>
    <row r="96" spans="1:10" x14ac:dyDescent="0.3">
      <c r="A96" s="331"/>
      <c r="B96" s="2" t="s">
        <v>1005</v>
      </c>
    </row>
    <row r="97" spans="1:5" ht="30" x14ac:dyDescent="0.3">
      <c r="A97" s="331"/>
      <c r="B97" s="160" t="s">
        <v>1006</v>
      </c>
      <c r="C97" s="82">
        <f>C89</f>
        <v>15.402113207547167</v>
      </c>
    </row>
    <row r="98" spans="1:5" ht="30" x14ac:dyDescent="0.3">
      <c r="A98" s="331"/>
      <c r="B98" s="160" t="s">
        <v>1007</v>
      </c>
      <c r="C98" s="30">
        <f>C92</f>
        <v>14</v>
      </c>
    </row>
    <row r="99" spans="1:5" x14ac:dyDescent="0.3">
      <c r="A99" s="331"/>
      <c r="B99" s="335"/>
    </row>
    <row r="100" spans="1:5" x14ac:dyDescent="0.3">
      <c r="A100" s="331"/>
      <c r="B100" s="2" t="s">
        <v>993</v>
      </c>
    </row>
    <row r="101" spans="1:5" ht="30" x14ac:dyDescent="0.3">
      <c r="A101" s="331"/>
      <c r="B101" s="160" t="s">
        <v>994</v>
      </c>
      <c r="C101" s="2">
        <v>37.500999999999998</v>
      </c>
    </row>
    <row r="102" spans="1:5" x14ac:dyDescent="0.3">
      <c r="A102" s="331"/>
      <c r="B102" s="160"/>
    </row>
    <row r="103" spans="1:5" x14ac:dyDescent="0.3">
      <c r="A103" s="331"/>
      <c r="B103" s="160" t="s">
        <v>996</v>
      </c>
      <c r="C103" s="82">
        <f>C101+C97</f>
        <v>52.903113207547165</v>
      </c>
    </row>
    <row r="104" spans="1:5" ht="14.25" customHeight="1" x14ac:dyDescent="0.3">
      <c r="A104" s="331"/>
      <c r="B104" s="160" t="s">
        <v>995</v>
      </c>
      <c r="C104" s="29">
        <f>D112</f>
        <v>26</v>
      </c>
    </row>
    <row r="105" spans="1:5" x14ac:dyDescent="0.3">
      <c r="A105" s="331"/>
      <c r="B105" s="335"/>
    </row>
    <row r="106" spans="1:5" x14ac:dyDescent="0.3">
      <c r="B106" s="10" t="s">
        <v>612</v>
      </c>
    </row>
    <row r="107" spans="1:5" ht="33.75" customHeight="1" x14ac:dyDescent="0.3">
      <c r="B107" s="324" t="s">
        <v>613</v>
      </c>
      <c r="C107" s="324" t="s">
        <v>614</v>
      </c>
      <c r="D107" s="324" t="s">
        <v>615</v>
      </c>
      <c r="E107" s="2"/>
    </row>
    <row r="108" spans="1:5" x14ac:dyDescent="0.3">
      <c r="B108" s="9" t="s">
        <v>616</v>
      </c>
      <c r="C108" s="9">
        <v>32.6</v>
      </c>
      <c r="D108" s="9">
        <v>6.3</v>
      </c>
      <c r="E108" s="2"/>
    </row>
    <row r="109" spans="1:5" x14ac:dyDescent="0.3">
      <c r="B109" s="9" t="s">
        <v>617</v>
      </c>
      <c r="C109" s="9">
        <v>96.4</v>
      </c>
      <c r="D109" s="9">
        <v>2.2000000000000002</v>
      </c>
      <c r="E109" s="2"/>
    </row>
    <row r="110" spans="1:5" x14ac:dyDescent="0.3">
      <c r="B110" s="9" t="s">
        <v>618</v>
      </c>
      <c r="C110" s="9">
        <v>40</v>
      </c>
      <c r="D110" s="9">
        <v>14</v>
      </c>
      <c r="E110" s="2"/>
    </row>
    <row r="111" spans="1:5" x14ac:dyDescent="0.3">
      <c r="B111" s="9" t="s">
        <v>619</v>
      </c>
      <c r="C111" s="9"/>
      <c r="D111" s="9">
        <v>3.5</v>
      </c>
      <c r="E111" s="2"/>
    </row>
    <row r="112" spans="1:5" x14ac:dyDescent="0.3">
      <c r="B112" s="9" t="s">
        <v>313</v>
      </c>
      <c r="C112" s="9">
        <v>169</v>
      </c>
      <c r="D112" s="9">
        <v>26</v>
      </c>
      <c r="E112" s="2"/>
    </row>
    <row r="113" spans="1:6" x14ac:dyDescent="0.3">
      <c r="C113" s="16"/>
      <c r="D113" s="16"/>
      <c r="E113" s="22"/>
      <c r="F113" s="16"/>
    </row>
    <row r="114" spans="1:6" x14ac:dyDescent="0.3">
      <c r="A114" s="331">
        <v>3</v>
      </c>
      <c r="B114" s="335" t="s">
        <v>413</v>
      </c>
    </row>
    <row r="115" spans="1:6" x14ac:dyDescent="0.3">
      <c r="A115" s="331"/>
      <c r="B115" s="2" t="s">
        <v>997</v>
      </c>
    </row>
    <row r="116" spans="1:6" x14ac:dyDescent="0.3">
      <c r="A116" s="331"/>
    </row>
    <row r="117" spans="1:6" x14ac:dyDescent="0.3">
      <c r="A117" s="331"/>
      <c r="B117" s="2" t="s">
        <v>998</v>
      </c>
      <c r="C117" s="82">
        <f>G47</f>
        <v>2</v>
      </c>
    </row>
    <row r="118" spans="1:6" ht="91.5" customHeight="1" x14ac:dyDescent="0.3">
      <c r="A118" s="331"/>
      <c r="B118" s="719" t="s">
        <v>1008</v>
      </c>
      <c r="C118" s="719"/>
      <c r="D118" s="719"/>
      <c r="E118" s="719"/>
      <c r="F118" s="719"/>
    </row>
    <row r="119" spans="1:6" x14ac:dyDescent="0.3">
      <c r="A119" s="331"/>
      <c r="B119" s="335"/>
    </row>
    <row r="120" spans="1:6" x14ac:dyDescent="0.3">
      <c r="A120" s="331"/>
      <c r="B120" s="2" t="s">
        <v>999</v>
      </c>
      <c r="C120" s="82">
        <f>G48</f>
        <v>6.49</v>
      </c>
    </row>
    <row r="121" spans="1:6" ht="103.5" customHeight="1" x14ac:dyDescent="0.3">
      <c r="A121" s="331"/>
      <c r="B121" s="719" t="s">
        <v>1000</v>
      </c>
      <c r="C121" s="719"/>
      <c r="D121" s="719"/>
      <c r="E121" s="719"/>
      <c r="F121" s="719"/>
    </row>
    <row r="123" spans="1:6" x14ac:dyDescent="0.3">
      <c r="A123" s="338">
        <v>4</v>
      </c>
      <c r="B123" s="328" t="s">
        <v>415</v>
      </c>
    </row>
    <row r="124" spans="1:6" x14ac:dyDescent="0.3">
      <c r="A124" s="338"/>
      <c r="B124" s="38" t="s">
        <v>1026</v>
      </c>
    </row>
    <row r="125" spans="1:6" ht="14.25" customHeight="1" x14ac:dyDescent="0.3">
      <c r="A125" s="338"/>
      <c r="B125" s="38" t="s">
        <v>1009</v>
      </c>
    </row>
    <row r="126" spans="1:6" x14ac:dyDescent="0.3">
      <c r="B126" s="2" t="s">
        <v>1002</v>
      </c>
    </row>
    <row r="128" spans="1:6" x14ac:dyDescent="0.3">
      <c r="A128" s="338">
        <v>5</v>
      </c>
      <c r="B128" s="328" t="s">
        <v>416</v>
      </c>
    </row>
    <row r="129" spans="1:9" ht="75.75" customHeight="1" x14ac:dyDescent="0.3">
      <c r="B129" s="719" t="s">
        <v>1010</v>
      </c>
      <c r="C129" s="719"/>
      <c r="D129" s="719"/>
      <c r="E129" s="719"/>
      <c r="F129" s="719"/>
    </row>
    <row r="131" spans="1:9" x14ac:dyDescent="0.3">
      <c r="A131" s="44">
        <v>6</v>
      </c>
      <c r="B131" s="328" t="s">
        <v>494</v>
      </c>
    </row>
    <row r="132" spans="1:9" ht="15.75" thickBot="1" x14ac:dyDescent="0.35">
      <c r="B132" s="2" t="str">
        <f>C9</f>
        <v>WSH</v>
      </c>
      <c r="C132" s="82"/>
      <c r="D132" s="82"/>
      <c r="E132" s="341"/>
      <c r="F132" s="82"/>
      <c r="I132" s="30"/>
    </row>
    <row r="133" spans="1:9" x14ac:dyDescent="0.3">
      <c r="B133" s="153" t="s">
        <v>392</v>
      </c>
      <c r="C133" s="154"/>
      <c r="D133" s="156" t="s">
        <v>393</v>
      </c>
      <c r="E133" s="158" t="s">
        <v>394</v>
      </c>
      <c r="F133" s="68" t="s">
        <v>395</v>
      </c>
      <c r="G133" s="340" t="s">
        <v>385</v>
      </c>
      <c r="I133" s="30"/>
    </row>
    <row r="134" spans="1:9" x14ac:dyDescent="0.3">
      <c r="B134" s="85" t="s">
        <v>396</v>
      </c>
      <c r="C134" s="71" t="s">
        <v>25</v>
      </c>
      <c r="D134" s="175">
        <f t="shared" ref="D134:F135" si="0">D138+D142</f>
        <v>26.683999999999997</v>
      </c>
      <c r="E134" s="175">
        <f t="shared" si="0"/>
        <v>66.655000000000001</v>
      </c>
      <c r="F134" s="175">
        <f t="shared" si="0"/>
        <v>93.338999999999999</v>
      </c>
      <c r="G134" s="36" t="str">
        <f>IF(ABS(SUM(D134,E134)-F134)&lt;0.001,"OK","ERROR")</f>
        <v>OK</v>
      </c>
    </row>
    <row r="135" spans="1:9" x14ac:dyDescent="0.3">
      <c r="B135" s="155" t="s">
        <v>397</v>
      </c>
      <c r="C135" s="71" t="s">
        <v>25</v>
      </c>
      <c r="D135" s="175">
        <f t="shared" si="0"/>
        <v>1.159</v>
      </c>
      <c r="E135" s="175">
        <f t="shared" si="0"/>
        <v>0</v>
      </c>
      <c r="F135" s="175">
        <f t="shared" si="0"/>
        <v>1.159</v>
      </c>
      <c r="G135" s="36" t="str">
        <f>IF(ABS(SUM(D135,E135)-F135)&lt;0.001,"OK","ERROR")</f>
        <v>OK</v>
      </c>
    </row>
    <row r="136" spans="1:9" x14ac:dyDescent="0.3">
      <c r="B136" s="85" t="s">
        <v>398</v>
      </c>
      <c r="C136" s="71" t="s">
        <v>93</v>
      </c>
      <c r="D136" s="175">
        <f>D140+D144</f>
        <v>5.0999999999999996</v>
      </c>
      <c r="E136" s="175" t="s">
        <v>341</v>
      </c>
      <c r="F136" s="175">
        <f>D136</f>
        <v>5.0999999999999996</v>
      </c>
      <c r="G136" s="36" t="str">
        <f>IF(ABS(SUM(D136,E136)-F136)&lt;0.001,"OK","ERROR")</f>
        <v>OK</v>
      </c>
    </row>
    <row r="137" spans="1:9" x14ac:dyDescent="0.3">
      <c r="B137" s="34"/>
      <c r="C137" s="16"/>
      <c r="D137" s="177"/>
      <c r="E137" s="177"/>
      <c r="F137" s="177"/>
      <c r="G137" s="36"/>
    </row>
    <row r="138" spans="1:9" x14ac:dyDescent="0.3">
      <c r="B138" s="85" t="s">
        <v>399</v>
      </c>
      <c r="C138" s="71" t="s">
        <v>25</v>
      </c>
      <c r="D138" s="175">
        <f>INDEX(Analysis!H$101:H$117,MATCH($B$132,Analysis!$B$101:$B$117,0))</f>
        <v>26.683999999999997</v>
      </c>
      <c r="E138" s="175">
        <f>INDEX(Analysis!I$101:I$117,MATCH($B$132,Analysis!$B$101:$B$117,0))</f>
        <v>0</v>
      </c>
      <c r="F138" s="175">
        <f>SUM(D138:E138)</f>
        <v>26.683999999999997</v>
      </c>
      <c r="G138" s="36" t="str">
        <f t="shared" ref="G138:G142" si="1">IF(ABS(SUM(D138,E138)-F138)&lt;0.001,"OK","ERROR")</f>
        <v>OK</v>
      </c>
    </row>
    <row r="139" spans="1:9" x14ac:dyDescent="0.3">
      <c r="B139" s="155" t="s">
        <v>400</v>
      </c>
      <c r="C139" s="157" t="s">
        <v>25</v>
      </c>
      <c r="D139" s="176">
        <f>INDEX(Analysis!H$150:H$166,MATCH($B$132,Analysis!$B$150:$B$166,0))</f>
        <v>1.159</v>
      </c>
      <c r="E139" s="176">
        <f>INDEX(Analysis!I$150:I$166,MATCH($B$132,Analysis!$B$150:$B$166,0))</f>
        <v>0</v>
      </c>
      <c r="F139" s="175">
        <f>SUM(D139:E139)</f>
        <v>1.159</v>
      </c>
      <c r="G139" s="36" t="str">
        <f>IF(ABS(SUM(D139,E139)-F139)&lt;0.001,"OK","ERROR")</f>
        <v>OK</v>
      </c>
    </row>
    <row r="140" spans="1:9" x14ac:dyDescent="0.3">
      <c r="B140" s="85" t="s">
        <v>401</v>
      </c>
      <c r="C140" s="71" t="s">
        <v>93</v>
      </c>
      <c r="D140" s="175">
        <f>INDEX(Analysis!$H$26:$H$42,MATCH($B$132,Analysis!$B$26:$B$42,0))</f>
        <v>5.0999999999999996</v>
      </c>
      <c r="E140" s="175" t="s">
        <v>341</v>
      </c>
      <c r="F140" s="175">
        <f>D140</f>
        <v>5.0999999999999996</v>
      </c>
      <c r="G140" s="36" t="str">
        <f>IF(ABS(SUM(D140,E140)-F140)&lt;0.001,"OK","ERROR")</f>
        <v>OK</v>
      </c>
    </row>
    <row r="141" spans="1:9" x14ac:dyDescent="0.3">
      <c r="B141" s="34"/>
      <c r="C141" s="16"/>
      <c r="D141" s="177"/>
      <c r="E141" s="177"/>
      <c r="F141" s="177"/>
      <c r="G141" s="36"/>
    </row>
    <row r="142" spans="1:9" x14ac:dyDescent="0.3">
      <c r="B142" s="85" t="s">
        <v>402</v>
      </c>
      <c r="C142" s="71" t="s">
        <v>403</v>
      </c>
      <c r="D142" s="175">
        <f>INDEX(Analysis!H$125:H$141,MATCH($B$132,Analysis!$B$125:$B$141,0))</f>
        <v>0</v>
      </c>
      <c r="E142" s="175">
        <f>INDEX(Analysis!I$125:I$141,MATCH($B$132,Analysis!$B$125:$B$141,0))</f>
        <v>66.655000000000001</v>
      </c>
      <c r="F142" s="175">
        <f>SUM(D142:E142)</f>
        <v>66.655000000000001</v>
      </c>
      <c r="G142" s="36" t="str">
        <f t="shared" si="1"/>
        <v>OK</v>
      </c>
    </row>
    <row r="143" spans="1:9" x14ac:dyDescent="0.3">
      <c r="B143" s="155" t="s">
        <v>404</v>
      </c>
      <c r="C143" s="71" t="s">
        <v>403</v>
      </c>
      <c r="D143" s="176">
        <f>INDEX(Analysis!H$175:H$191,MATCH($B$132,Analysis!$B$175:$B$191,0))</f>
        <v>0</v>
      </c>
      <c r="E143" s="176">
        <f>INDEX(Analysis!I$175:I$191,MATCH($B$132,Analysis!$B$175:$B$191,0))</f>
        <v>0</v>
      </c>
      <c r="F143" s="175">
        <f>SUM(D143:E143)</f>
        <v>0</v>
      </c>
      <c r="G143" s="36" t="str">
        <f>IF(ABS(SUM(D143,E143)-F143)&lt;0.001,"OK","ERROR")</f>
        <v>OK</v>
      </c>
    </row>
    <row r="144" spans="1:9" ht="15.75" thickBot="1" x14ac:dyDescent="0.35">
      <c r="B144" s="151" t="s">
        <v>405</v>
      </c>
      <c r="C144" s="74" t="s">
        <v>93</v>
      </c>
      <c r="D144" s="178">
        <f>INDEX(Analysis!$H$51:$H$67,MATCH($B$132,Analysis!$B$51:$B$67,0))</f>
        <v>0</v>
      </c>
      <c r="E144" s="178" t="s">
        <v>341</v>
      </c>
      <c r="F144" s="178">
        <f>D144</f>
        <v>0</v>
      </c>
      <c r="G144" s="37" t="str">
        <f>IF(ABS(SUM(D144,E144)-F144)&lt;0.001,"OK","ERROR")</f>
        <v>OK</v>
      </c>
    </row>
  </sheetData>
  <mergeCells count="11">
    <mergeCell ref="B118:F118"/>
    <mergeCell ref="B121:F121"/>
    <mergeCell ref="B129:F129"/>
    <mergeCell ref="C4:D4"/>
    <mergeCell ref="C5:D5"/>
    <mergeCell ref="C6:D6"/>
    <mergeCell ref="F53:L53"/>
    <mergeCell ref="C69:D69"/>
    <mergeCell ref="C68:D68"/>
    <mergeCell ref="B66:F66"/>
    <mergeCell ref="E67:H67"/>
  </mergeCells>
  <conditionalFormatting sqref="D132">
    <cfRule type="cellIs" dxfId="83" priority="51" operator="equal">
      <formula>"OK"</formula>
    </cfRule>
    <cfRule type="cellIs" dxfId="82" priority="52" operator="equal">
      <formula>"ERROR"</formula>
    </cfRule>
  </conditionalFormatting>
  <conditionalFormatting sqref="F5">
    <cfRule type="cellIs" dxfId="81" priority="9" operator="equal">
      <formula>"OK"</formula>
    </cfRule>
    <cfRule type="cellIs" dxfId="80" priority="10" operator="equal">
      <formula>"ERROR"</formula>
    </cfRule>
  </conditionalFormatting>
  <conditionalFormatting sqref="F6">
    <cfRule type="cellIs" dxfId="79" priority="7" operator="equal">
      <formula>"OK"</formula>
    </cfRule>
    <cfRule type="cellIs" dxfId="78" priority="8" operator="equal">
      <formula>"ERROR"</formula>
    </cfRule>
  </conditionalFormatting>
  <conditionalFormatting sqref="F4">
    <cfRule type="cellIs" dxfId="77" priority="11" operator="equal">
      <formula>"OK"</formula>
    </cfRule>
    <cfRule type="cellIs" dxfId="76" priority="12" operator="equal">
      <formula>"ERROR"</formula>
    </cfRule>
  </conditionalFormatting>
  <conditionalFormatting sqref="G134:G136 G138:G140 G142:G144">
    <cfRule type="cellIs" dxfId="75" priority="3" operator="equal">
      <formula>"OK"</formula>
    </cfRule>
    <cfRule type="cellIs" dxfId="74" priority="4" operator="equal">
      <formula>"ERROR"</formula>
    </cfRule>
  </conditionalFormatting>
  <conditionalFormatting sqref="K29">
    <cfRule type="cellIs" dxfId="73" priority="5" operator="equal">
      <formula>"Y"</formula>
    </cfRule>
    <cfRule type="cellIs" dxfId="72" priority="6" operator="equal">
      <formula>"N"</formula>
    </cfRule>
  </conditionalFormatting>
  <conditionalFormatting sqref="F5">
    <cfRule type="cellIs" dxfId="71" priority="1" operator="equal">
      <formula>"OK"</formula>
    </cfRule>
    <cfRule type="cellIs" dxfId="70" priority="2" operator="equal">
      <formula>"ERROR"</formula>
    </cfRule>
  </conditionalFormatting>
  <dataValidations disablePrompts="1"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J88"/>
  <sheetViews>
    <sheetView zoomScaleNormal="100" workbookViewId="0"/>
  </sheetViews>
  <sheetFormatPr defaultColWidth="8.7109375" defaultRowHeight="15" x14ac:dyDescent="0.3"/>
  <cols>
    <col min="1" max="1" width="8" style="46" customWidth="1"/>
    <col min="2" max="2" width="54.85546875" style="46" customWidth="1"/>
    <col min="3" max="3" width="20" style="46" customWidth="1"/>
    <col min="4" max="4" width="14.28515625" style="46" customWidth="1"/>
    <col min="5" max="5" width="10.28515625" style="48" customWidth="1"/>
    <col min="6" max="6" width="15" style="46" customWidth="1"/>
    <col min="7" max="7" width="66.28515625" style="46" customWidth="1"/>
    <col min="8" max="8" width="13" style="46" customWidth="1"/>
    <col min="9" max="9" width="12.28515625" style="46" customWidth="1"/>
    <col min="10" max="10" width="10.7109375" style="46" customWidth="1"/>
    <col min="11" max="13" width="8.28515625" style="46" customWidth="1"/>
    <col min="14" max="16384" width="8.7109375" style="46"/>
  </cols>
  <sheetData>
    <row r="1" spans="2:9" s="4" customFormat="1" ht="21.75" x14ac:dyDescent="0.3">
      <c r="B1" s="6" t="s">
        <v>621</v>
      </c>
      <c r="C1" s="1"/>
      <c r="D1" s="1"/>
      <c r="E1" s="45"/>
      <c r="F1" s="1"/>
      <c r="G1" s="2"/>
      <c r="H1" s="10"/>
      <c r="I1" s="11"/>
    </row>
    <row r="2" spans="2:9" s="4" customFormat="1" ht="22.5" thickBot="1" x14ac:dyDescent="0.35">
      <c r="B2" s="5"/>
      <c r="C2" s="8"/>
      <c r="D2" s="8"/>
      <c r="E2" s="38"/>
      <c r="F2" s="2"/>
      <c r="G2" s="2"/>
      <c r="H2" s="10"/>
      <c r="I2" s="11"/>
    </row>
    <row r="3" spans="2:9" s="4" customFormat="1" ht="22.5" thickBot="1" x14ac:dyDescent="0.35">
      <c r="B3" s="5" t="s">
        <v>1</v>
      </c>
      <c r="C3" s="8"/>
      <c r="D3" s="8"/>
      <c r="E3" s="38"/>
      <c r="F3" s="394" t="s">
        <v>385</v>
      </c>
      <c r="G3" s="2"/>
      <c r="H3" s="10"/>
    </row>
    <row r="4" spans="2:9" s="2" customFormat="1" x14ac:dyDescent="0.3">
      <c r="B4" s="354" t="s">
        <v>471</v>
      </c>
      <c r="C4" s="711" t="s">
        <v>387</v>
      </c>
      <c r="D4" s="712"/>
      <c r="E4" s="38"/>
      <c r="F4" s="395" t="str">
        <f>IF(ROUND(C10,3)-ROUND((F78+F79),3)=0,"OK","ERROR")</f>
        <v>OK</v>
      </c>
      <c r="G4" s="2" t="s">
        <v>472</v>
      </c>
    </row>
    <row r="5" spans="2:9" s="2" customFormat="1" ht="15.75" thickBot="1" x14ac:dyDescent="0.35">
      <c r="B5" s="355" t="s">
        <v>388</v>
      </c>
      <c r="C5" s="713">
        <v>43616</v>
      </c>
      <c r="D5" s="714"/>
      <c r="E5" s="38"/>
      <c r="F5" s="396" t="str">
        <f>IF(ROUND(D28,3)-ROUND((F78+F79),3)=0,"OK","ERROR")</f>
        <v>OK</v>
      </c>
      <c r="G5" s="2" t="s">
        <v>473</v>
      </c>
    </row>
    <row r="6" spans="2:9" s="2" customFormat="1" ht="15.75" thickBot="1" x14ac:dyDescent="0.35">
      <c r="B6" s="356" t="s">
        <v>389</v>
      </c>
      <c r="C6" s="729" t="s">
        <v>935</v>
      </c>
      <c r="D6" s="716"/>
      <c r="E6" s="38"/>
    </row>
    <row r="7" spans="2:9" s="2" customFormat="1" x14ac:dyDescent="0.3">
      <c r="B7" s="16"/>
      <c r="C7" s="16"/>
      <c r="D7" s="17"/>
      <c r="E7" s="38"/>
    </row>
    <row r="8" spans="2:9" s="2" customFormat="1" ht="15.75" thickBot="1" x14ac:dyDescent="0.35">
      <c r="B8" s="5" t="s">
        <v>6</v>
      </c>
      <c r="E8" s="38"/>
    </row>
    <row r="9" spans="2:9" s="2" customFormat="1" x14ac:dyDescent="0.3">
      <c r="B9" s="357" t="s">
        <v>312</v>
      </c>
      <c r="C9" s="360" t="s">
        <v>33</v>
      </c>
      <c r="D9" s="402"/>
      <c r="E9" s="38"/>
    </row>
    <row r="10" spans="2:9" s="2" customFormat="1" x14ac:dyDescent="0.3">
      <c r="B10" s="358" t="s">
        <v>474</v>
      </c>
      <c r="C10" s="361">
        <f>INDEX(Analysis!L5:L21,MATCH(C9,Analysis!B5:B21,0))</f>
        <v>28.189038461538477</v>
      </c>
      <c r="D10" s="5"/>
      <c r="E10" s="38"/>
    </row>
    <row r="11" spans="2:9" s="2" customFormat="1" x14ac:dyDescent="0.3">
      <c r="B11" s="358" t="s">
        <v>475</v>
      </c>
      <c r="C11" s="361">
        <v>0</v>
      </c>
      <c r="D11" s="15"/>
      <c r="E11" s="63"/>
      <c r="G11" s="15"/>
    </row>
    <row r="12" spans="2:9" s="2" customFormat="1" x14ac:dyDescent="0.3">
      <c r="B12" s="358" t="s">
        <v>476</v>
      </c>
      <c r="C12" s="362">
        <f>C10+C11</f>
        <v>28.189038461538477</v>
      </c>
      <c r="D12" s="15"/>
      <c r="E12" s="63"/>
      <c r="G12" s="15"/>
    </row>
    <row r="13" spans="2:9" s="2" customFormat="1" x14ac:dyDescent="0.3">
      <c r="B13" s="358" t="s">
        <v>477</v>
      </c>
      <c r="C13" s="362">
        <v>0</v>
      </c>
      <c r="D13" s="15"/>
      <c r="E13" s="63"/>
      <c r="G13" s="15"/>
    </row>
    <row r="14" spans="2:9" s="2" customFormat="1" ht="15.75" thickBot="1" x14ac:dyDescent="0.35">
      <c r="B14" s="359" t="s">
        <v>478</v>
      </c>
      <c r="C14" s="363">
        <f ca="1">F28</f>
        <v>2.851</v>
      </c>
      <c r="D14" s="15"/>
      <c r="E14" s="63"/>
      <c r="G14" s="15"/>
    </row>
    <row r="15" spans="2:9" s="2" customFormat="1" x14ac:dyDescent="0.3">
      <c r="B15" s="337"/>
      <c r="C15" s="15"/>
      <c r="D15" s="15"/>
      <c r="E15" s="63"/>
      <c r="G15" s="15"/>
    </row>
    <row r="16" spans="2:9" s="2" customFormat="1" ht="15.75" thickBot="1" x14ac:dyDescent="0.35">
      <c r="B16" s="5" t="s">
        <v>391</v>
      </c>
      <c r="C16" s="82"/>
      <c r="E16" s="38"/>
    </row>
    <row r="17" spans="1:9" s="2" customFormat="1" ht="15.75" thickBot="1" x14ac:dyDescent="0.35">
      <c r="B17" s="364" t="s">
        <v>479</v>
      </c>
      <c r="C17" s="365">
        <f ca="1">C13+C14</f>
        <v>2.851</v>
      </c>
      <c r="D17" s="5"/>
      <c r="E17" s="38"/>
    </row>
    <row r="18" spans="1:9" s="2" customFormat="1" x14ac:dyDescent="0.3"/>
    <row r="19" spans="1:9" s="2" customFormat="1" ht="16.5" customHeight="1" thickBot="1" x14ac:dyDescent="0.35">
      <c r="A19" s="44"/>
      <c r="B19" s="172" t="s">
        <v>480</v>
      </c>
      <c r="C19" s="35"/>
      <c r="D19" s="16"/>
      <c r="E19" s="22"/>
      <c r="F19" s="40"/>
      <c r="G19" s="64"/>
    </row>
    <row r="20" spans="1:9" s="31" customFormat="1" ht="45" x14ac:dyDescent="0.3">
      <c r="A20" s="372" t="s">
        <v>481</v>
      </c>
      <c r="B20" s="373" t="s">
        <v>482</v>
      </c>
      <c r="C20" s="382" t="s">
        <v>483</v>
      </c>
      <c r="D20" s="382" t="s">
        <v>484</v>
      </c>
      <c r="E20" s="382" t="s">
        <v>485</v>
      </c>
      <c r="F20" s="382" t="s">
        <v>486</v>
      </c>
      <c r="G20" s="470" t="s">
        <v>340</v>
      </c>
    </row>
    <row r="21" spans="1:9" s="2" customFormat="1" ht="45" x14ac:dyDescent="0.3">
      <c r="A21" s="374">
        <v>1</v>
      </c>
      <c r="B21" s="561" t="s">
        <v>411</v>
      </c>
      <c r="C21" s="367">
        <f>SUM(C22:C23)</f>
        <v>5</v>
      </c>
      <c r="D21" s="367">
        <f>SUM(D22:D23)</f>
        <v>2.851</v>
      </c>
      <c r="E21" s="367">
        <f>C54</f>
        <v>5</v>
      </c>
      <c r="F21" s="368">
        <f ca="1">E21*MIN(C31,D31)</f>
        <v>2.851</v>
      </c>
      <c r="G21" s="471" t="s">
        <v>1058</v>
      </c>
    </row>
    <row r="22" spans="1:9" s="2" customFormat="1" x14ac:dyDescent="0.3">
      <c r="A22" s="374" t="s">
        <v>487</v>
      </c>
      <c r="B22" s="561" t="s">
        <v>408</v>
      </c>
      <c r="C22" s="384">
        <v>0</v>
      </c>
      <c r="D22" s="385">
        <v>0</v>
      </c>
      <c r="E22" s="371"/>
      <c r="F22" s="371"/>
      <c r="G22" s="619"/>
    </row>
    <row r="23" spans="1:9" s="2" customFormat="1" x14ac:dyDescent="0.3">
      <c r="A23" s="374" t="s">
        <v>488</v>
      </c>
      <c r="B23" s="561" t="s">
        <v>409</v>
      </c>
      <c r="C23" s="384">
        <f>C54</f>
        <v>5</v>
      </c>
      <c r="D23" s="385">
        <v>2.851</v>
      </c>
      <c r="E23" s="371"/>
      <c r="F23" s="371"/>
      <c r="G23" s="472"/>
    </row>
    <row r="24" spans="1:9" s="2" customFormat="1" ht="135" x14ac:dyDescent="0.3">
      <c r="A24" s="374">
        <v>2</v>
      </c>
      <c r="B24" s="561" t="s">
        <v>412</v>
      </c>
      <c r="C24" s="405">
        <f>E48</f>
        <v>10.49</v>
      </c>
      <c r="D24" s="405">
        <f>C48</f>
        <v>25.338000000000001</v>
      </c>
      <c r="E24" s="371"/>
      <c r="F24" s="368">
        <f>INDEX('Leakage assessment'!B5:B21,MATCH(B76,'Leakage assessment'!A5:A21,0))</f>
        <v>0</v>
      </c>
      <c r="G24" s="472" t="s">
        <v>1045</v>
      </c>
    </row>
    <row r="25" spans="1:9" s="2" customFormat="1" ht="15.75" customHeight="1" x14ac:dyDescent="0.3">
      <c r="A25" s="374">
        <v>3</v>
      </c>
      <c r="B25" s="561" t="s">
        <v>413</v>
      </c>
      <c r="C25" s="371"/>
      <c r="D25" s="370">
        <v>0</v>
      </c>
      <c r="E25" s="371"/>
      <c r="F25" s="367">
        <v>0</v>
      </c>
      <c r="G25" s="473" t="s">
        <v>489</v>
      </c>
    </row>
    <row r="26" spans="1:9" s="2" customFormat="1" x14ac:dyDescent="0.3">
      <c r="A26" s="374">
        <v>4</v>
      </c>
      <c r="B26" s="561" t="s">
        <v>415</v>
      </c>
      <c r="C26" s="371"/>
      <c r="D26" s="370">
        <v>0</v>
      </c>
      <c r="E26" s="371"/>
      <c r="F26" s="367">
        <v>0</v>
      </c>
      <c r="G26" s="473" t="s">
        <v>489</v>
      </c>
    </row>
    <row r="27" spans="1:9" s="2" customFormat="1" ht="15.75" thickBot="1" x14ac:dyDescent="0.35">
      <c r="A27" s="375">
        <v>5</v>
      </c>
      <c r="B27" s="563" t="s">
        <v>416</v>
      </c>
      <c r="C27" s="377"/>
      <c r="D27" s="378">
        <v>0</v>
      </c>
      <c r="E27" s="377"/>
      <c r="F27" s="378">
        <v>0</v>
      </c>
      <c r="G27" s="475" t="s">
        <v>489</v>
      </c>
    </row>
    <row r="28" spans="1:9" s="2" customFormat="1" ht="27" customHeight="1" thickBot="1" x14ac:dyDescent="0.35">
      <c r="A28" s="44"/>
      <c r="B28" s="379" t="s">
        <v>313</v>
      </c>
      <c r="C28" s="380"/>
      <c r="D28" s="380">
        <f>SUM(D21,D24:D27)</f>
        <v>28.189</v>
      </c>
      <c r="E28" s="380"/>
      <c r="F28" s="380">
        <f ca="1">SUM(F21,F24:F27)</f>
        <v>2.851</v>
      </c>
      <c r="G28" s="476"/>
    </row>
    <row r="29" spans="1:9" s="2" customFormat="1" x14ac:dyDescent="0.3">
      <c r="B29" s="71"/>
      <c r="C29" s="71"/>
      <c r="D29" s="75"/>
      <c r="E29" s="70"/>
      <c r="F29" s="71"/>
      <c r="G29" s="70"/>
      <c r="H29" s="71"/>
      <c r="I29" s="71"/>
    </row>
    <row r="30" spans="1:9" s="2" customFormat="1" ht="30.75" thickBot="1" x14ac:dyDescent="0.35">
      <c r="B30" s="172" t="s">
        <v>490</v>
      </c>
      <c r="C30" s="386" t="s">
        <v>491</v>
      </c>
      <c r="D30" s="386" t="s">
        <v>492</v>
      </c>
      <c r="E30" s="22"/>
      <c r="F30" s="16"/>
      <c r="G30" s="70"/>
      <c r="H30" s="71"/>
      <c r="I30" s="71"/>
    </row>
    <row r="31" spans="1:9" s="2" customFormat="1" x14ac:dyDescent="0.3">
      <c r="B31" s="387" t="s">
        <v>418</v>
      </c>
      <c r="C31" s="388">
        <f>IFERROR(D21/C21,0)</f>
        <v>0.57020000000000004</v>
      </c>
      <c r="D31" s="389">
        <f ca="1">'Unit costs'!B3</f>
        <v>1.2</v>
      </c>
      <c r="E31" s="16"/>
      <c r="F31" s="16"/>
      <c r="G31" s="65"/>
      <c r="H31" s="16"/>
      <c r="I31" s="16"/>
    </row>
    <row r="32" spans="1:9" s="2" customFormat="1" ht="15.75" thickBot="1" x14ac:dyDescent="0.35">
      <c r="B32" s="390" t="s">
        <v>420</v>
      </c>
      <c r="C32" s="391">
        <f>D24/C24</f>
        <v>2.415443279313632</v>
      </c>
      <c r="D32" s="392">
        <f ca="1">'Unit costs'!B4</f>
        <v>2.0302304832713758</v>
      </c>
      <c r="E32" s="16"/>
      <c r="F32" s="16"/>
      <c r="G32" s="65"/>
      <c r="H32" s="16"/>
      <c r="I32" s="16"/>
    </row>
    <row r="33" spans="1:9" s="2" customFormat="1" ht="15.75" thickBot="1" x14ac:dyDescent="0.35">
      <c r="B33" s="16"/>
      <c r="C33" s="182"/>
      <c r="D33" s="182"/>
      <c r="E33" s="16"/>
      <c r="F33" s="16"/>
      <c r="G33" s="65"/>
      <c r="H33" s="16"/>
      <c r="I33" s="16"/>
    </row>
    <row r="34" spans="1:9" s="2" customFormat="1" ht="15.75" thickBot="1" x14ac:dyDescent="0.35">
      <c r="B34" s="437" t="s">
        <v>747</v>
      </c>
      <c r="C34" s="438">
        <v>0.05</v>
      </c>
      <c r="D34" s="339"/>
      <c r="E34" s="22"/>
      <c r="F34" s="16"/>
      <c r="G34" s="70"/>
      <c r="H34" s="16"/>
      <c r="I34" s="71"/>
    </row>
    <row r="35" spans="1:9" x14ac:dyDescent="0.3">
      <c r="B35" s="49"/>
    </row>
    <row r="36" spans="1:9" x14ac:dyDescent="0.3">
      <c r="B36" s="54" t="s">
        <v>303</v>
      </c>
    </row>
    <row r="37" spans="1:9" x14ac:dyDescent="0.3">
      <c r="B37" s="54"/>
    </row>
    <row r="38" spans="1:9" x14ac:dyDescent="0.3">
      <c r="A38" s="331">
        <v>1</v>
      </c>
      <c r="B38" s="335" t="s">
        <v>411</v>
      </c>
      <c r="C38" s="2"/>
    </row>
    <row r="39" spans="1:9" x14ac:dyDescent="0.3">
      <c r="A39" s="44" t="s">
        <v>487</v>
      </c>
      <c r="B39" s="335" t="s">
        <v>408</v>
      </c>
      <c r="C39" s="2"/>
    </row>
    <row r="40" spans="1:9" x14ac:dyDescent="0.3">
      <c r="C40" s="2"/>
    </row>
    <row r="41" spans="1:9" x14ac:dyDescent="0.3">
      <c r="A41" s="331" t="s">
        <v>488</v>
      </c>
      <c r="B41" s="335" t="s">
        <v>409</v>
      </c>
      <c r="C41" s="2"/>
      <c r="D41" s="2"/>
      <c r="E41" s="2"/>
      <c r="F41" s="2"/>
    </row>
    <row r="42" spans="1:9" x14ac:dyDescent="0.3">
      <c r="A42" s="331">
        <v>2</v>
      </c>
      <c r="B42" s="335" t="s">
        <v>412</v>
      </c>
      <c r="C42" s="2"/>
      <c r="D42" s="2"/>
      <c r="E42" s="2"/>
      <c r="F42" s="2"/>
    </row>
    <row r="43" spans="1:9" x14ac:dyDescent="0.3">
      <c r="A43" s="331"/>
      <c r="B43" s="335"/>
      <c r="C43" s="2"/>
      <c r="D43" s="2"/>
      <c r="E43" s="2"/>
      <c r="F43" s="2"/>
    </row>
    <row r="44" spans="1:9" x14ac:dyDescent="0.3">
      <c r="B44" s="2" t="s">
        <v>955</v>
      </c>
      <c r="C44" s="2"/>
      <c r="D44" s="2"/>
      <c r="E44" s="2"/>
      <c r="F44" s="2"/>
      <c r="G44" s="2"/>
      <c r="H44" s="2"/>
    </row>
    <row r="45" spans="1:9" x14ac:dyDescent="0.3">
      <c r="B45" s="2" t="s">
        <v>622</v>
      </c>
      <c r="C45" s="2">
        <v>19.847999999999999</v>
      </c>
      <c r="D45" s="2" t="s">
        <v>623</v>
      </c>
      <c r="E45" s="2"/>
      <c r="F45" s="2"/>
      <c r="G45" s="2"/>
      <c r="H45" s="33"/>
      <c r="I45" s="33"/>
    </row>
    <row r="46" spans="1:9" x14ac:dyDescent="0.3">
      <c r="B46" s="2" t="s">
        <v>622</v>
      </c>
      <c r="C46" s="82">
        <v>5.49</v>
      </c>
      <c r="D46" s="2" t="s">
        <v>624</v>
      </c>
      <c r="E46" s="2"/>
      <c r="F46" s="2"/>
      <c r="G46" s="2"/>
      <c r="H46" s="33"/>
      <c r="I46" s="33"/>
    </row>
    <row r="47" spans="1:9" x14ac:dyDescent="0.3">
      <c r="B47" s="2" t="s">
        <v>866</v>
      </c>
      <c r="C47" s="2"/>
      <c r="D47" s="2"/>
      <c r="G47" s="2"/>
      <c r="H47" s="2" t="s">
        <v>625</v>
      </c>
    </row>
    <row r="48" spans="1:9" x14ac:dyDescent="0.3">
      <c r="B48" s="2" t="s">
        <v>626</v>
      </c>
      <c r="C48" s="82">
        <f>C45+C46</f>
        <v>25.338000000000001</v>
      </c>
      <c r="D48" s="2" t="s">
        <v>460</v>
      </c>
      <c r="E48" s="82">
        <v>10.49</v>
      </c>
      <c r="F48" s="2" t="s">
        <v>93</v>
      </c>
      <c r="G48" s="2"/>
      <c r="H48" s="2"/>
    </row>
    <row r="49" spans="2:10" x14ac:dyDescent="0.3">
      <c r="B49" s="2" t="s">
        <v>627</v>
      </c>
      <c r="C49" s="30" t="s">
        <v>628</v>
      </c>
      <c r="D49" s="2" t="s">
        <v>460</v>
      </c>
      <c r="E49" s="82">
        <v>1.23</v>
      </c>
      <c r="F49" s="2" t="s">
        <v>93</v>
      </c>
      <c r="G49" s="2"/>
      <c r="H49" s="2"/>
    </row>
    <row r="51" spans="2:10" x14ac:dyDescent="0.3">
      <c r="B51" s="46" t="s">
        <v>870</v>
      </c>
    </row>
    <row r="52" spans="2:10" ht="15" customHeight="1" x14ac:dyDescent="0.3">
      <c r="C52" s="46" t="s">
        <v>629</v>
      </c>
      <c r="E52" s="60"/>
      <c r="F52" s="60"/>
    </row>
    <row r="53" spans="2:10" x14ac:dyDescent="0.3">
      <c r="B53" s="46" t="s">
        <v>343</v>
      </c>
      <c r="C53" s="298">
        <f>SUM(F59:J59)</f>
        <v>11.7</v>
      </c>
      <c r="D53" s="477" t="s">
        <v>832</v>
      </c>
    </row>
    <row r="54" spans="2:10" x14ac:dyDescent="0.3">
      <c r="B54" s="46" t="s">
        <v>518</v>
      </c>
      <c r="C54" s="298">
        <f>SUM(F62:J62)</f>
        <v>5</v>
      </c>
    </row>
    <row r="55" spans="2:10" x14ac:dyDescent="0.3">
      <c r="B55" s="46" t="s">
        <v>632</v>
      </c>
      <c r="C55" s="58">
        <f>SUM(F65:J65)</f>
        <v>2.2599999999999998</v>
      </c>
    </row>
    <row r="56" spans="2:10" x14ac:dyDescent="0.3">
      <c r="B56" s="46" t="s">
        <v>313</v>
      </c>
      <c r="C56" s="295">
        <f>SUM(C53:C55)</f>
        <v>18.96</v>
      </c>
    </row>
    <row r="57" spans="2:10" ht="15.75" thickBot="1" x14ac:dyDescent="0.35">
      <c r="B57" s="46" t="s">
        <v>630</v>
      </c>
      <c r="E57" s="46"/>
    </row>
    <row r="58" spans="2:10" ht="15.75" thickBot="1" x14ac:dyDescent="0.35">
      <c r="B58" s="725" t="s">
        <v>631</v>
      </c>
      <c r="C58" s="627" t="s">
        <v>70</v>
      </c>
      <c r="D58" s="627" t="s">
        <v>71</v>
      </c>
      <c r="E58" s="627" t="s">
        <v>72</v>
      </c>
      <c r="F58" s="627" t="s">
        <v>73</v>
      </c>
      <c r="G58" s="627" t="s">
        <v>74</v>
      </c>
      <c r="H58" s="627" t="s">
        <v>75</v>
      </c>
      <c r="I58" s="627" t="s">
        <v>76</v>
      </c>
      <c r="J58" s="627" t="s">
        <v>24</v>
      </c>
    </row>
    <row r="59" spans="2:10" ht="15.75" thickBot="1" x14ac:dyDescent="0.35">
      <c r="B59" s="726"/>
      <c r="C59" s="628">
        <v>0.64</v>
      </c>
      <c r="D59" s="628">
        <v>0.77</v>
      </c>
      <c r="E59" s="628">
        <v>0.73</v>
      </c>
      <c r="F59" s="628">
        <v>2.34</v>
      </c>
      <c r="G59" s="628">
        <v>2.34</v>
      </c>
      <c r="H59" s="628">
        <v>2.34</v>
      </c>
      <c r="I59" s="628">
        <v>2.34</v>
      </c>
      <c r="J59" s="628">
        <v>2.34</v>
      </c>
    </row>
    <row r="60" spans="2:10" ht="15.75" thickBot="1" x14ac:dyDescent="0.35">
      <c r="C60" s="629"/>
      <c r="D60" s="629"/>
      <c r="E60" s="629"/>
      <c r="F60" s="629"/>
      <c r="G60" s="629"/>
      <c r="H60" s="230"/>
      <c r="I60" s="230"/>
      <c r="J60" s="230"/>
    </row>
    <row r="61" spans="2:10" ht="15.75" thickBot="1" x14ac:dyDescent="0.35">
      <c r="B61" s="727" t="s">
        <v>633</v>
      </c>
      <c r="C61" s="630" t="s">
        <v>70</v>
      </c>
      <c r="D61" s="630" t="s">
        <v>71</v>
      </c>
      <c r="E61" s="630" t="s">
        <v>72</v>
      </c>
      <c r="F61" s="630" t="s">
        <v>73</v>
      </c>
      <c r="G61" s="630" t="s">
        <v>74</v>
      </c>
      <c r="H61" s="630" t="s">
        <v>75</v>
      </c>
      <c r="I61" s="630" t="s">
        <v>76</v>
      </c>
      <c r="J61" s="630" t="s">
        <v>24</v>
      </c>
    </row>
    <row r="62" spans="2:10" ht="15.75" thickBot="1" x14ac:dyDescent="0.35">
      <c r="B62" s="728"/>
      <c r="C62" s="628">
        <v>1.21</v>
      </c>
      <c r="D62" s="628">
        <v>0.95</v>
      </c>
      <c r="E62" s="628">
        <v>0.74</v>
      </c>
      <c r="F62" s="628">
        <v>1</v>
      </c>
      <c r="G62" s="628">
        <v>1</v>
      </c>
      <c r="H62" s="628">
        <v>1</v>
      </c>
      <c r="I62" s="628">
        <v>1</v>
      </c>
      <c r="J62" s="628">
        <v>1</v>
      </c>
    </row>
    <row r="63" spans="2:10" ht="15.75" thickBot="1" x14ac:dyDescent="0.35">
      <c r="C63" s="629"/>
      <c r="D63" s="629"/>
      <c r="E63" s="629"/>
      <c r="F63" s="629"/>
      <c r="G63" s="629"/>
      <c r="H63" s="230"/>
      <c r="I63" s="230"/>
      <c r="J63" s="230"/>
    </row>
    <row r="64" spans="2:10" ht="15.75" thickBot="1" x14ac:dyDescent="0.35">
      <c r="B64" s="296" t="s">
        <v>634</v>
      </c>
      <c r="C64" s="627" t="s">
        <v>70</v>
      </c>
      <c r="D64" s="627" t="s">
        <v>71</v>
      </c>
      <c r="E64" s="627" t="s">
        <v>72</v>
      </c>
      <c r="F64" s="627" t="s">
        <v>73</v>
      </c>
      <c r="G64" s="627" t="s">
        <v>74</v>
      </c>
      <c r="H64" s="627" t="s">
        <v>75</v>
      </c>
      <c r="I64" s="627" t="s">
        <v>76</v>
      </c>
      <c r="J64" s="627" t="s">
        <v>24</v>
      </c>
    </row>
    <row r="65" spans="1:10" ht="15.75" thickBot="1" x14ac:dyDescent="0.35">
      <c r="B65" s="297" t="s">
        <v>635</v>
      </c>
      <c r="C65" s="628">
        <v>0.49</v>
      </c>
      <c r="D65" s="628">
        <v>0.64</v>
      </c>
      <c r="E65" s="628">
        <v>0.57999999999999996</v>
      </c>
      <c r="F65" s="628">
        <v>0.53</v>
      </c>
      <c r="G65" s="628">
        <v>0.49</v>
      </c>
      <c r="H65" s="628">
        <v>0.45</v>
      </c>
      <c r="I65" s="628">
        <v>0.41</v>
      </c>
      <c r="J65" s="628">
        <v>0.38</v>
      </c>
    </row>
    <row r="66" spans="1:10" ht="15.75" thickBot="1" x14ac:dyDescent="0.35">
      <c r="B66" s="297" t="s">
        <v>636</v>
      </c>
      <c r="C66" s="628">
        <v>0.49</v>
      </c>
      <c r="D66" s="628">
        <v>0.53</v>
      </c>
      <c r="E66" s="628">
        <v>0.48</v>
      </c>
      <c r="F66" s="628">
        <v>0.44</v>
      </c>
      <c r="G66" s="628">
        <v>0.4</v>
      </c>
      <c r="H66" s="628">
        <v>0.37</v>
      </c>
      <c r="I66" s="628">
        <v>0.34</v>
      </c>
      <c r="J66" s="628">
        <v>0.31</v>
      </c>
    </row>
    <row r="69" spans="1:10" x14ac:dyDescent="0.3">
      <c r="A69" s="331">
        <v>3</v>
      </c>
      <c r="B69" s="335" t="s">
        <v>413</v>
      </c>
    </row>
    <row r="71" spans="1:10" x14ac:dyDescent="0.3">
      <c r="A71" s="338">
        <v>4</v>
      </c>
      <c r="B71" s="328" t="s">
        <v>415</v>
      </c>
      <c r="C71" s="73"/>
      <c r="D71" s="73"/>
      <c r="E71" s="76"/>
      <c r="F71" s="4"/>
      <c r="G71" s="4"/>
      <c r="H71" s="4"/>
    </row>
    <row r="72" spans="1:10" x14ac:dyDescent="0.3">
      <c r="A72" s="338"/>
      <c r="B72" s="152"/>
      <c r="C72" s="152"/>
      <c r="D72" s="152"/>
      <c r="E72" s="152"/>
      <c r="F72" s="152"/>
      <c r="G72" s="152"/>
      <c r="H72" s="152"/>
    </row>
    <row r="73" spans="1:10" x14ac:dyDescent="0.3">
      <c r="A73" s="338">
        <v>5</v>
      </c>
      <c r="B73" s="328" t="s">
        <v>416</v>
      </c>
      <c r="C73" s="400"/>
      <c r="D73" s="400"/>
      <c r="E73" s="400"/>
      <c r="F73" s="400"/>
      <c r="G73" s="400"/>
      <c r="H73" s="400"/>
    </row>
    <row r="74" spans="1:10" x14ac:dyDescent="0.3">
      <c r="A74" s="338"/>
      <c r="B74" s="70"/>
      <c r="C74" s="400"/>
      <c r="D74" s="400"/>
      <c r="E74" s="400"/>
      <c r="F74" s="400"/>
      <c r="G74" s="400"/>
      <c r="H74" s="400"/>
    </row>
    <row r="75" spans="1:10" x14ac:dyDescent="0.3">
      <c r="A75" s="44">
        <v>6</v>
      </c>
      <c r="B75" s="328" t="s">
        <v>494</v>
      </c>
      <c r="C75" s="180"/>
      <c r="D75" s="180"/>
      <c r="E75" s="180"/>
      <c r="F75" s="180"/>
      <c r="G75" s="180"/>
      <c r="H75" s="400"/>
    </row>
    <row r="76" spans="1:10" ht="15.75" thickBot="1" x14ac:dyDescent="0.35">
      <c r="B76" s="2" t="str">
        <f>C9</f>
        <v>WSX</v>
      </c>
      <c r="C76" s="2"/>
      <c r="D76" s="2"/>
      <c r="E76" s="43"/>
      <c r="F76" s="82"/>
      <c r="G76" s="2"/>
      <c r="H76" s="2"/>
    </row>
    <row r="77" spans="1:10" x14ac:dyDescent="0.3">
      <c r="B77" s="153" t="s">
        <v>392</v>
      </c>
      <c r="C77" s="154"/>
      <c r="D77" s="156" t="s">
        <v>393</v>
      </c>
      <c r="E77" s="158" t="s">
        <v>394</v>
      </c>
      <c r="F77" s="68" t="s">
        <v>395</v>
      </c>
      <c r="G77" s="340" t="s">
        <v>385</v>
      </c>
    </row>
    <row r="78" spans="1:10" x14ac:dyDescent="0.3">
      <c r="B78" s="85" t="s">
        <v>396</v>
      </c>
      <c r="C78" s="71" t="s">
        <v>25</v>
      </c>
      <c r="D78" s="240">
        <f t="shared" ref="D78:F79" si="0">D82+D86</f>
        <v>22.699038461538475</v>
      </c>
      <c r="E78" s="240">
        <f t="shared" si="0"/>
        <v>0</v>
      </c>
      <c r="F78" s="240">
        <f t="shared" si="0"/>
        <v>22.699038461538475</v>
      </c>
      <c r="G78" s="409" t="str">
        <f>IF(ABS(SUM(D78,E78)-F78)&lt;0.001,"OK","ERROR")</f>
        <v>OK</v>
      </c>
    </row>
    <row r="79" spans="1:10" x14ac:dyDescent="0.3">
      <c r="B79" s="155" t="s">
        <v>397</v>
      </c>
      <c r="C79" s="71" t="s">
        <v>25</v>
      </c>
      <c r="D79" s="240">
        <f t="shared" si="0"/>
        <v>5.49</v>
      </c>
      <c r="E79" s="240">
        <f t="shared" si="0"/>
        <v>0</v>
      </c>
      <c r="F79" s="240">
        <f t="shared" si="0"/>
        <v>5.49</v>
      </c>
      <c r="G79" s="409" t="str">
        <f>IF(ABS(SUM(D79,E79)-F79)&lt;0.001,"OK","ERROR")</f>
        <v>OK</v>
      </c>
    </row>
    <row r="80" spans="1:10" x14ac:dyDescent="0.3">
      <c r="B80" s="85" t="s">
        <v>398</v>
      </c>
      <c r="C80" s="71" t="s">
        <v>93</v>
      </c>
      <c r="D80" s="240">
        <f>D84+D88</f>
        <v>18.96</v>
      </c>
      <c r="E80" s="240" t="s">
        <v>341</v>
      </c>
      <c r="F80" s="240">
        <f>D80</f>
        <v>18.96</v>
      </c>
      <c r="G80" s="409" t="str">
        <f>IF(ABS(SUM(D80,E80)-F80)&lt;0.001,"OK","ERROR")</f>
        <v>OK</v>
      </c>
    </row>
    <row r="81" spans="2:7" x14ac:dyDescent="0.3">
      <c r="B81" s="34"/>
      <c r="C81" s="16"/>
      <c r="D81" s="265"/>
      <c r="E81" s="265"/>
      <c r="F81" s="265"/>
      <c r="G81" s="409"/>
    </row>
    <row r="82" spans="2:7" x14ac:dyDescent="0.3">
      <c r="B82" s="85" t="s">
        <v>399</v>
      </c>
      <c r="C82" s="71" t="s">
        <v>25</v>
      </c>
      <c r="D82" s="240">
        <f>INDEX(Analysis!H$101:H$117,MATCH($B$76,Analysis!$B$101:$B$117,0))</f>
        <v>19.848461538461549</v>
      </c>
      <c r="E82" s="240">
        <f>INDEX(Analysis!I$101:I$117,MATCH($B$76,Analysis!$B$101:$B$117,0))</f>
        <v>0</v>
      </c>
      <c r="F82" s="240">
        <f>SUM(D82:E82)</f>
        <v>19.848461538461549</v>
      </c>
      <c r="G82" s="409" t="str">
        <f t="shared" ref="G82:G86" si="1">IF(ABS(SUM(D82,E82)-F82)&lt;0.001,"OK","ERROR")</f>
        <v>OK</v>
      </c>
    </row>
    <row r="83" spans="2:7" x14ac:dyDescent="0.3">
      <c r="B83" s="155" t="s">
        <v>400</v>
      </c>
      <c r="C83" s="157" t="s">
        <v>25</v>
      </c>
      <c r="D83" s="239">
        <f>INDEX(Analysis!H$150:H$166,MATCH($B$76,Analysis!$B$150:$B$166,0))</f>
        <v>5.49</v>
      </c>
      <c r="E83" s="239">
        <f>INDEX(Analysis!I$150:I$166,MATCH($B$76,Analysis!$B$150:$B$166,0))</f>
        <v>0</v>
      </c>
      <c r="F83" s="240">
        <f>SUM(D83:E83)</f>
        <v>5.49</v>
      </c>
      <c r="G83" s="409" t="str">
        <f>IF(ABS(SUM(D83,E83)-F83)&lt;0.001,"OK","ERROR")</f>
        <v>OK</v>
      </c>
    </row>
    <row r="84" spans="2:7" x14ac:dyDescent="0.3">
      <c r="B84" s="85" t="s">
        <v>401</v>
      </c>
      <c r="C84" s="71" t="s">
        <v>93</v>
      </c>
      <c r="D84" s="240">
        <f>INDEX(Analysis!$H$26:$H$42,MATCH($B$76,Analysis!$B$26:$B$42,0))</f>
        <v>0</v>
      </c>
      <c r="E84" s="240" t="s">
        <v>341</v>
      </c>
      <c r="F84" s="240">
        <f>D84</f>
        <v>0</v>
      </c>
      <c r="G84" s="409" t="str">
        <f>IF(ABS(SUM(D84,E84)-F84)&lt;0.001,"OK","ERROR")</f>
        <v>OK</v>
      </c>
    </row>
    <row r="85" spans="2:7" x14ac:dyDescent="0.3">
      <c r="B85" s="34"/>
      <c r="C85" s="16"/>
      <c r="D85" s="265"/>
      <c r="E85" s="265"/>
      <c r="F85" s="265"/>
      <c r="G85" s="409"/>
    </row>
    <row r="86" spans="2:7" x14ac:dyDescent="0.3">
      <c r="B86" s="85" t="s">
        <v>402</v>
      </c>
      <c r="C86" s="71" t="s">
        <v>403</v>
      </c>
      <c r="D86" s="240">
        <f>INDEX(Analysis!H$125:H$141,MATCH($B$76,Analysis!$B$125:$B$141,0))</f>
        <v>2.8505769230769253</v>
      </c>
      <c r="E86" s="240">
        <f>INDEX(Analysis!I$125:I$141,MATCH($B$76,Analysis!$B$125:$B$141,0))</f>
        <v>0</v>
      </c>
      <c r="F86" s="240">
        <f>SUM(D86:E86)</f>
        <v>2.8505769230769253</v>
      </c>
      <c r="G86" s="409" t="str">
        <f t="shared" si="1"/>
        <v>OK</v>
      </c>
    </row>
    <row r="87" spans="2:7" x14ac:dyDescent="0.3">
      <c r="B87" s="155" t="s">
        <v>404</v>
      </c>
      <c r="C87" s="71" t="s">
        <v>403</v>
      </c>
      <c r="D87" s="239">
        <f>INDEX(Analysis!H$175:H$191,MATCH($B$76,Analysis!$B$175:$B$191,0))</f>
        <v>0</v>
      </c>
      <c r="E87" s="239">
        <f>INDEX(Analysis!I$175:I$191,MATCH($B$76,Analysis!$B$175:$B$191,0))</f>
        <v>0</v>
      </c>
      <c r="F87" s="240">
        <f>SUM(D87:E87)</f>
        <v>0</v>
      </c>
      <c r="G87" s="409" t="str">
        <f>IF(ABS(SUM(D87,E87)-F87)&lt;0.001,"OK","ERROR")</f>
        <v>OK</v>
      </c>
    </row>
    <row r="88" spans="2:7" ht="15.75" thickBot="1" x14ac:dyDescent="0.35">
      <c r="B88" s="151" t="s">
        <v>405</v>
      </c>
      <c r="C88" s="74" t="s">
        <v>93</v>
      </c>
      <c r="D88" s="266">
        <f>INDEX(Analysis!$H$51:$H$67,MATCH($B$76,Analysis!$B$51:$B$67,0))</f>
        <v>18.96</v>
      </c>
      <c r="E88" s="266" t="s">
        <v>341</v>
      </c>
      <c r="F88" s="266">
        <f>D88</f>
        <v>18.96</v>
      </c>
      <c r="G88" s="410" t="str">
        <f>IF(ABS(SUM(D88,E88)-F88)&lt;0.001,"OK","ERROR")</f>
        <v>OK</v>
      </c>
    </row>
  </sheetData>
  <mergeCells count="5">
    <mergeCell ref="B58:B59"/>
    <mergeCell ref="B61:B62"/>
    <mergeCell ref="C4:D4"/>
    <mergeCell ref="C5:D5"/>
    <mergeCell ref="C6:D6"/>
  </mergeCells>
  <conditionalFormatting sqref="D76 G78:G80 G82:G84 G86:G88">
    <cfRule type="cellIs" dxfId="69" priority="47" operator="equal">
      <formula>"OK"</formula>
    </cfRule>
    <cfRule type="cellIs" dxfId="68" priority="48" operator="equal">
      <formula>"ERROR"</formula>
    </cfRule>
  </conditionalFormatting>
  <conditionalFormatting sqref="F4">
    <cfRule type="cellIs" dxfId="67" priority="7" operator="equal">
      <formula>"OK"</formula>
    </cfRule>
    <cfRule type="cellIs" dxfId="66" priority="8" operator="equal">
      <formula>"ERROR"</formula>
    </cfRule>
  </conditionalFormatting>
  <conditionalFormatting sqref="F5">
    <cfRule type="cellIs" dxfId="65" priority="1" operator="equal">
      <formula>"OK"</formula>
    </cfRule>
    <cfRule type="cellIs" dxfId="64"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71"/>
  <sheetViews>
    <sheetView zoomScaleNormal="100" workbookViewId="0"/>
  </sheetViews>
  <sheetFormatPr defaultColWidth="8.85546875" defaultRowHeight="15.75" x14ac:dyDescent="0.3"/>
  <cols>
    <col min="1" max="1" width="8" style="44" customWidth="1"/>
    <col min="2" max="2" width="58.7109375" style="2" customWidth="1"/>
    <col min="3" max="4" width="14.85546875" style="2" customWidth="1"/>
    <col min="5" max="5" width="14.85546875" style="38" customWidth="1"/>
    <col min="6" max="6" width="14.85546875" style="2" customWidth="1"/>
    <col min="7" max="7" width="55.28515625" style="2" customWidth="1"/>
    <col min="8" max="11" width="10" style="2" customWidth="1"/>
  </cols>
  <sheetData>
    <row r="1" spans="1:8" ht="21.75" x14ac:dyDescent="0.3">
      <c r="A1" s="331"/>
      <c r="B1" s="6" t="s">
        <v>936</v>
      </c>
      <c r="C1" s="1"/>
      <c r="D1" s="1"/>
      <c r="E1" s="45"/>
      <c r="F1" s="1"/>
      <c r="H1" s="10"/>
    </row>
    <row r="2" spans="1:8" ht="22.5" thickBot="1" x14ac:dyDescent="0.35">
      <c r="A2" s="331"/>
      <c r="B2" s="5"/>
      <c r="C2" s="8"/>
      <c r="D2" s="8"/>
      <c r="H2" s="10"/>
    </row>
    <row r="3" spans="1:8" ht="22.5" thickBot="1" x14ac:dyDescent="0.35">
      <c r="A3" s="331"/>
      <c r="B3" s="5" t="s">
        <v>1</v>
      </c>
      <c r="C3" s="8"/>
      <c r="D3" s="8"/>
      <c r="F3" s="394" t="s">
        <v>385</v>
      </c>
      <c r="H3" s="10"/>
    </row>
    <row r="4" spans="1:8" x14ac:dyDescent="0.3">
      <c r="B4" s="354" t="s">
        <v>471</v>
      </c>
      <c r="C4" s="711" t="s">
        <v>540</v>
      </c>
      <c r="D4" s="712"/>
      <c r="F4" s="395" t="str">
        <f>IF(ROUND(C10,3)-ROUND(F61+F62,3)=0,"OK","ERROR")</f>
        <v>OK</v>
      </c>
      <c r="G4" s="2" t="s">
        <v>472</v>
      </c>
    </row>
    <row r="5" spans="1:8" ht="16.5" thickBot="1" x14ac:dyDescent="0.35">
      <c r="B5" s="355" t="s">
        <v>388</v>
      </c>
      <c r="C5" s="713">
        <v>43616</v>
      </c>
      <c r="D5" s="714"/>
      <c r="F5" s="396" t="str">
        <f>IF(ROUND(D28,3)-ROUND(F61+F62,3)=0,"OK","ERROR")</f>
        <v>OK</v>
      </c>
      <c r="G5" s="2" t="s">
        <v>473</v>
      </c>
    </row>
    <row r="6" spans="1:8" ht="16.5" thickBot="1" x14ac:dyDescent="0.35">
      <c r="B6" s="356" t="s">
        <v>389</v>
      </c>
      <c r="C6" s="715" t="s">
        <v>932</v>
      </c>
      <c r="D6" s="716"/>
    </row>
    <row r="7" spans="1:8" x14ac:dyDescent="0.3">
      <c r="B7" s="16"/>
      <c r="C7" s="16"/>
      <c r="D7" s="17"/>
    </row>
    <row r="8" spans="1:8" ht="16.5" thickBot="1" x14ac:dyDescent="0.35">
      <c r="B8" s="5" t="s">
        <v>6</v>
      </c>
    </row>
    <row r="9" spans="1:8" x14ac:dyDescent="0.3">
      <c r="B9" s="357" t="s">
        <v>312</v>
      </c>
      <c r="C9" s="360" t="s">
        <v>34</v>
      </c>
      <c r="D9" s="402"/>
    </row>
    <row r="10" spans="1:8" x14ac:dyDescent="0.3">
      <c r="B10" s="358" t="s">
        <v>474</v>
      </c>
      <c r="C10" s="361">
        <f>INDEX(Analysis!L5:L21,MATCH(C9,Analysis!B5:B21,0))</f>
        <v>136.87400000000002</v>
      </c>
      <c r="D10" s="5"/>
    </row>
    <row r="11" spans="1:8" x14ac:dyDescent="0.3">
      <c r="B11" s="358" t="s">
        <v>475</v>
      </c>
      <c r="C11" s="361">
        <v>0</v>
      </c>
      <c r="D11" s="15"/>
      <c r="E11" s="63"/>
      <c r="G11" s="15"/>
    </row>
    <row r="12" spans="1:8" x14ac:dyDescent="0.3">
      <c r="B12" s="358" t="s">
        <v>476</v>
      </c>
      <c r="C12" s="362">
        <f>C10+C11</f>
        <v>136.87400000000002</v>
      </c>
      <c r="D12" s="15"/>
      <c r="E12" s="63"/>
      <c r="G12" s="15"/>
    </row>
    <row r="13" spans="1:8" x14ac:dyDescent="0.3">
      <c r="B13" s="358" t="s">
        <v>477</v>
      </c>
      <c r="C13" s="362">
        <v>0</v>
      </c>
      <c r="D13" s="15"/>
      <c r="E13" s="63"/>
      <c r="G13" s="15"/>
    </row>
    <row r="14" spans="1:8" ht="16.5" thickBot="1" x14ac:dyDescent="0.35">
      <c r="B14" s="359" t="s">
        <v>478</v>
      </c>
      <c r="C14" s="363">
        <f ca="1">F28</f>
        <v>0</v>
      </c>
      <c r="D14" s="15"/>
      <c r="E14" s="63"/>
      <c r="G14" s="15"/>
    </row>
    <row r="15" spans="1:8" x14ac:dyDescent="0.3">
      <c r="B15" s="337"/>
      <c r="C15" s="15"/>
      <c r="D15" s="15"/>
      <c r="E15" s="63"/>
      <c r="G15" s="15"/>
    </row>
    <row r="16" spans="1:8" ht="16.5" thickBot="1" x14ac:dyDescent="0.35">
      <c r="B16" s="5" t="s">
        <v>391</v>
      </c>
      <c r="C16" s="82"/>
    </row>
    <row r="17" spans="1:11" ht="16.5" thickBot="1" x14ac:dyDescent="0.35">
      <c r="B17" s="364" t="s">
        <v>479</v>
      </c>
      <c r="C17" s="365">
        <f ca="1">C13+C14</f>
        <v>0</v>
      </c>
      <c r="D17" s="5"/>
    </row>
    <row r="18" spans="1:11" x14ac:dyDescent="0.3">
      <c r="H18"/>
      <c r="I18"/>
      <c r="J18"/>
      <c r="K18"/>
    </row>
    <row r="19" spans="1:11" ht="16.5" thickBot="1" x14ac:dyDescent="0.35">
      <c r="B19" s="172" t="s">
        <v>480</v>
      </c>
      <c r="C19" s="35"/>
      <c r="D19" s="16"/>
      <c r="E19" s="22"/>
      <c r="F19" s="40"/>
      <c r="G19" s="64"/>
      <c r="H19"/>
      <c r="I19"/>
      <c r="J19"/>
      <c r="K19"/>
    </row>
    <row r="20" spans="1:11" ht="45" x14ac:dyDescent="0.3">
      <c r="A20" s="372" t="s">
        <v>481</v>
      </c>
      <c r="B20" s="373" t="s">
        <v>482</v>
      </c>
      <c r="C20" s="382" t="s">
        <v>483</v>
      </c>
      <c r="D20" s="382" t="s">
        <v>484</v>
      </c>
      <c r="E20" s="382" t="s">
        <v>485</v>
      </c>
      <c r="F20" s="382" t="s">
        <v>486</v>
      </c>
      <c r="G20" s="470" t="s">
        <v>340</v>
      </c>
      <c r="H20"/>
      <c r="I20"/>
      <c r="J20"/>
      <c r="K20"/>
    </row>
    <row r="21" spans="1:11" ht="60" x14ac:dyDescent="0.3">
      <c r="A21" s="560">
        <v>1</v>
      </c>
      <c r="B21" s="561" t="s">
        <v>411</v>
      </c>
      <c r="C21" s="367">
        <f>SUM(C22:C23)</f>
        <v>2</v>
      </c>
      <c r="D21" s="367">
        <f>SUM(D22:D23)</f>
        <v>0.34100000000000003</v>
      </c>
      <c r="E21" s="367">
        <v>0</v>
      </c>
      <c r="F21" s="368">
        <f ca="1">E21*MIN(C31,D31)</f>
        <v>0</v>
      </c>
      <c r="G21" s="488" t="s">
        <v>956</v>
      </c>
      <c r="H21"/>
      <c r="I21"/>
      <c r="J21"/>
      <c r="K21"/>
    </row>
    <row r="22" spans="1:11" ht="15" x14ac:dyDescent="0.25">
      <c r="A22" s="560" t="s">
        <v>487</v>
      </c>
      <c r="B22" s="561" t="s">
        <v>408</v>
      </c>
      <c r="C22" s="384"/>
      <c r="D22" s="406"/>
      <c r="E22" s="371"/>
      <c r="F22" s="371"/>
      <c r="G22" s="621"/>
      <c r="H22"/>
      <c r="I22"/>
      <c r="J22"/>
      <c r="K22"/>
    </row>
    <row r="23" spans="1:11" ht="15" x14ac:dyDescent="0.25">
      <c r="A23" s="560" t="s">
        <v>488</v>
      </c>
      <c r="B23" s="561" t="s">
        <v>409</v>
      </c>
      <c r="C23" s="384">
        <f>D67</f>
        <v>2</v>
      </c>
      <c r="D23" s="384">
        <f>F65</f>
        <v>0.34100000000000003</v>
      </c>
      <c r="E23" s="371"/>
      <c r="F23" s="371"/>
      <c r="G23" s="621"/>
      <c r="H23"/>
      <c r="I23"/>
      <c r="J23"/>
      <c r="K23"/>
    </row>
    <row r="24" spans="1:11" ht="165" x14ac:dyDescent="0.3">
      <c r="A24" s="560">
        <v>2</v>
      </c>
      <c r="B24" s="561" t="s">
        <v>412</v>
      </c>
      <c r="C24" s="405">
        <f>D71</f>
        <v>67.25</v>
      </c>
      <c r="D24" s="405">
        <f>SUM(F69:F70)</f>
        <v>136.53300000000002</v>
      </c>
      <c r="E24" s="371"/>
      <c r="F24" s="368">
        <f>INDEX('Leakage assessment'!B5:B21,MATCH(B59,'Leakage assessment'!A5:A21,0))</f>
        <v>0</v>
      </c>
      <c r="G24" s="488" t="s">
        <v>1025</v>
      </c>
      <c r="H24"/>
      <c r="I24"/>
      <c r="J24"/>
      <c r="K24"/>
    </row>
    <row r="25" spans="1:11" x14ac:dyDescent="0.3">
      <c r="A25" s="560">
        <v>3</v>
      </c>
      <c r="B25" s="561" t="s">
        <v>413</v>
      </c>
      <c r="C25" s="371"/>
      <c r="D25" s="405"/>
      <c r="E25" s="371"/>
      <c r="F25" s="367"/>
      <c r="G25" s="488" t="s">
        <v>489</v>
      </c>
      <c r="H25"/>
      <c r="I25"/>
      <c r="J25"/>
      <c r="K25"/>
    </row>
    <row r="26" spans="1:11" x14ac:dyDescent="0.3">
      <c r="A26" s="560">
        <v>4</v>
      </c>
      <c r="B26" s="561" t="s">
        <v>415</v>
      </c>
      <c r="C26" s="371"/>
      <c r="D26" s="405"/>
      <c r="E26" s="371"/>
      <c r="F26" s="367"/>
      <c r="G26" s="488" t="s">
        <v>489</v>
      </c>
      <c r="H26"/>
      <c r="I26"/>
      <c r="J26"/>
      <c r="K26"/>
    </row>
    <row r="27" spans="1:11" ht="16.5" thickBot="1" x14ac:dyDescent="0.35">
      <c r="A27" s="562">
        <v>5</v>
      </c>
      <c r="B27" s="563" t="s">
        <v>416</v>
      </c>
      <c r="C27" s="377"/>
      <c r="D27" s="378"/>
      <c r="E27" s="377"/>
      <c r="F27" s="378">
        <v>0</v>
      </c>
      <c r="G27" s="489" t="s">
        <v>489</v>
      </c>
      <c r="H27"/>
      <c r="I27"/>
      <c r="J27"/>
      <c r="K27"/>
    </row>
    <row r="28" spans="1:11" ht="16.5" thickBot="1" x14ac:dyDescent="0.35">
      <c r="B28" s="379" t="s">
        <v>313</v>
      </c>
      <c r="C28" s="426">
        <f>SUM(C21,C24)</f>
        <v>69.25</v>
      </c>
      <c r="D28" s="426">
        <f>SUM(D22:D27)</f>
        <v>136.87400000000002</v>
      </c>
      <c r="E28" s="380">
        <f>SUM(E21)</f>
        <v>0</v>
      </c>
      <c r="F28" s="380">
        <f ca="1">SUM(F21:F27)</f>
        <v>0</v>
      </c>
      <c r="G28" s="493"/>
      <c r="H28"/>
      <c r="I28"/>
      <c r="J28"/>
      <c r="K28"/>
    </row>
    <row r="29" spans="1:11" x14ac:dyDescent="0.3">
      <c r="B29" s="71"/>
      <c r="C29" s="318"/>
      <c r="D29" s="318"/>
      <c r="E29" s="317"/>
      <c r="F29" s="318"/>
      <c r="G29" s="70"/>
      <c r="H29" s="71"/>
      <c r="I29" s="71"/>
      <c r="J29" s="232"/>
      <c r="K29" s="225"/>
    </row>
    <row r="30" spans="1:11" ht="30.75" thickBot="1" x14ac:dyDescent="0.35">
      <c r="B30" s="172" t="s">
        <v>490</v>
      </c>
      <c r="C30" s="386" t="s">
        <v>491</v>
      </c>
      <c r="D30" s="386" t="s">
        <v>492</v>
      </c>
      <c r="E30" s="319"/>
      <c r="F30" s="320"/>
      <c r="G30" s="70"/>
      <c r="H30" s="71"/>
      <c r="I30" s="71"/>
      <c r="J30" s="233"/>
      <c r="K30" s="211"/>
    </row>
    <row r="31" spans="1:11" x14ac:dyDescent="0.3">
      <c r="B31" s="387" t="s">
        <v>418</v>
      </c>
      <c r="C31" s="388">
        <f>IFERROR(D21/C21,0)</f>
        <v>0.17050000000000001</v>
      </c>
      <c r="D31" s="389">
        <f ca="1">'Unit costs'!B3</f>
        <v>1.2</v>
      </c>
      <c r="E31" s="319"/>
      <c r="F31" s="320"/>
      <c r="G31" s="65"/>
      <c r="H31" s="16"/>
      <c r="I31" s="16"/>
      <c r="J31" s="209"/>
      <c r="K31" s="209"/>
    </row>
    <row r="32" spans="1:11" ht="16.5" thickBot="1" x14ac:dyDescent="0.35">
      <c r="B32" s="390" t="s">
        <v>420</v>
      </c>
      <c r="C32" s="391">
        <f>D24/C24</f>
        <v>2.0302304832713758</v>
      </c>
      <c r="D32" s="392">
        <f ca="1">'Unit costs'!B4</f>
        <v>2.0302304832713758</v>
      </c>
      <c r="E32" s="319"/>
      <c r="F32" s="320"/>
      <c r="G32" s="65"/>
      <c r="H32" s="16"/>
      <c r="I32" s="16"/>
      <c r="J32" s="212"/>
      <c r="K32" s="213"/>
    </row>
    <row r="33" spans="1:71" ht="16.5" thickBot="1" x14ac:dyDescent="0.35">
      <c r="B33" s="16"/>
      <c r="C33" s="182"/>
      <c r="D33" s="182"/>
      <c r="E33" s="319"/>
      <c r="F33" s="320"/>
      <c r="G33" s="65"/>
      <c r="H33" s="16"/>
      <c r="I33" s="16"/>
      <c r="J33" s="212"/>
      <c r="K33" s="213"/>
    </row>
    <row r="34" spans="1:71" ht="16.5" thickBot="1" x14ac:dyDescent="0.35">
      <c r="B34" s="393" t="s">
        <v>747</v>
      </c>
      <c r="C34" s="433">
        <v>0.05</v>
      </c>
      <c r="D34" s="339"/>
      <c r="E34" s="319"/>
      <c r="F34" s="320"/>
      <c r="G34" s="70"/>
      <c r="H34" s="16"/>
      <c r="I34" s="71"/>
      <c r="J34" s="215"/>
      <c r="K34" s="213"/>
    </row>
    <row r="35" spans="1:71" x14ac:dyDescent="0.3">
      <c r="B35" s="20"/>
      <c r="C35" s="69"/>
      <c r="D35" s="16"/>
      <c r="E35" s="22"/>
      <c r="F35" s="16"/>
      <c r="G35" s="70"/>
      <c r="H35" s="16"/>
      <c r="I35" s="71"/>
      <c r="J35" s="217"/>
      <c r="K35" s="218"/>
    </row>
    <row r="36" spans="1:71" x14ac:dyDescent="0.3">
      <c r="B36" s="66" t="s">
        <v>303</v>
      </c>
      <c r="J36" s="217"/>
      <c r="K36" s="218"/>
    </row>
    <row r="37" spans="1:71" x14ac:dyDescent="0.3">
      <c r="A37" s="331">
        <v>1</v>
      </c>
      <c r="B37" s="335" t="s">
        <v>411</v>
      </c>
      <c r="C37" s="401"/>
      <c r="D37" s="401"/>
      <c r="E37" s="401"/>
      <c r="F37" s="401"/>
      <c r="G37" s="401"/>
      <c r="H37" s="401"/>
      <c r="J37" s="217"/>
      <c r="K37" s="218"/>
    </row>
    <row r="38" spans="1:71" x14ac:dyDescent="0.3">
      <c r="C38" s="401"/>
      <c r="D38" s="401"/>
      <c r="E38" s="401"/>
      <c r="F38" s="401"/>
      <c r="G38" s="401"/>
      <c r="H38" s="401"/>
      <c r="J38" s="217"/>
      <c r="K38" s="218"/>
    </row>
    <row r="39" spans="1:71" x14ac:dyDescent="0.3">
      <c r="A39" s="44" t="s">
        <v>487</v>
      </c>
      <c r="B39" s="335" t="s">
        <v>408</v>
      </c>
      <c r="J39" s="215"/>
      <c r="K39" s="218"/>
    </row>
    <row r="40" spans="1:71" s="2" customFormat="1" x14ac:dyDescent="0.3">
      <c r="B40" s="72" t="s">
        <v>637</v>
      </c>
      <c r="E40" s="38"/>
      <c r="J40" s="217"/>
      <c r="K40" s="218"/>
      <c r="L40" s="218"/>
      <c r="M40" s="218"/>
      <c r="N40" s="218"/>
      <c r="O40" s="218"/>
      <c r="P40" s="218"/>
      <c r="Q40" s="209"/>
      <c r="R40" s="209"/>
      <c r="S40" s="215"/>
      <c r="T40" s="216"/>
      <c r="U40" s="216"/>
      <c r="V40" s="216"/>
      <c r="W40" s="216"/>
      <c r="X40" s="216"/>
      <c r="Y40" s="216"/>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row>
    <row r="41" spans="1:71" s="2" customFormat="1" x14ac:dyDescent="0.3">
      <c r="B41" s="21" t="s">
        <v>638</v>
      </c>
      <c r="E41" s="38"/>
      <c r="J41" s="217"/>
      <c r="K41" s="218"/>
      <c r="L41" s="218"/>
      <c r="M41" s="218"/>
      <c r="N41" s="218"/>
      <c r="O41" s="218"/>
      <c r="P41" s="218"/>
      <c r="Q41" s="210"/>
      <c r="R41" s="210"/>
      <c r="S41" s="215"/>
      <c r="T41" s="216"/>
      <c r="U41" s="216"/>
      <c r="V41" s="216"/>
      <c r="W41" s="216"/>
      <c r="X41" s="216"/>
      <c r="Y41" s="216"/>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row>
    <row r="42" spans="1:71" x14ac:dyDescent="0.3">
      <c r="A42" s="331"/>
      <c r="B42" s="70"/>
      <c r="C42" s="401"/>
      <c r="D42" s="401"/>
      <c r="E42" s="401"/>
      <c r="F42" s="401"/>
      <c r="G42" s="401"/>
      <c r="H42" s="401"/>
      <c r="J42" s="217"/>
      <c r="K42" s="218"/>
    </row>
    <row r="43" spans="1:71" x14ac:dyDescent="0.3">
      <c r="A43" s="331" t="s">
        <v>488</v>
      </c>
      <c r="B43" s="335" t="s">
        <v>409</v>
      </c>
      <c r="C43" s="401"/>
      <c r="D43" s="401"/>
      <c r="E43" s="401"/>
      <c r="F43" s="401"/>
      <c r="G43" s="401"/>
      <c r="H43" s="401"/>
      <c r="J43" s="217"/>
      <c r="K43" s="218"/>
    </row>
    <row r="44" spans="1:71" x14ac:dyDescent="0.3">
      <c r="C44" s="401"/>
      <c r="D44" s="401"/>
      <c r="E44" s="401"/>
      <c r="F44" s="401"/>
      <c r="G44" s="401"/>
      <c r="H44" s="401"/>
      <c r="J44" s="217"/>
      <c r="K44" s="218"/>
    </row>
    <row r="45" spans="1:71" x14ac:dyDescent="0.3">
      <c r="A45" s="331"/>
      <c r="B45" s="70"/>
      <c r="C45" s="401"/>
      <c r="D45" s="401"/>
      <c r="E45" s="401"/>
      <c r="F45" s="401"/>
      <c r="G45" s="401"/>
      <c r="H45" s="401"/>
      <c r="J45" s="217"/>
      <c r="K45" s="218"/>
    </row>
    <row r="46" spans="1:71" x14ac:dyDescent="0.3">
      <c r="A46" s="331">
        <v>2</v>
      </c>
      <c r="B46" s="335" t="s">
        <v>412</v>
      </c>
      <c r="C46" s="401"/>
      <c r="D46" s="401"/>
      <c r="E46" s="401"/>
      <c r="F46" s="401"/>
      <c r="G46" s="401"/>
      <c r="H46" s="401"/>
      <c r="J46" s="217"/>
      <c r="K46" s="218"/>
    </row>
    <row r="47" spans="1:71" x14ac:dyDescent="0.3">
      <c r="A47" s="331"/>
      <c r="B47" s="71"/>
      <c r="C47" s="401"/>
      <c r="D47" s="401"/>
      <c r="E47" s="401"/>
      <c r="F47" s="401"/>
      <c r="G47" s="401"/>
      <c r="H47" s="401"/>
      <c r="J47" s="217"/>
      <c r="K47" s="218"/>
    </row>
    <row r="48" spans="1:71" x14ac:dyDescent="0.3">
      <c r="A48" s="331"/>
      <c r="B48" s="70"/>
      <c r="C48" s="401"/>
      <c r="D48" s="401"/>
      <c r="E48" s="401"/>
      <c r="F48" s="401"/>
      <c r="G48" s="401"/>
      <c r="H48" s="401"/>
      <c r="J48" s="217"/>
      <c r="K48" s="218"/>
    </row>
    <row r="49" spans="1:11" x14ac:dyDescent="0.3">
      <c r="A49" s="331">
        <v>3</v>
      </c>
      <c r="B49" s="335" t="s">
        <v>413</v>
      </c>
      <c r="C49" s="401"/>
      <c r="D49" s="401"/>
      <c r="E49" s="401"/>
      <c r="F49" s="401"/>
      <c r="G49" s="401"/>
      <c r="H49" s="401"/>
      <c r="J49" s="217"/>
      <c r="K49" s="218"/>
    </row>
    <row r="50" spans="1:11" x14ac:dyDescent="0.3">
      <c r="A50" s="331"/>
      <c r="B50" s="70"/>
      <c r="C50" s="401"/>
      <c r="D50" s="401"/>
      <c r="E50" s="401"/>
      <c r="F50" s="401"/>
      <c r="G50" s="401"/>
      <c r="H50" s="401"/>
      <c r="J50" s="217"/>
      <c r="K50" s="218"/>
    </row>
    <row r="51" spans="1:11" x14ac:dyDescent="0.3">
      <c r="A51" s="331"/>
      <c r="B51" s="70"/>
      <c r="C51" s="401"/>
      <c r="D51" s="401"/>
      <c r="E51" s="401"/>
      <c r="F51" s="401"/>
      <c r="G51" s="401"/>
      <c r="H51" s="401"/>
      <c r="J51" s="217"/>
      <c r="K51" s="218"/>
    </row>
    <row r="52" spans="1:11" x14ac:dyDescent="0.3">
      <c r="A52" s="338">
        <v>4</v>
      </c>
      <c r="B52" s="328" t="s">
        <v>415</v>
      </c>
      <c r="C52" s="73"/>
      <c r="D52" s="73"/>
      <c r="E52" s="76"/>
      <c r="F52" s="4"/>
      <c r="G52" s="4"/>
      <c r="H52" s="4"/>
      <c r="J52" s="212"/>
      <c r="K52" s="218"/>
    </row>
    <row r="53" spans="1:11" x14ac:dyDescent="0.3">
      <c r="A53" s="338"/>
      <c r="B53" s="718"/>
      <c r="C53" s="718"/>
      <c r="D53" s="718"/>
      <c r="E53" s="718"/>
      <c r="F53" s="718"/>
      <c r="G53" s="718"/>
      <c r="H53" s="718"/>
      <c r="I53" s="21"/>
      <c r="J53" s="215"/>
      <c r="K53" s="218"/>
    </row>
    <row r="54" spans="1:11" x14ac:dyDescent="0.3">
      <c r="B54" s="180"/>
      <c r="C54" s="180"/>
      <c r="D54" s="180"/>
      <c r="E54" s="180"/>
      <c r="F54" s="180"/>
      <c r="G54" s="180"/>
      <c r="H54" s="180"/>
      <c r="J54" s="217"/>
      <c r="K54" s="218"/>
    </row>
    <row r="55" spans="1:11" x14ac:dyDescent="0.3">
      <c r="A55" s="338">
        <v>5</v>
      </c>
      <c r="B55" s="328" t="str">
        <f>B25</f>
        <v>Long-term enhancement</v>
      </c>
      <c r="C55" s="400"/>
      <c r="D55" s="400"/>
      <c r="E55" s="400"/>
      <c r="F55" s="400"/>
      <c r="G55" s="400"/>
      <c r="H55" s="400"/>
      <c r="I55" s="21"/>
      <c r="J55" s="215"/>
      <c r="K55" s="218"/>
    </row>
    <row r="56" spans="1:11" x14ac:dyDescent="0.3">
      <c r="A56" s="338"/>
      <c r="B56" s="70"/>
      <c r="C56" s="400"/>
      <c r="D56" s="400"/>
      <c r="E56" s="400"/>
      <c r="F56" s="400"/>
      <c r="G56" s="400"/>
      <c r="H56" s="400"/>
      <c r="I56" s="21"/>
      <c r="J56" s="215"/>
      <c r="K56" s="218"/>
    </row>
    <row r="57" spans="1:11" x14ac:dyDescent="0.3">
      <c r="A57" s="338"/>
      <c r="B57" s="70"/>
      <c r="C57" s="400"/>
      <c r="D57" s="400"/>
      <c r="E57" s="400"/>
      <c r="F57" s="400"/>
      <c r="G57" s="400"/>
      <c r="H57" s="400"/>
      <c r="I57" s="21"/>
      <c r="J57" s="215"/>
      <c r="K57" s="218"/>
    </row>
    <row r="58" spans="1:11" x14ac:dyDescent="0.3">
      <c r="A58" s="44">
        <v>6</v>
      </c>
      <c r="B58" s="328" t="s">
        <v>494</v>
      </c>
      <c r="C58" s="180"/>
      <c r="D58" s="180"/>
      <c r="E58" s="180"/>
      <c r="F58" s="180"/>
      <c r="G58" s="180"/>
      <c r="H58" s="180"/>
      <c r="J58" s="217"/>
      <c r="K58" s="218"/>
    </row>
    <row r="59" spans="1:11" ht="16.5" thickBot="1" x14ac:dyDescent="0.35">
      <c r="B59" s="2" t="str">
        <f>C9</f>
        <v>YKY</v>
      </c>
      <c r="E59" s="43"/>
      <c r="J59" s="217"/>
      <c r="K59" s="218"/>
    </row>
    <row r="60" spans="1:11" x14ac:dyDescent="0.3">
      <c r="B60" s="153" t="s">
        <v>495</v>
      </c>
      <c r="C60" s="154"/>
      <c r="D60" s="156" t="s">
        <v>393</v>
      </c>
      <c r="E60" s="158" t="s">
        <v>394</v>
      </c>
      <c r="F60" s="68" t="s">
        <v>395</v>
      </c>
      <c r="G60" s="340" t="s">
        <v>385</v>
      </c>
      <c r="J60" s="215"/>
      <c r="K60" s="218"/>
    </row>
    <row r="61" spans="1:11" x14ac:dyDescent="0.3">
      <c r="B61" s="85" t="s">
        <v>396</v>
      </c>
      <c r="C61" s="71" t="s">
        <v>25</v>
      </c>
      <c r="D61" s="175">
        <f t="shared" ref="D61:F62" si="0">D65+D69</f>
        <v>0.34100000000000003</v>
      </c>
      <c r="E61" s="175">
        <f t="shared" si="0"/>
        <v>71.863</v>
      </c>
      <c r="F61" s="175">
        <f t="shared" si="0"/>
        <v>72.203999999999994</v>
      </c>
      <c r="G61" s="36" t="str">
        <f>IF(ABS(SUM(D61,E61)-F61)&lt;0.001,"OK","ERROR")</f>
        <v>OK</v>
      </c>
      <c r="J61" s="217"/>
      <c r="K61" s="218"/>
    </row>
    <row r="62" spans="1:11" x14ac:dyDescent="0.3">
      <c r="B62" s="155" t="s">
        <v>397</v>
      </c>
      <c r="C62" s="71" t="s">
        <v>25</v>
      </c>
      <c r="D62" s="175">
        <f t="shared" si="0"/>
        <v>0</v>
      </c>
      <c r="E62" s="175">
        <f t="shared" si="0"/>
        <v>64.67</v>
      </c>
      <c r="F62" s="175">
        <f t="shared" si="0"/>
        <v>64.67</v>
      </c>
      <c r="G62" s="36" t="str">
        <f>IF(ABS(SUM(D62,E62)-F62)&lt;0.001,"OK","ERROR")</f>
        <v>OK</v>
      </c>
      <c r="J62" s="217"/>
      <c r="K62" s="218"/>
    </row>
    <row r="63" spans="1:11" x14ac:dyDescent="0.3">
      <c r="B63" s="85" t="s">
        <v>398</v>
      </c>
      <c r="C63" s="71" t="s">
        <v>93</v>
      </c>
      <c r="D63" s="175">
        <f>D67+D71</f>
        <v>69.25</v>
      </c>
      <c r="E63" s="175" t="s">
        <v>341</v>
      </c>
      <c r="F63" s="175">
        <f>D63</f>
        <v>69.25</v>
      </c>
      <c r="G63" s="36" t="str">
        <f>IF(ABS(SUM(D63,E63)-F63)&lt;0.001,"OK","ERROR")</f>
        <v>OK</v>
      </c>
      <c r="J63" s="211"/>
      <c r="K63" s="211"/>
    </row>
    <row r="64" spans="1:11" x14ac:dyDescent="0.3">
      <c r="B64" s="34"/>
      <c r="C64" s="16"/>
      <c r="D64" s="177"/>
      <c r="E64" s="177"/>
      <c r="F64" s="177"/>
      <c r="G64" s="36"/>
      <c r="J64" s="211"/>
      <c r="K64" s="211"/>
    </row>
    <row r="65" spans="1:11" x14ac:dyDescent="0.3">
      <c r="B65" s="85" t="s">
        <v>399</v>
      </c>
      <c r="C65" s="71" t="s">
        <v>25</v>
      </c>
      <c r="D65" s="175">
        <f>INDEX(Analysis!H$101:H$117,MATCH($B$59,Analysis!$B$101:$B$117,0))</f>
        <v>0.34100000000000003</v>
      </c>
      <c r="E65" s="175">
        <f>INDEX(Analysis!I$101:I$117,MATCH($B$59,Analysis!$B$101:$B$117,0))</f>
        <v>0</v>
      </c>
      <c r="F65" s="175">
        <f>SUM(D65:E65)</f>
        <v>0.34100000000000003</v>
      </c>
      <c r="G65" s="36" t="str">
        <f>IF(ABS(SUM(D65,E65)-F65)&lt;0.001,"OK","ERROR")</f>
        <v>OK</v>
      </c>
      <c r="J65" s="211"/>
      <c r="K65" s="211"/>
    </row>
    <row r="66" spans="1:11" x14ac:dyDescent="0.3">
      <c r="A66" s="223"/>
      <c r="B66" s="155" t="s">
        <v>400</v>
      </c>
      <c r="C66" s="157" t="s">
        <v>25</v>
      </c>
      <c r="D66" s="176">
        <f>INDEX(Analysis!H$150:H$166,MATCH($B$59,Analysis!$B$150:$B$166,0))</f>
        <v>0</v>
      </c>
      <c r="E66" s="176">
        <f>INDEX(Analysis!I$150:I$166,MATCH($B$59,Analysis!$B$150:$B$166,0))</f>
        <v>0</v>
      </c>
      <c r="F66" s="175">
        <f>SUM(D66:E66)</f>
        <v>0</v>
      </c>
      <c r="G66" s="36" t="str">
        <f>IF(ABS(SUM(D66,E66)-F66)&lt;0.001,"OK","ERROR")</f>
        <v>OK</v>
      </c>
      <c r="J66" s="211"/>
      <c r="K66" s="211"/>
    </row>
    <row r="67" spans="1:11" x14ac:dyDescent="0.3">
      <c r="A67" s="223"/>
      <c r="B67" s="85" t="s">
        <v>401</v>
      </c>
      <c r="C67" s="71" t="s">
        <v>93</v>
      </c>
      <c r="D67" s="175">
        <f>INDEX(Analysis!$H$26:$H$42,MATCH($B$59,Analysis!$B$26:$B$42,0))</f>
        <v>2</v>
      </c>
      <c r="E67" s="175" t="s">
        <v>341</v>
      </c>
      <c r="F67" s="175">
        <f>D67</f>
        <v>2</v>
      </c>
      <c r="G67" s="36" t="str">
        <f>IF(ABS(SUM(D67,E67)-F67)&lt;0.001,"OK","ERROR")</f>
        <v>OK</v>
      </c>
      <c r="J67" s="211"/>
      <c r="K67" s="211"/>
    </row>
    <row r="68" spans="1:11" x14ac:dyDescent="0.3">
      <c r="A68" s="223"/>
      <c r="B68" s="34"/>
      <c r="C68" s="16"/>
      <c r="D68" s="177"/>
      <c r="E68" s="177"/>
      <c r="F68" s="177"/>
      <c r="G68" s="36"/>
      <c r="J68" s="211"/>
      <c r="K68" s="211"/>
    </row>
    <row r="69" spans="1:11" x14ac:dyDescent="0.3">
      <c r="A69" s="223"/>
      <c r="B69" s="85" t="s">
        <v>402</v>
      </c>
      <c r="C69" s="71" t="s">
        <v>403</v>
      </c>
      <c r="D69" s="175">
        <f>INDEX(Analysis!H$125:H$141,MATCH($B$59,Analysis!$B$125:$B$141,0))</f>
        <v>0</v>
      </c>
      <c r="E69" s="175">
        <f>INDEX(Analysis!I$125:I$141,MATCH($B$59,Analysis!$B$125:$B$141,0))</f>
        <v>71.863</v>
      </c>
      <c r="F69" s="175">
        <f>SUM(D69:E69)</f>
        <v>71.863</v>
      </c>
      <c r="G69" s="36" t="str">
        <f>IF(ABS(SUM(D69,E69)-F69)&lt;0.001,"OK","ERROR")</f>
        <v>OK</v>
      </c>
      <c r="J69" s="211"/>
      <c r="K69" s="211"/>
    </row>
    <row r="70" spans="1:11" x14ac:dyDescent="0.3">
      <c r="A70" s="223"/>
      <c r="B70" s="155" t="s">
        <v>404</v>
      </c>
      <c r="C70" s="71" t="s">
        <v>403</v>
      </c>
      <c r="D70" s="176">
        <f>INDEX(Analysis!H$175:H$191,MATCH($B$59,Analysis!$B$175:$B$191,0))</f>
        <v>0</v>
      </c>
      <c r="E70" s="176">
        <f>INDEX(Analysis!I$175:I$191,MATCH($B$59,Analysis!$B$175:$B$191,0))</f>
        <v>64.67</v>
      </c>
      <c r="F70" s="175">
        <f>SUM(D70:E70)</f>
        <v>64.67</v>
      </c>
      <c r="G70" s="36" t="str">
        <f>IF(ABS(SUM(D70,E70)-F70)&lt;0.001,"OK","ERROR")</f>
        <v>OK</v>
      </c>
      <c r="J70" s="211"/>
      <c r="K70" s="211"/>
    </row>
    <row r="71" spans="1:11" ht="16.5" thickBot="1" x14ac:dyDescent="0.35">
      <c r="A71" s="223"/>
      <c r="B71" s="151" t="s">
        <v>405</v>
      </c>
      <c r="C71" s="74" t="s">
        <v>93</v>
      </c>
      <c r="D71" s="178">
        <f>INDEX(Analysis!$H$51:$H$67,MATCH($B$59,Analysis!$B$51:$B$67,0))</f>
        <v>67.25</v>
      </c>
      <c r="E71" s="178" t="s">
        <v>341</v>
      </c>
      <c r="F71" s="178">
        <f>D71</f>
        <v>67.25</v>
      </c>
      <c r="G71" s="37" t="str">
        <f>IF(ABS(SUM(D71,E71)-F71)&lt;0.001,"OK","ERROR")</f>
        <v>OK</v>
      </c>
      <c r="J71" s="211"/>
      <c r="K71" s="211"/>
    </row>
  </sheetData>
  <mergeCells count="4">
    <mergeCell ref="B53:H53"/>
    <mergeCell ref="C4:D4"/>
    <mergeCell ref="C5:D5"/>
    <mergeCell ref="C6:D6"/>
  </mergeCells>
  <conditionalFormatting sqref="D59 G61:G63 G65:G67 G69:G71">
    <cfRule type="cellIs" dxfId="63" priority="11" operator="equal">
      <formula>"OK"</formula>
    </cfRule>
    <cfRule type="cellIs" dxfId="62" priority="12" operator="equal">
      <formula>"ERROR"</formula>
    </cfRule>
  </conditionalFormatting>
  <conditionalFormatting sqref="K29">
    <cfRule type="cellIs" dxfId="61" priority="9" operator="equal">
      <formula>"Y"</formula>
    </cfRule>
    <cfRule type="cellIs" dxfId="60" priority="10" operator="equal">
      <formula>"N"</formula>
    </cfRule>
  </conditionalFormatting>
  <conditionalFormatting sqref="F4">
    <cfRule type="cellIs" dxfId="59" priority="7" operator="equal">
      <formula>"OK"</formula>
    </cfRule>
    <cfRule type="cellIs" dxfId="58" priority="8" operator="equal">
      <formula>"ERROR"</formula>
    </cfRule>
  </conditionalFormatting>
  <conditionalFormatting sqref="F5">
    <cfRule type="cellIs" dxfId="57" priority="5" operator="equal">
      <formula>"OK"</formula>
    </cfRule>
    <cfRule type="cellIs" dxfId="56" priority="6" operator="equal">
      <formula>"ERROR"</formula>
    </cfRule>
  </conditionalFormatting>
  <conditionalFormatting sqref="F6">
    <cfRule type="cellIs" dxfId="55" priority="3" operator="equal">
      <formula>"OK"</formula>
    </cfRule>
    <cfRule type="cellIs" dxfId="54" priority="4" operator="equal">
      <formula>"ERROR"</formula>
    </cfRule>
  </conditionalFormatting>
  <conditionalFormatting sqref="F5">
    <cfRule type="cellIs" dxfId="53" priority="1" operator="equal">
      <formula>"OK"</formula>
    </cfRule>
    <cfRule type="cellIs" dxfId="52"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M137"/>
  <sheetViews>
    <sheetView zoomScaleNormal="100" workbookViewId="0"/>
  </sheetViews>
  <sheetFormatPr defaultColWidth="8.7109375" defaultRowHeight="15" x14ac:dyDescent="0.3"/>
  <cols>
    <col min="1" max="1" width="7.7109375" style="2" customWidth="1"/>
    <col min="2" max="2" width="53" style="2" customWidth="1"/>
    <col min="3" max="4" width="18" style="2" customWidth="1"/>
    <col min="5" max="5" width="18" style="38" customWidth="1"/>
    <col min="6" max="6" width="18" style="2" customWidth="1"/>
    <col min="7" max="7" width="70" style="2" customWidth="1"/>
    <col min="8" max="9" width="11.28515625" style="2" customWidth="1"/>
    <col min="10" max="10" width="9.85546875" style="2" customWidth="1"/>
    <col min="11" max="11" width="9.7109375" style="2" customWidth="1"/>
    <col min="12" max="12" width="8.28515625" style="2" customWidth="1"/>
    <col min="13" max="13" width="12" style="2" customWidth="1"/>
    <col min="14" max="16384" width="8.7109375" style="2"/>
  </cols>
  <sheetData>
    <row r="1" spans="2:9" s="4" customFormat="1" ht="21.75" x14ac:dyDescent="0.3">
      <c r="B1" s="6" t="s">
        <v>639</v>
      </c>
      <c r="C1" s="1"/>
      <c r="D1" s="1"/>
      <c r="E1" s="45"/>
      <c r="F1" s="1"/>
      <c r="G1" s="2"/>
      <c r="H1" s="10"/>
      <c r="I1" s="11"/>
    </row>
    <row r="2" spans="2:9" s="4" customFormat="1" ht="22.5" thickBot="1" x14ac:dyDescent="0.35">
      <c r="B2" s="5"/>
      <c r="C2" s="8"/>
      <c r="D2" s="8"/>
      <c r="E2" s="38"/>
      <c r="F2" s="2"/>
      <c r="G2" s="2"/>
      <c r="H2" s="10"/>
      <c r="I2" s="11"/>
    </row>
    <row r="3" spans="2:9" s="4" customFormat="1" ht="22.5" thickBot="1" x14ac:dyDescent="0.35">
      <c r="B3" s="5" t="s">
        <v>1</v>
      </c>
      <c r="C3" s="8"/>
      <c r="D3" s="8"/>
      <c r="E3" s="38"/>
      <c r="F3" s="394" t="s">
        <v>385</v>
      </c>
      <c r="G3" s="2"/>
      <c r="H3" s="10"/>
    </row>
    <row r="4" spans="2:9" x14ac:dyDescent="0.3">
      <c r="B4" s="354" t="s">
        <v>471</v>
      </c>
      <c r="C4" s="711" t="s">
        <v>540</v>
      </c>
      <c r="D4" s="712"/>
      <c r="F4" s="395" t="str">
        <f>IF(ABS(ROUND(C10,3)-ROUND((F98+F99),3))=0,"OK","ERROR")</f>
        <v>OK</v>
      </c>
      <c r="G4" s="2" t="s">
        <v>472</v>
      </c>
    </row>
    <row r="5" spans="2:9" ht="15.75" thickBot="1" x14ac:dyDescent="0.35">
      <c r="B5" s="355" t="s">
        <v>388</v>
      </c>
      <c r="C5" s="713">
        <v>43616</v>
      </c>
      <c r="D5" s="714"/>
      <c r="F5" s="396" t="str">
        <f>IF(ABS(ROUND(D28,3)-ROUND(C10,3))=0,"OK","ERROR")</f>
        <v>OK</v>
      </c>
      <c r="G5" s="2" t="s">
        <v>473</v>
      </c>
    </row>
    <row r="6" spans="2:9" ht="15.75" thickBot="1" x14ac:dyDescent="0.35">
      <c r="B6" s="356" t="s">
        <v>389</v>
      </c>
      <c r="C6" s="715" t="s">
        <v>932</v>
      </c>
      <c r="D6" s="716"/>
    </row>
    <row r="7" spans="2:9" x14ac:dyDescent="0.3">
      <c r="B7" s="16"/>
      <c r="C7" s="16"/>
      <c r="D7" s="17"/>
    </row>
    <row r="8" spans="2:9" ht="15.75" thickBot="1" x14ac:dyDescent="0.35">
      <c r="B8" s="5" t="s">
        <v>6</v>
      </c>
    </row>
    <row r="9" spans="2:9" x14ac:dyDescent="0.3">
      <c r="B9" s="357" t="s">
        <v>312</v>
      </c>
      <c r="C9" s="360" t="s">
        <v>35</v>
      </c>
      <c r="D9" s="402"/>
    </row>
    <row r="10" spans="2:9" x14ac:dyDescent="0.3">
      <c r="B10" s="358" t="s">
        <v>474</v>
      </c>
      <c r="C10" s="361">
        <f>INDEX(Analysis!L5:L21,MATCH(C9,Analysis!B5:B21,0))</f>
        <v>126.21503494992238</v>
      </c>
      <c r="D10" s="5"/>
    </row>
    <row r="11" spans="2:9" x14ac:dyDescent="0.3">
      <c r="B11" s="358" t="s">
        <v>475</v>
      </c>
      <c r="C11" s="361">
        <v>0</v>
      </c>
      <c r="D11" s="15"/>
      <c r="E11" s="63"/>
      <c r="G11" s="15"/>
    </row>
    <row r="12" spans="2:9" x14ac:dyDescent="0.3">
      <c r="B12" s="358" t="s">
        <v>476</v>
      </c>
      <c r="C12" s="362">
        <f>C10+C11</f>
        <v>126.21503494992238</v>
      </c>
      <c r="D12" s="15"/>
      <c r="E12" s="427"/>
      <c r="G12" s="15"/>
    </row>
    <row r="13" spans="2:9" x14ac:dyDescent="0.3">
      <c r="B13" s="358" t="s">
        <v>477</v>
      </c>
      <c r="C13" s="362">
        <v>0</v>
      </c>
      <c r="D13" s="15"/>
      <c r="E13" s="63"/>
      <c r="G13" s="15"/>
    </row>
    <row r="14" spans="2:9" ht="15.75" thickBot="1" x14ac:dyDescent="0.35">
      <c r="B14" s="359" t="s">
        <v>478</v>
      </c>
      <c r="C14" s="363">
        <f ca="1">F28</f>
        <v>62.718958555652613</v>
      </c>
      <c r="D14" s="15"/>
      <c r="E14" s="63"/>
      <c r="G14" s="15"/>
    </row>
    <row r="15" spans="2:9" x14ac:dyDescent="0.3">
      <c r="B15" s="337"/>
      <c r="C15" s="15"/>
      <c r="D15" s="15"/>
      <c r="E15" s="63"/>
      <c r="G15" s="15"/>
    </row>
    <row r="16" spans="2:9" ht="15.75" thickBot="1" x14ac:dyDescent="0.35">
      <c r="B16" s="5" t="s">
        <v>391</v>
      </c>
      <c r="C16" s="82"/>
    </row>
    <row r="17" spans="1:9" ht="15.75" thickBot="1" x14ac:dyDescent="0.35">
      <c r="B17" s="364" t="s">
        <v>479</v>
      </c>
      <c r="C17" s="365">
        <f ca="1">C13+C14</f>
        <v>62.718958555652613</v>
      </c>
      <c r="D17" s="5"/>
    </row>
    <row r="18" spans="1:9" x14ac:dyDescent="0.3">
      <c r="A18" s="44"/>
    </row>
    <row r="19" spans="1:9" ht="16.5" customHeight="1" thickBot="1" x14ac:dyDescent="0.35">
      <c r="A19" s="44"/>
      <c r="B19" s="172" t="s">
        <v>480</v>
      </c>
      <c r="C19" s="35"/>
      <c r="D19" s="16"/>
      <c r="E19" s="22"/>
      <c r="F19" s="40"/>
      <c r="G19" s="64"/>
    </row>
    <row r="20" spans="1:9" s="31" customFormat="1" ht="30" x14ac:dyDescent="0.3">
      <c r="A20" s="372" t="s">
        <v>481</v>
      </c>
      <c r="B20" s="373" t="s">
        <v>482</v>
      </c>
      <c r="C20" s="382" t="s">
        <v>483</v>
      </c>
      <c r="D20" s="382" t="s">
        <v>484</v>
      </c>
      <c r="E20" s="382" t="s">
        <v>485</v>
      </c>
      <c r="F20" s="382" t="s">
        <v>486</v>
      </c>
      <c r="G20" s="470" t="s">
        <v>340</v>
      </c>
    </row>
    <row r="21" spans="1:9" ht="105" x14ac:dyDescent="0.3">
      <c r="A21" s="560">
        <v>1</v>
      </c>
      <c r="B21" s="561" t="s">
        <v>411</v>
      </c>
      <c r="C21" s="367">
        <f>SUM(C22:C23)</f>
        <v>37.483169629710517</v>
      </c>
      <c r="D21" s="367">
        <f>SUM(D22:D23)</f>
        <v>53.885000000000005</v>
      </c>
      <c r="E21" s="367">
        <f>C23+5.3</f>
        <v>34.253169629710513</v>
      </c>
      <c r="F21" s="368">
        <f ca="1">E21*MIN(D31,C31)</f>
        <v>41.103803555652611</v>
      </c>
      <c r="G21" s="471" t="s">
        <v>1059</v>
      </c>
    </row>
    <row r="22" spans="1:9" ht="45" x14ac:dyDescent="0.3">
      <c r="A22" s="560" t="s">
        <v>487</v>
      </c>
      <c r="B22" s="561" t="s">
        <v>408</v>
      </c>
      <c r="C22" s="384">
        <f>D104</f>
        <v>8.5300000000000011</v>
      </c>
      <c r="D22" s="406">
        <f>E42</f>
        <v>5</v>
      </c>
      <c r="E22" s="371"/>
      <c r="F22" s="371"/>
      <c r="G22" s="619" t="s">
        <v>777</v>
      </c>
    </row>
    <row r="23" spans="1:9" ht="45" x14ac:dyDescent="0.3">
      <c r="A23" s="560" t="s">
        <v>488</v>
      </c>
      <c r="B23" s="561" t="s">
        <v>409</v>
      </c>
      <c r="C23" s="384">
        <f>D108-C24</f>
        <v>28.953169629710516</v>
      </c>
      <c r="D23" s="384">
        <f>(D106+D107-D24)</f>
        <v>48.885000000000005</v>
      </c>
      <c r="E23" s="371"/>
      <c r="F23" s="371"/>
      <c r="G23" s="619" t="s">
        <v>640</v>
      </c>
    </row>
    <row r="24" spans="1:9" ht="135" x14ac:dyDescent="0.3">
      <c r="A24" s="560">
        <v>2</v>
      </c>
      <c r="B24" s="561" t="s">
        <v>412</v>
      </c>
      <c r="C24" s="405">
        <v>30</v>
      </c>
      <c r="D24" s="405">
        <f>E61</f>
        <v>48.2</v>
      </c>
      <c r="E24" s="371"/>
      <c r="F24" s="368">
        <f>INDEX('Leakage assessment'!B5:B21,MATCH(B96,'Leakage assessment'!A5:A21,0))</f>
        <v>0</v>
      </c>
      <c r="G24" s="472" t="s">
        <v>1043</v>
      </c>
    </row>
    <row r="25" spans="1:9" ht="187.15" customHeight="1" x14ac:dyDescent="0.3">
      <c r="A25" s="560">
        <v>3</v>
      </c>
      <c r="B25" s="561" t="s">
        <v>413</v>
      </c>
      <c r="C25" s="371"/>
      <c r="D25" s="405">
        <f>C80/1000+C83+0.366</f>
        <v>24.130400000000002</v>
      </c>
      <c r="E25" s="371"/>
      <c r="F25" s="367">
        <f>C83+(C72+C73)/1000*(1-C34)</f>
        <v>21.615155000000001</v>
      </c>
      <c r="G25" s="472" t="s">
        <v>1060</v>
      </c>
    </row>
    <row r="26" spans="1:9" x14ac:dyDescent="0.3">
      <c r="A26" s="560">
        <v>4</v>
      </c>
      <c r="B26" s="561" t="s">
        <v>415</v>
      </c>
      <c r="C26" s="371"/>
      <c r="D26" s="370">
        <v>0</v>
      </c>
      <c r="E26" s="371"/>
      <c r="F26" s="367">
        <v>0</v>
      </c>
      <c r="G26" s="488" t="s">
        <v>1061</v>
      </c>
    </row>
    <row r="27" spans="1:9" ht="15.75" thickBot="1" x14ac:dyDescent="0.35">
      <c r="A27" s="562">
        <v>5</v>
      </c>
      <c r="B27" s="563" t="s">
        <v>416</v>
      </c>
      <c r="C27" s="377"/>
      <c r="D27" s="378">
        <v>0</v>
      </c>
      <c r="E27" s="377"/>
      <c r="F27" s="378">
        <v>0</v>
      </c>
      <c r="G27" s="475" t="s">
        <v>641</v>
      </c>
    </row>
    <row r="28" spans="1:9" ht="15.75" thickBot="1" x14ac:dyDescent="0.35">
      <c r="A28" s="44"/>
      <c r="B28" s="379" t="s">
        <v>417</v>
      </c>
      <c r="C28" s="380"/>
      <c r="D28" s="380">
        <f>SUM(D21,D24:D27)</f>
        <v>126.21540000000002</v>
      </c>
      <c r="E28" s="380"/>
      <c r="F28" s="380">
        <f ca="1">SUM(F21,F24:F27)</f>
        <v>62.718958555652613</v>
      </c>
      <c r="G28" s="407"/>
    </row>
    <row r="29" spans="1:9" x14ac:dyDescent="0.3">
      <c r="B29" s="71"/>
      <c r="C29" s="318"/>
      <c r="D29" s="318"/>
      <c r="E29" s="317"/>
      <c r="F29" s="318"/>
      <c r="G29" s="317"/>
    </row>
    <row r="30" spans="1:9" ht="30.75" thickBot="1" x14ac:dyDescent="0.35">
      <c r="B30" s="172" t="s">
        <v>490</v>
      </c>
      <c r="C30" s="386" t="s">
        <v>491</v>
      </c>
      <c r="D30" s="386" t="s">
        <v>492</v>
      </c>
      <c r="E30" s="22"/>
      <c r="F30" s="16"/>
      <c r="G30" s="70"/>
      <c r="H30" s="71"/>
      <c r="I30" s="71"/>
    </row>
    <row r="31" spans="1:9" x14ac:dyDescent="0.3">
      <c r="B31" s="387" t="s">
        <v>418</v>
      </c>
      <c r="C31" s="388">
        <f>IFERROR(D21/C21,0)</f>
        <v>1.437578532774048</v>
      </c>
      <c r="D31" s="389">
        <f ca="1">'Unit costs'!B3</f>
        <v>1.2</v>
      </c>
      <c r="E31" s="22"/>
      <c r="F31" s="16"/>
      <c r="G31" s="65"/>
      <c r="H31" s="16"/>
      <c r="I31" s="16"/>
    </row>
    <row r="32" spans="1:9" ht="15.75" thickBot="1" x14ac:dyDescent="0.35">
      <c r="B32" s="390" t="s">
        <v>420</v>
      </c>
      <c r="C32" s="391">
        <f>D24/C24</f>
        <v>1.6066666666666667</v>
      </c>
      <c r="D32" s="392">
        <f ca="1">'Unit costs'!B4</f>
        <v>2.0302304832713758</v>
      </c>
      <c r="E32" s="22"/>
      <c r="F32" s="16"/>
      <c r="G32" s="65"/>
      <c r="H32" s="16"/>
      <c r="I32" s="16"/>
    </row>
    <row r="33" spans="1:9" ht="15.75" thickBot="1" x14ac:dyDescent="0.35">
      <c r="B33" s="16"/>
      <c r="C33" s="179"/>
      <c r="D33" s="179"/>
      <c r="E33" s="22"/>
      <c r="F33" s="16"/>
      <c r="G33" s="65"/>
      <c r="H33" s="16"/>
      <c r="I33" s="16"/>
    </row>
    <row r="34" spans="1:9" ht="15.75" thickBot="1" x14ac:dyDescent="0.35">
      <c r="B34" s="437" t="s">
        <v>747</v>
      </c>
      <c r="C34" s="438">
        <v>0.05</v>
      </c>
      <c r="D34" s="455"/>
      <c r="E34" s="22"/>
      <c r="F34" s="16"/>
      <c r="G34" s="70"/>
      <c r="H34" s="16"/>
      <c r="I34" s="71"/>
    </row>
    <row r="35" spans="1:9" x14ac:dyDescent="0.3">
      <c r="B35" s="20"/>
      <c r="C35" s="69"/>
      <c r="D35" s="16"/>
      <c r="E35" s="22"/>
      <c r="F35" s="16"/>
      <c r="G35" s="70"/>
      <c r="H35" s="16"/>
      <c r="I35" s="71"/>
    </row>
    <row r="36" spans="1:9" x14ac:dyDescent="0.3">
      <c r="B36" s="66" t="s">
        <v>303</v>
      </c>
    </row>
    <row r="37" spans="1:9" x14ac:dyDescent="0.3">
      <c r="B37" s="66"/>
    </row>
    <row r="38" spans="1:9" x14ac:dyDescent="0.3">
      <c r="A38" s="331">
        <v>1</v>
      </c>
      <c r="B38" s="335" t="s">
        <v>411</v>
      </c>
    </row>
    <row r="39" spans="1:9" s="46" customFormat="1" x14ac:dyDescent="0.3">
      <c r="B39" s="321" t="s">
        <v>642</v>
      </c>
      <c r="C39" s="2"/>
      <c r="D39" s="2"/>
      <c r="E39" s="38"/>
      <c r="F39" s="2"/>
      <c r="G39" s="2"/>
      <c r="H39" s="2"/>
      <c r="I39" s="2"/>
    </row>
    <row r="40" spans="1:9" s="46" customFormat="1" x14ac:dyDescent="0.3">
      <c r="A40" s="2"/>
      <c r="B40" s="47" t="s">
        <v>643</v>
      </c>
      <c r="C40" s="2"/>
      <c r="D40" s="2"/>
      <c r="E40" s="38"/>
      <c r="F40" s="2"/>
      <c r="G40" s="2"/>
      <c r="H40" s="2"/>
      <c r="I40" s="2"/>
    </row>
    <row r="41" spans="1:9" s="46" customFormat="1" ht="45" x14ac:dyDescent="0.3">
      <c r="A41" s="2"/>
      <c r="B41" s="243" t="s">
        <v>644</v>
      </c>
      <c r="C41" s="617" t="s">
        <v>645</v>
      </c>
      <c r="D41" s="617" t="s">
        <v>646</v>
      </c>
      <c r="E41" s="617" t="s">
        <v>647</v>
      </c>
      <c r="F41" s="324" t="s">
        <v>967</v>
      </c>
      <c r="G41" s="2"/>
      <c r="H41" s="2"/>
      <c r="I41" s="2"/>
    </row>
    <row r="42" spans="1:9" s="46" customFormat="1" x14ac:dyDescent="0.3">
      <c r="A42" s="2"/>
      <c r="B42" s="9" t="s">
        <v>648</v>
      </c>
      <c r="C42" s="631">
        <v>5.5</v>
      </c>
      <c r="D42" s="631">
        <v>5</v>
      </c>
      <c r="E42" s="631">
        <v>5</v>
      </c>
      <c r="F42" s="322" t="s">
        <v>649</v>
      </c>
      <c r="G42" s="2"/>
      <c r="H42" s="2"/>
      <c r="I42" s="2"/>
    </row>
    <row r="43" spans="1:9" s="46" customFormat="1" ht="45" x14ac:dyDescent="0.3">
      <c r="A43" s="2"/>
      <c r="B43" s="9" t="s">
        <v>409</v>
      </c>
      <c r="C43" s="631">
        <v>63.5</v>
      </c>
      <c r="D43" s="631">
        <v>57.5</v>
      </c>
      <c r="E43" s="631">
        <v>48.9</v>
      </c>
      <c r="F43" s="322" t="s">
        <v>650</v>
      </c>
      <c r="G43" s="2"/>
      <c r="H43" s="2"/>
      <c r="I43" s="2"/>
    </row>
    <row r="44" spans="1:9" s="46" customFormat="1" x14ac:dyDescent="0.3">
      <c r="A44" s="2"/>
      <c r="B44" s="9" t="s">
        <v>651</v>
      </c>
      <c r="C44" s="631">
        <v>69</v>
      </c>
      <c r="D44" s="631">
        <v>62.5</v>
      </c>
      <c r="E44" s="631">
        <v>53.9</v>
      </c>
      <c r="F44" s="322" t="s">
        <v>649</v>
      </c>
      <c r="G44" s="2"/>
      <c r="H44" s="2"/>
      <c r="I44" s="2"/>
    </row>
    <row r="45" spans="1:9" s="46" customFormat="1" x14ac:dyDescent="0.3">
      <c r="A45" s="2"/>
      <c r="B45" s="2"/>
      <c r="C45" s="334"/>
      <c r="D45" s="334"/>
      <c r="E45" s="334"/>
      <c r="F45" s="2"/>
      <c r="G45" s="2"/>
      <c r="H45" s="2"/>
      <c r="I45" s="2"/>
    </row>
    <row r="46" spans="1:9" s="46" customFormat="1" x14ac:dyDescent="0.3">
      <c r="A46" s="44" t="s">
        <v>487</v>
      </c>
      <c r="B46" s="335" t="s">
        <v>408</v>
      </c>
      <c r="C46" s="2"/>
      <c r="D46" s="2"/>
      <c r="E46" s="38"/>
      <c r="F46" s="2"/>
      <c r="G46" s="2"/>
      <c r="H46" s="2"/>
      <c r="I46" s="2"/>
    </row>
    <row r="47" spans="1:9" s="46" customFormat="1" x14ac:dyDescent="0.3">
      <c r="A47" s="2"/>
      <c r="B47" s="71" t="s">
        <v>964</v>
      </c>
      <c r="C47" s="2"/>
      <c r="D47" s="2"/>
      <c r="E47" s="38"/>
      <c r="F47" s="2"/>
      <c r="G47" s="2"/>
      <c r="H47" s="2"/>
      <c r="I47" s="2"/>
    </row>
    <row r="48" spans="1:9" s="46" customFormat="1" ht="52.5" customHeight="1" x14ac:dyDescent="0.3">
      <c r="A48" s="2"/>
      <c r="B48" s="718" t="s">
        <v>966</v>
      </c>
      <c r="C48" s="718"/>
      <c r="D48" s="718"/>
      <c r="E48" s="718"/>
      <c r="F48" s="718"/>
      <c r="G48" s="718"/>
      <c r="H48" s="718"/>
      <c r="I48" s="718"/>
    </row>
    <row r="49" spans="1:13" s="46" customFormat="1" ht="41.25" customHeight="1" x14ac:dyDescent="0.3">
      <c r="A49" s="2"/>
      <c r="B49" s="718" t="s">
        <v>965</v>
      </c>
      <c r="C49" s="718"/>
      <c r="D49" s="718"/>
      <c r="E49" s="718"/>
      <c r="F49" s="718"/>
      <c r="G49" s="718"/>
      <c r="H49" s="718"/>
      <c r="I49" s="718"/>
    </row>
    <row r="50" spans="1:13" s="46" customFormat="1" x14ac:dyDescent="0.3">
      <c r="A50" s="2"/>
      <c r="B50" s="71"/>
      <c r="G50" s="2"/>
      <c r="H50" s="2"/>
      <c r="I50" s="2"/>
    </row>
    <row r="51" spans="1:13" s="46" customFormat="1" x14ac:dyDescent="0.3">
      <c r="A51" s="331" t="s">
        <v>488</v>
      </c>
      <c r="B51" s="335" t="s">
        <v>409</v>
      </c>
      <c r="G51" s="2"/>
      <c r="H51" s="2"/>
      <c r="I51" s="2"/>
    </row>
    <row r="52" spans="1:13" s="46" customFormat="1" ht="15.75" x14ac:dyDescent="0.3">
      <c r="A52" s="2"/>
      <c r="B52" s="2" t="s">
        <v>968</v>
      </c>
      <c r="C52" s="2"/>
      <c r="D52" s="2"/>
      <c r="E52" s="38"/>
      <c r="F52" s="2"/>
      <c r="G52" s="248"/>
      <c r="H52" s="248"/>
      <c r="I52" s="2"/>
      <c r="J52" s="49"/>
      <c r="K52" s="218"/>
      <c r="L52" s="218"/>
      <c r="M52" s="218"/>
    </row>
    <row r="53" spans="1:13" s="46" customFormat="1" ht="15.75" x14ac:dyDescent="0.3">
      <c r="B53" s="49" t="s">
        <v>969</v>
      </c>
      <c r="C53" s="248"/>
      <c r="D53" s="248"/>
      <c r="E53" s="257">
        <f>144.5-136.3</f>
        <v>8.1999999999999886</v>
      </c>
      <c r="F53" s="248" t="s">
        <v>657</v>
      </c>
      <c r="G53" s="248"/>
      <c r="H53" s="248"/>
      <c r="I53" s="2"/>
      <c r="J53" s="49"/>
      <c r="K53" s="218"/>
      <c r="L53" s="218"/>
      <c r="M53" s="218"/>
    </row>
    <row r="54" spans="1:13" s="46" customFormat="1" ht="31.5" customHeight="1" x14ac:dyDescent="0.3">
      <c r="A54" s="2"/>
      <c r="B54" s="49" t="s">
        <v>658</v>
      </c>
      <c r="C54" s="248"/>
      <c r="D54" s="248"/>
      <c r="E54" s="248">
        <f>E53*3.9</f>
        <v>31.979999999999954</v>
      </c>
      <c r="F54" s="248" t="s">
        <v>93</v>
      </c>
      <c r="G54" s="248"/>
      <c r="H54" s="248"/>
      <c r="I54" s="2"/>
      <c r="J54" s="49"/>
      <c r="K54" s="218"/>
      <c r="L54" s="218"/>
      <c r="M54" s="218"/>
    </row>
    <row r="55" spans="1:13" s="46" customFormat="1" ht="15.75" x14ac:dyDescent="0.3">
      <c r="A55" s="2"/>
      <c r="B55" s="49" t="s">
        <v>659</v>
      </c>
      <c r="C55" s="2"/>
      <c r="D55" s="2"/>
      <c r="E55" s="38"/>
      <c r="F55" s="2"/>
      <c r="G55" s="2"/>
      <c r="H55" s="2"/>
      <c r="I55" s="2"/>
      <c r="J55" s="49"/>
      <c r="K55" s="218"/>
      <c r="L55" s="218"/>
      <c r="M55" s="218"/>
    </row>
    <row r="56" spans="1:13" s="46" customFormat="1" ht="15.75" x14ac:dyDescent="0.3">
      <c r="A56" s="2"/>
      <c r="B56" s="49"/>
      <c r="C56" s="2"/>
      <c r="D56" s="2"/>
      <c r="E56" s="38"/>
      <c r="F56" s="2"/>
      <c r="G56" s="2"/>
      <c r="H56" s="2"/>
      <c r="I56" s="2"/>
      <c r="J56" s="49"/>
      <c r="K56" s="218"/>
      <c r="L56" s="218"/>
      <c r="M56" s="218"/>
    </row>
    <row r="57" spans="1:13" s="46" customFormat="1" ht="15.75" x14ac:dyDescent="0.3">
      <c r="A57" s="331">
        <v>2</v>
      </c>
      <c r="B57" s="335" t="s">
        <v>412</v>
      </c>
      <c r="C57" s="2"/>
      <c r="D57" s="2"/>
      <c r="E57" s="38"/>
      <c r="F57" s="2"/>
      <c r="G57" s="2"/>
      <c r="H57" s="2"/>
      <c r="I57" s="2"/>
      <c r="J57" s="49"/>
      <c r="K57" s="218"/>
      <c r="L57" s="218"/>
      <c r="M57" s="218"/>
    </row>
    <row r="58" spans="1:13" s="46" customFormat="1" x14ac:dyDescent="0.3">
      <c r="B58" s="321"/>
      <c r="C58" s="2"/>
      <c r="D58" s="2"/>
      <c r="E58" s="38"/>
      <c r="F58" s="2"/>
      <c r="G58" s="2"/>
      <c r="H58" s="2"/>
      <c r="I58" s="2"/>
    </row>
    <row r="59" spans="1:13" s="46" customFormat="1" x14ac:dyDescent="0.3">
      <c r="A59" s="2"/>
      <c r="B59" s="47" t="s">
        <v>643</v>
      </c>
      <c r="C59" s="2"/>
      <c r="D59" s="2"/>
      <c r="E59" s="38"/>
      <c r="F59" s="2"/>
      <c r="G59" s="2"/>
      <c r="H59" s="2"/>
      <c r="I59" s="2"/>
    </row>
    <row r="60" spans="1:13" s="46" customFormat="1" ht="45" x14ac:dyDescent="0.3">
      <c r="A60" s="2"/>
      <c r="B60" s="243" t="s">
        <v>644</v>
      </c>
      <c r="C60" s="617" t="s">
        <v>645</v>
      </c>
      <c r="D60" s="617" t="s">
        <v>646</v>
      </c>
      <c r="E60" s="617" t="s">
        <v>647</v>
      </c>
      <c r="F60" s="324" t="s">
        <v>967</v>
      </c>
      <c r="G60" s="2"/>
      <c r="H60" s="2"/>
      <c r="I60" s="2"/>
    </row>
    <row r="61" spans="1:13" s="46" customFormat="1" ht="45" x14ac:dyDescent="0.3">
      <c r="A61" s="2"/>
      <c r="B61" s="9" t="s">
        <v>652</v>
      </c>
      <c r="C61" s="631">
        <v>35.1</v>
      </c>
      <c r="D61" s="631">
        <v>0</v>
      </c>
      <c r="E61" s="631">
        <v>48.2</v>
      </c>
      <c r="F61" s="322" t="s">
        <v>741</v>
      </c>
      <c r="G61" s="2"/>
      <c r="H61" s="2"/>
      <c r="I61" s="2"/>
    </row>
    <row r="62" spans="1:13" s="46" customFormat="1" ht="15.75" x14ac:dyDescent="0.3">
      <c r="A62" s="2"/>
      <c r="B62" s="86" t="s">
        <v>660</v>
      </c>
      <c r="C62" s="2"/>
      <c r="D62" s="2"/>
      <c r="E62" s="38"/>
      <c r="F62" s="2"/>
      <c r="G62" s="2"/>
      <c r="H62" s="2"/>
      <c r="I62" s="2"/>
      <c r="J62" s="49"/>
      <c r="K62" s="218"/>
      <c r="L62" s="218"/>
      <c r="M62" s="218"/>
    </row>
    <row r="63" spans="1:13" s="46" customFormat="1" ht="15.75" x14ac:dyDescent="0.3">
      <c r="B63" s="247"/>
      <c r="C63" s="248"/>
      <c r="D63" s="248"/>
      <c r="E63" s="248"/>
      <c r="F63" s="248"/>
      <c r="G63" s="248"/>
      <c r="H63" s="248"/>
      <c r="I63" s="49"/>
      <c r="J63" s="49"/>
      <c r="K63" s="218"/>
      <c r="L63" s="218"/>
      <c r="M63" s="218"/>
    </row>
    <row r="64" spans="1:13" s="46" customFormat="1" ht="15.75" x14ac:dyDescent="0.3">
      <c r="A64" s="331">
        <v>3</v>
      </c>
      <c r="B64" s="335" t="s">
        <v>413</v>
      </c>
      <c r="D64" s="248"/>
      <c r="E64" s="248"/>
      <c r="F64" s="248"/>
      <c r="G64" s="248"/>
      <c r="H64" s="248"/>
      <c r="I64" s="49"/>
      <c r="J64" s="49"/>
      <c r="K64" s="218"/>
      <c r="L64" s="218"/>
      <c r="M64" s="218"/>
    </row>
    <row r="65" spans="1:13" s="46" customFormat="1" x14ac:dyDescent="0.3">
      <c r="A65" s="2"/>
      <c r="B65" s="47" t="s">
        <v>643</v>
      </c>
      <c r="C65" s="2"/>
      <c r="D65" s="2"/>
      <c r="E65" s="38"/>
      <c r="F65" s="2"/>
      <c r="G65" s="2"/>
      <c r="H65" s="2"/>
      <c r="I65" s="2"/>
    </row>
    <row r="66" spans="1:13" s="46" customFormat="1" ht="45" x14ac:dyDescent="0.3">
      <c r="A66" s="2"/>
      <c r="B66" s="243" t="s">
        <v>644</v>
      </c>
      <c r="C66" s="617" t="s">
        <v>645</v>
      </c>
      <c r="D66" s="617" t="s">
        <v>646</v>
      </c>
      <c r="E66" s="617" t="s">
        <v>647</v>
      </c>
      <c r="F66" s="324" t="s">
        <v>967</v>
      </c>
      <c r="G66" s="2"/>
      <c r="H66" s="2"/>
      <c r="I66" s="2"/>
    </row>
    <row r="67" spans="1:13" s="46" customFormat="1" ht="60" x14ac:dyDescent="0.3">
      <c r="A67" s="2"/>
      <c r="B67" s="9" t="s">
        <v>653</v>
      </c>
      <c r="C67" s="631">
        <v>47.9</v>
      </c>
      <c r="D67" s="631">
        <v>38.1</v>
      </c>
      <c r="E67" s="631">
        <v>36.1</v>
      </c>
      <c r="F67" s="322" t="s">
        <v>654</v>
      </c>
      <c r="G67" s="2"/>
      <c r="H67" s="2"/>
      <c r="I67" s="2"/>
    </row>
    <row r="68" spans="1:13" s="46" customFormat="1" ht="15.75" x14ac:dyDescent="0.3">
      <c r="B68" s="49" t="s">
        <v>661</v>
      </c>
      <c r="C68" s="248"/>
      <c r="D68" s="248"/>
      <c r="E68" s="248"/>
      <c r="F68" s="248"/>
      <c r="G68" s="248"/>
      <c r="H68" s="248"/>
      <c r="I68" s="49"/>
      <c r="J68" s="49"/>
      <c r="K68" s="218"/>
      <c r="L68" s="218"/>
      <c r="M68" s="218"/>
    </row>
    <row r="69" spans="1:13" s="46" customFormat="1" ht="15.75" x14ac:dyDescent="0.3">
      <c r="B69" s="247"/>
      <c r="C69" s="248"/>
      <c r="D69" s="248"/>
      <c r="E69" s="248"/>
      <c r="F69" s="248"/>
      <c r="G69" s="248"/>
      <c r="H69" s="248"/>
      <c r="I69" s="49"/>
      <c r="J69" s="49"/>
      <c r="K69" s="218"/>
      <c r="L69" s="218"/>
      <c r="M69" s="218"/>
    </row>
    <row r="70" spans="1:13" s="46" customFormat="1" ht="15.75" x14ac:dyDescent="0.3">
      <c r="B70" s="49" t="s">
        <v>662</v>
      </c>
      <c r="C70" s="248"/>
      <c r="D70" s="248"/>
      <c r="E70" s="248"/>
      <c r="F70" s="248"/>
      <c r="G70" s="248"/>
      <c r="H70" s="248"/>
      <c r="I70" s="49"/>
      <c r="J70" s="49"/>
      <c r="K70" s="218"/>
      <c r="L70" s="218"/>
      <c r="M70" s="218"/>
    </row>
    <row r="71" spans="1:13" s="46" customFormat="1" ht="15.75" x14ac:dyDescent="0.3">
      <c r="B71" s="256" t="s">
        <v>663</v>
      </c>
      <c r="C71" s="256" t="s">
        <v>664</v>
      </c>
      <c r="D71" s="352" t="s">
        <v>583</v>
      </c>
      <c r="E71" s="732" t="s">
        <v>665</v>
      </c>
      <c r="F71" s="732"/>
      <c r="G71" s="732"/>
      <c r="H71" s="732"/>
      <c r="I71" s="247"/>
      <c r="J71" s="49"/>
      <c r="K71" s="218"/>
      <c r="L71" s="218"/>
      <c r="M71" s="218"/>
    </row>
    <row r="72" spans="1:13" s="46" customFormat="1" ht="15.75" x14ac:dyDescent="0.3">
      <c r="B72" s="252" t="s">
        <v>666</v>
      </c>
      <c r="C72" s="253">
        <v>972.9</v>
      </c>
      <c r="D72" s="254" t="s">
        <v>667</v>
      </c>
      <c r="E72" s="731" t="s">
        <v>668</v>
      </c>
      <c r="F72" s="731"/>
      <c r="G72" s="731"/>
      <c r="H72" s="731"/>
      <c r="I72" s="49"/>
      <c r="J72" s="49"/>
      <c r="K72" s="218"/>
      <c r="L72" s="218"/>
      <c r="M72" s="218"/>
    </row>
    <row r="73" spans="1:13" x14ac:dyDescent="0.3">
      <c r="A73" s="46"/>
      <c r="B73" s="252" t="s">
        <v>669</v>
      </c>
      <c r="C73" s="253">
        <v>10678</v>
      </c>
      <c r="D73" s="254" t="s">
        <v>670</v>
      </c>
      <c r="E73" s="731" t="s">
        <v>671</v>
      </c>
      <c r="F73" s="731"/>
      <c r="G73" s="731"/>
      <c r="H73" s="731"/>
      <c r="I73" s="49"/>
    </row>
    <row r="74" spans="1:13" x14ac:dyDescent="0.3">
      <c r="A74" s="46"/>
      <c r="B74" s="252" t="s">
        <v>672</v>
      </c>
      <c r="C74" s="253">
        <v>664</v>
      </c>
      <c r="D74" s="254" t="s">
        <v>673</v>
      </c>
      <c r="E74" s="731" t="s">
        <v>674</v>
      </c>
      <c r="F74" s="731"/>
      <c r="G74" s="731"/>
      <c r="H74" s="731"/>
      <c r="I74" s="49"/>
    </row>
    <row r="75" spans="1:13" x14ac:dyDescent="0.3">
      <c r="A75" s="46"/>
      <c r="B75" s="252" t="s">
        <v>675</v>
      </c>
      <c r="C75" s="253">
        <v>902.7</v>
      </c>
      <c r="D75" s="254" t="s">
        <v>676</v>
      </c>
      <c r="E75" s="731" t="s">
        <v>677</v>
      </c>
      <c r="F75" s="731"/>
      <c r="G75" s="731"/>
      <c r="H75" s="731"/>
      <c r="I75" s="49"/>
    </row>
    <row r="76" spans="1:13" x14ac:dyDescent="0.3">
      <c r="A76" s="46"/>
      <c r="B76" s="252" t="s">
        <v>678</v>
      </c>
      <c r="C76" s="253">
        <v>926.7</v>
      </c>
      <c r="D76" s="255" t="s">
        <v>679</v>
      </c>
      <c r="E76" s="731" t="s">
        <v>680</v>
      </c>
      <c r="F76" s="731"/>
      <c r="G76" s="731"/>
      <c r="H76" s="731"/>
      <c r="I76" s="49"/>
    </row>
    <row r="77" spans="1:13" x14ac:dyDescent="0.3">
      <c r="A77" s="46"/>
      <c r="B77" s="252" t="s">
        <v>681</v>
      </c>
      <c r="C77" s="253">
        <v>946.3</v>
      </c>
      <c r="D77" s="255" t="s">
        <v>682</v>
      </c>
      <c r="E77" s="731" t="s">
        <v>683</v>
      </c>
      <c r="F77" s="731"/>
      <c r="G77" s="731"/>
      <c r="H77" s="731"/>
      <c r="I77" s="49"/>
    </row>
    <row r="78" spans="1:13" ht="30" x14ac:dyDescent="0.3">
      <c r="A78" s="46"/>
      <c r="B78" s="252" t="s">
        <v>684</v>
      </c>
      <c r="C78" s="253">
        <v>6214.6</v>
      </c>
      <c r="D78" s="255" t="s">
        <v>685</v>
      </c>
      <c r="E78" s="731" t="s">
        <v>686</v>
      </c>
      <c r="F78" s="731"/>
      <c r="G78" s="731"/>
      <c r="H78" s="731"/>
      <c r="I78" s="49"/>
    </row>
    <row r="79" spans="1:13" x14ac:dyDescent="0.3">
      <c r="A79" s="46"/>
      <c r="B79" s="252" t="s">
        <v>687</v>
      </c>
      <c r="C79" s="253">
        <v>4278.3</v>
      </c>
      <c r="D79" s="255" t="s">
        <v>688</v>
      </c>
      <c r="E79" s="731" t="s">
        <v>689</v>
      </c>
      <c r="F79" s="731"/>
      <c r="G79" s="731"/>
      <c r="H79" s="731"/>
      <c r="I79" s="49"/>
    </row>
    <row r="80" spans="1:13" x14ac:dyDescent="0.3">
      <c r="A80" s="46"/>
      <c r="B80" s="49"/>
      <c r="C80" s="248">
        <f>SUM(C72:C75)</f>
        <v>13217.6</v>
      </c>
      <c r="D80" s="248"/>
      <c r="E80" s="248"/>
      <c r="F80" s="248"/>
      <c r="G80" s="248"/>
      <c r="H80" s="248"/>
      <c r="I80" s="49"/>
    </row>
    <row r="81" spans="1:13" x14ac:dyDescent="0.3">
      <c r="A81" s="46"/>
      <c r="B81" s="49"/>
      <c r="C81" s="248"/>
      <c r="D81" s="248"/>
      <c r="E81" s="248"/>
      <c r="F81" s="248"/>
      <c r="G81" s="248"/>
      <c r="H81" s="248"/>
      <c r="I81" s="49"/>
    </row>
    <row r="82" spans="1:13" x14ac:dyDescent="0.3">
      <c r="A82" s="46"/>
      <c r="B82" s="2" t="s">
        <v>743</v>
      </c>
      <c r="C82" s="248">
        <v>11.22</v>
      </c>
      <c r="D82" s="258" t="s">
        <v>744</v>
      </c>
      <c r="E82" s="248"/>
      <c r="F82" s="248"/>
      <c r="G82" s="248"/>
      <c r="H82" s="248"/>
      <c r="I82" s="49"/>
    </row>
    <row r="83" spans="1:13" x14ac:dyDescent="0.3">
      <c r="A83" s="46"/>
      <c r="B83" s="49" t="s">
        <v>742</v>
      </c>
      <c r="C83" s="248">
        <f>C82*0.94</f>
        <v>10.546799999999999</v>
      </c>
      <c r="D83" s="258" t="s">
        <v>745</v>
      </c>
      <c r="E83" s="248"/>
      <c r="F83" s="248"/>
      <c r="G83" s="248"/>
      <c r="H83" s="248"/>
      <c r="I83" s="49"/>
    </row>
    <row r="84" spans="1:13" x14ac:dyDescent="0.3">
      <c r="A84" s="46"/>
      <c r="B84" s="49"/>
      <c r="C84" s="248"/>
      <c r="D84" s="258"/>
      <c r="E84" s="248"/>
      <c r="F84" s="248"/>
      <c r="G84" s="248"/>
      <c r="H84" s="248"/>
      <c r="I84" s="49"/>
    </row>
    <row r="85" spans="1:13" x14ac:dyDescent="0.3">
      <c r="A85" s="338">
        <v>4</v>
      </c>
      <c r="B85" s="328" t="s">
        <v>415</v>
      </c>
      <c r="C85" s="429"/>
      <c r="D85" s="429"/>
      <c r="E85" s="430"/>
      <c r="F85" s="4"/>
      <c r="G85" s="4"/>
      <c r="H85" s="4"/>
      <c r="M85" s="211"/>
    </row>
    <row r="86" spans="1:13" x14ac:dyDescent="0.3">
      <c r="A86" s="338"/>
      <c r="B86" s="152" t="s">
        <v>957</v>
      </c>
      <c r="C86" s="431"/>
      <c r="D86" s="152"/>
      <c r="E86" s="152"/>
      <c r="F86" s="152"/>
      <c r="G86" s="152"/>
      <c r="H86" s="152"/>
      <c r="M86" s="211"/>
    </row>
    <row r="87" spans="1:13" x14ac:dyDescent="0.3">
      <c r="A87" s="44"/>
      <c r="B87" s="180"/>
      <c r="C87" s="180"/>
      <c r="D87" s="180"/>
      <c r="E87" s="180"/>
      <c r="F87" s="180"/>
      <c r="G87" s="180"/>
      <c r="H87" s="180"/>
      <c r="M87" s="211"/>
    </row>
    <row r="88" spans="1:13" x14ac:dyDescent="0.3">
      <c r="A88" s="338">
        <v>5</v>
      </c>
      <c r="B88" s="328" t="s">
        <v>416</v>
      </c>
      <c r="C88" s="400"/>
      <c r="D88" s="400"/>
      <c r="E88" s="428"/>
      <c r="F88" s="400"/>
      <c r="G88" s="400"/>
      <c r="H88" s="400"/>
      <c r="M88" s="211"/>
    </row>
    <row r="89" spans="1:13" s="46" customFormat="1" x14ac:dyDescent="0.3">
      <c r="B89" s="321"/>
      <c r="C89" s="2"/>
      <c r="D89" s="2"/>
      <c r="E89" s="38"/>
      <c r="F89" s="2"/>
      <c r="G89" s="2"/>
      <c r="H89" s="2"/>
      <c r="I89" s="2"/>
    </row>
    <row r="90" spans="1:13" s="46" customFormat="1" x14ac:dyDescent="0.3">
      <c r="A90" s="2"/>
      <c r="B90" s="47" t="s">
        <v>643</v>
      </c>
      <c r="C90" s="2"/>
      <c r="D90" s="2"/>
      <c r="E90" s="38"/>
      <c r="F90" s="2"/>
      <c r="G90" s="2"/>
      <c r="H90" s="2"/>
      <c r="I90" s="2"/>
    </row>
    <row r="91" spans="1:13" s="46" customFormat="1" ht="45" x14ac:dyDescent="0.3">
      <c r="A91" s="2"/>
      <c r="B91" s="243" t="s">
        <v>644</v>
      </c>
      <c r="C91" s="617" t="s">
        <v>645</v>
      </c>
      <c r="D91" s="617" t="s">
        <v>646</v>
      </c>
      <c r="E91" s="617" t="s">
        <v>647</v>
      </c>
      <c r="F91" s="617" t="s">
        <v>967</v>
      </c>
      <c r="G91" s="2"/>
      <c r="H91" s="2"/>
      <c r="I91" s="2"/>
    </row>
    <row r="92" spans="1:13" s="46" customFormat="1" ht="30" x14ac:dyDescent="0.3">
      <c r="A92" s="2"/>
      <c r="B92" s="9" t="s">
        <v>655</v>
      </c>
      <c r="C92" s="631">
        <v>14.2</v>
      </c>
      <c r="D92" s="631">
        <v>0</v>
      </c>
      <c r="E92" s="631">
        <v>0</v>
      </c>
      <c r="F92" s="632" t="s">
        <v>656</v>
      </c>
      <c r="G92" s="2"/>
      <c r="H92" s="2"/>
      <c r="I92" s="2"/>
    </row>
    <row r="93" spans="1:13" x14ac:dyDescent="0.3">
      <c r="A93" s="338"/>
      <c r="B93" s="70"/>
      <c r="C93" s="400"/>
      <c r="D93" s="400"/>
      <c r="E93" s="400"/>
      <c r="F93" s="400"/>
      <c r="G93" s="400"/>
      <c r="H93" s="400"/>
      <c r="M93" s="211"/>
    </row>
    <row r="94" spans="1:13" x14ac:dyDescent="0.3">
      <c r="A94" s="338"/>
      <c r="B94" s="70"/>
      <c r="C94" s="400"/>
      <c r="D94" s="400"/>
      <c r="E94" s="400"/>
      <c r="F94" s="400"/>
      <c r="G94" s="400"/>
      <c r="H94" s="400"/>
      <c r="M94" s="211"/>
    </row>
    <row r="95" spans="1:13" x14ac:dyDescent="0.3">
      <c r="A95" s="44">
        <v>6</v>
      </c>
      <c r="B95" s="328" t="s">
        <v>494</v>
      </c>
      <c r="C95" s="180"/>
      <c r="D95" s="180"/>
      <c r="E95" s="180"/>
      <c r="F95" s="180"/>
      <c r="G95" s="180"/>
      <c r="H95" s="400"/>
      <c r="M95" s="211"/>
    </row>
    <row r="96" spans="1:13" ht="15.75" thickBot="1" x14ac:dyDescent="0.35">
      <c r="B96" s="2" t="str">
        <f>C9</f>
        <v>AFW</v>
      </c>
      <c r="E96" s="43"/>
      <c r="F96" s="29"/>
      <c r="H96" s="400"/>
      <c r="M96" s="211"/>
    </row>
    <row r="97" spans="1:13" x14ac:dyDescent="0.3">
      <c r="B97" s="153" t="s">
        <v>392</v>
      </c>
      <c r="C97" s="154" t="s">
        <v>61</v>
      </c>
      <c r="D97" s="156" t="s">
        <v>393</v>
      </c>
      <c r="E97" s="158" t="s">
        <v>394</v>
      </c>
      <c r="F97" s="68" t="s">
        <v>395</v>
      </c>
      <c r="G97" s="340" t="s">
        <v>385</v>
      </c>
      <c r="H97" s="400"/>
      <c r="M97" s="211"/>
    </row>
    <row r="98" spans="1:13" x14ac:dyDescent="0.3">
      <c r="B98" s="85" t="s">
        <v>396</v>
      </c>
      <c r="C98" s="71" t="s">
        <v>25</v>
      </c>
      <c r="D98" s="240">
        <f t="shared" ref="D98:F99" si="0">D102+D106</f>
        <v>86.896034949922381</v>
      </c>
      <c r="E98" s="240">
        <f t="shared" si="0"/>
        <v>-12.366</v>
      </c>
      <c r="F98" s="240">
        <f t="shared" si="0"/>
        <v>74.530034949922381</v>
      </c>
      <c r="G98" s="36" t="str">
        <f>IF(ABS(SUM(D98,E98)-F98)&lt;0.001,"OK","ERROR")</f>
        <v>OK</v>
      </c>
      <c r="H98" s="400"/>
      <c r="M98" s="211"/>
    </row>
    <row r="99" spans="1:13" x14ac:dyDescent="0.3">
      <c r="B99" s="155" t="s">
        <v>397</v>
      </c>
      <c r="C99" s="71" t="s">
        <v>25</v>
      </c>
      <c r="D99" s="240">
        <f t="shared" si="0"/>
        <v>51.685000000000002</v>
      </c>
      <c r="E99" s="240">
        <f t="shared" si="0"/>
        <v>0</v>
      </c>
      <c r="F99" s="240">
        <f t="shared" si="0"/>
        <v>51.685000000000002</v>
      </c>
      <c r="G99" s="36" t="str">
        <f>IF(ABS(SUM(D99,E99)-F99)&lt;0.001,"OK","ERROR")</f>
        <v>OK</v>
      </c>
      <c r="H99" s="400"/>
      <c r="M99" s="211"/>
    </row>
    <row r="100" spans="1:13" ht="15.75" x14ac:dyDescent="0.3">
      <c r="B100" s="85" t="s">
        <v>398</v>
      </c>
      <c r="C100" s="71" t="s">
        <v>93</v>
      </c>
      <c r="D100" s="240">
        <f>D104+D108</f>
        <v>67.483169629710517</v>
      </c>
      <c r="E100" s="240" t="s">
        <v>341</v>
      </c>
      <c r="F100" s="240">
        <f>D100</f>
        <v>67.483169629710517</v>
      </c>
      <c r="G100" s="36" t="str">
        <f>IF(ABS(SUM(D100,E100)-F100)&lt;0.001,"OK","ERROR")</f>
        <v>OK</v>
      </c>
      <c r="H100" s="400"/>
      <c r="J100" s="308"/>
      <c r="K100" s="308"/>
      <c r="L100" s="308"/>
      <c r="M100" s="237"/>
    </row>
    <row r="101" spans="1:13" ht="15.75" x14ac:dyDescent="0.3">
      <c r="B101" s="34"/>
      <c r="C101" s="16"/>
      <c r="D101" s="265"/>
      <c r="E101" s="265"/>
      <c r="F101" s="265"/>
      <c r="G101" s="36"/>
      <c r="H101" s="400"/>
      <c r="J101" s="308"/>
      <c r="K101" s="308"/>
      <c r="L101" s="308"/>
      <c r="M101" s="238"/>
    </row>
    <row r="102" spans="1:13" ht="15.75" x14ac:dyDescent="0.3">
      <c r="B102" s="85" t="s">
        <v>399</v>
      </c>
      <c r="C102" s="71" t="s">
        <v>25</v>
      </c>
      <c r="D102" s="240">
        <f>INDEX(Analysis!H$101:H$117,MATCH($B$96,Analysis!$B$101:$B$117,0))</f>
        <v>41.496034949922382</v>
      </c>
      <c r="E102" s="240">
        <f>INDEX(Analysis!I$101:I$117,MATCH($B$96,Analysis!$B$101:$B$117,0))</f>
        <v>-12.366</v>
      </c>
      <c r="F102" s="240">
        <f>SUM(D102:E102)</f>
        <v>29.130034949922383</v>
      </c>
      <c r="G102" s="36" t="str">
        <f t="shared" ref="G102:G106" si="1">IF(ABS(SUM(D102,E102)-F102)&lt;0.001,"OK","ERROR")</f>
        <v>OK</v>
      </c>
      <c r="H102" s="400"/>
      <c r="J102" s="308"/>
      <c r="K102" s="308"/>
      <c r="L102" s="308"/>
      <c r="M102" s="238"/>
    </row>
    <row r="103" spans="1:13" x14ac:dyDescent="0.3">
      <c r="B103" s="155" t="s">
        <v>400</v>
      </c>
      <c r="C103" s="157" t="s">
        <v>25</v>
      </c>
      <c r="D103" s="239">
        <f>INDEX(Analysis!H$150:H$166,MATCH($B$96,Analysis!$B$150:$B$166,0))</f>
        <v>0</v>
      </c>
      <c r="E103" s="239">
        <f>INDEX(Analysis!I$150:I$166,MATCH($B$96,Analysis!$B$150:$B$166,0))</f>
        <v>0</v>
      </c>
      <c r="F103" s="240">
        <f>SUM(D103:E103)</f>
        <v>0</v>
      </c>
      <c r="G103" s="36" t="str">
        <f>IF(ABS(SUM(D103,E103)-F103)&lt;0.001,"OK","ERROR")</f>
        <v>OK</v>
      </c>
      <c r="H103" s="400"/>
      <c r="M103" s="238"/>
    </row>
    <row r="104" spans="1:13" x14ac:dyDescent="0.3">
      <c r="B104" s="85" t="s">
        <v>401</v>
      </c>
      <c r="C104" s="71" t="s">
        <v>93</v>
      </c>
      <c r="D104" s="240">
        <f>INDEX(Analysis!$H$26:$H$42,MATCH($B$96,Analysis!$B$26:$B$42,0))</f>
        <v>8.5300000000000011</v>
      </c>
      <c r="E104" s="240" t="s">
        <v>341</v>
      </c>
      <c r="F104" s="240">
        <f>D104</f>
        <v>8.5300000000000011</v>
      </c>
      <c r="G104" s="36" t="str">
        <f>IF(ABS(SUM(D104,E104)-F104)&lt;0.001,"OK","ERROR")</f>
        <v>OK</v>
      </c>
      <c r="H104" s="400"/>
      <c r="M104" s="238"/>
    </row>
    <row r="105" spans="1:13" x14ac:dyDescent="0.3">
      <c r="B105" s="34"/>
      <c r="C105" s="16"/>
      <c r="D105" s="265"/>
      <c r="E105" s="265"/>
      <c r="F105" s="265"/>
      <c r="G105" s="36"/>
      <c r="H105" s="400"/>
    </row>
    <row r="106" spans="1:13" x14ac:dyDescent="0.3">
      <c r="B106" s="85" t="s">
        <v>402</v>
      </c>
      <c r="C106" s="71" t="s">
        <v>403</v>
      </c>
      <c r="D106" s="240">
        <f>INDEX(Analysis!H$125:H$141,MATCH($B$96,Analysis!$B$125:$B$141,0))</f>
        <v>45.4</v>
      </c>
      <c r="E106" s="240">
        <f>INDEX(Analysis!I$125:I$141,MATCH($B$96,Analysis!$B$125:$B$141,0))</f>
        <v>0</v>
      </c>
      <c r="F106" s="240">
        <f>SUM(D106:E106)</f>
        <v>45.4</v>
      </c>
      <c r="G106" s="36" t="str">
        <f t="shared" si="1"/>
        <v>OK</v>
      </c>
      <c r="H106" s="400"/>
    </row>
    <row r="107" spans="1:13" x14ac:dyDescent="0.3">
      <c r="B107" s="155" t="s">
        <v>404</v>
      </c>
      <c r="C107" s="71" t="s">
        <v>403</v>
      </c>
      <c r="D107" s="239">
        <f>INDEX(Analysis!H$175:H$191,MATCH($B$96,Analysis!$B$175:$B$191,0))</f>
        <v>51.685000000000002</v>
      </c>
      <c r="E107" s="239">
        <f>INDEX(Analysis!I$175:I$191,MATCH($B$96,Analysis!$B$175:$B$191,0))</f>
        <v>0</v>
      </c>
      <c r="F107" s="240">
        <f>SUM(D107:E107)</f>
        <v>51.685000000000002</v>
      </c>
      <c r="G107" s="36" t="str">
        <f>IF(ABS(SUM(D107,E107)-F107)&lt;0.001,"OK","ERROR")</f>
        <v>OK</v>
      </c>
      <c r="H107" s="400"/>
    </row>
    <row r="108" spans="1:13" ht="15.75" thickBot="1" x14ac:dyDescent="0.35">
      <c r="B108" s="151" t="s">
        <v>405</v>
      </c>
      <c r="C108" s="74" t="s">
        <v>93</v>
      </c>
      <c r="D108" s="266">
        <f>INDEX(Analysis!$H$51:$H$67,MATCH($B$96,Analysis!$B$51:$B$67,0))</f>
        <v>58.953169629710516</v>
      </c>
      <c r="E108" s="266" t="s">
        <v>341</v>
      </c>
      <c r="F108" s="266">
        <f>D108</f>
        <v>58.953169629710516</v>
      </c>
      <c r="G108" s="37" t="str">
        <f>IF(ABS(SUM(D108,E108)-F108)&lt;0.001,"OK","ERROR")</f>
        <v>OK</v>
      </c>
      <c r="H108" s="400"/>
    </row>
    <row r="109" spans="1:13" x14ac:dyDescent="0.3">
      <c r="H109" s="400"/>
    </row>
    <row r="110" spans="1:13" x14ac:dyDescent="0.3">
      <c r="A110" s="73"/>
      <c r="B110" s="73"/>
      <c r="C110" s="73"/>
      <c r="D110" s="73"/>
      <c r="E110" s="347"/>
      <c r="F110" s="347"/>
      <c r="G110" s="347"/>
      <c r="H110" s="347"/>
      <c r="I110" s="347"/>
    </row>
    <row r="111" spans="1:13" x14ac:dyDescent="0.3">
      <c r="A111" s="73"/>
      <c r="B111" s="77"/>
      <c r="C111" s="77"/>
      <c r="D111" s="77"/>
      <c r="E111" s="347"/>
      <c r="F111" s="347"/>
      <c r="G111" s="347"/>
      <c r="H111" s="347"/>
      <c r="I111" s="347"/>
    </row>
    <row r="112" spans="1:13" x14ac:dyDescent="0.3">
      <c r="B112" s="718"/>
      <c r="C112" s="718"/>
      <c r="D112" s="718"/>
      <c r="E112" s="718"/>
      <c r="F112" s="718"/>
      <c r="G112" s="718"/>
      <c r="H112" s="718"/>
      <c r="I112" s="718"/>
    </row>
    <row r="113" spans="1:9" x14ac:dyDescent="0.3">
      <c r="B113" s="730"/>
      <c r="C113" s="730"/>
      <c r="D113" s="730"/>
      <c r="E113" s="730"/>
      <c r="F113" s="730"/>
      <c r="G113" s="730"/>
      <c r="H113" s="730"/>
      <c r="I113" s="730"/>
    </row>
    <row r="114" spans="1:9" x14ac:dyDescent="0.3">
      <c r="B114" s="347"/>
      <c r="C114" s="347"/>
      <c r="D114" s="347"/>
      <c r="E114" s="347"/>
      <c r="F114" s="347"/>
      <c r="G114" s="347"/>
      <c r="H114" s="347"/>
      <c r="I114" s="347"/>
    </row>
    <row r="115" spans="1:9" x14ac:dyDescent="0.3">
      <c r="B115" s="347"/>
      <c r="C115" s="347"/>
      <c r="D115" s="347"/>
      <c r="E115" s="347"/>
      <c r="F115" s="347"/>
      <c r="G115" s="347"/>
      <c r="H115" s="347"/>
      <c r="I115" s="347"/>
    </row>
    <row r="116" spans="1:9" x14ac:dyDescent="0.3">
      <c r="A116" s="73"/>
      <c r="E116" s="2"/>
      <c r="F116" s="73"/>
    </row>
    <row r="117" spans="1:9" x14ac:dyDescent="0.3">
      <c r="A117" s="73"/>
      <c r="E117" s="2"/>
      <c r="F117" s="73"/>
    </row>
    <row r="118" spans="1:9" x14ac:dyDescent="0.3">
      <c r="A118" s="73"/>
      <c r="E118" s="2"/>
      <c r="F118" s="73"/>
    </row>
    <row r="119" spans="1:9" x14ac:dyDescent="0.3">
      <c r="A119" s="73"/>
      <c r="E119" s="2"/>
      <c r="F119" s="73"/>
    </row>
    <row r="120" spans="1:9" x14ac:dyDescent="0.3">
      <c r="A120" s="73"/>
      <c r="E120" s="2"/>
      <c r="F120" s="73"/>
    </row>
    <row r="121" spans="1:9" x14ac:dyDescent="0.3">
      <c r="A121" s="73"/>
      <c r="E121" s="2"/>
      <c r="F121" s="73"/>
    </row>
    <row r="122" spans="1:9" x14ac:dyDescent="0.3">
      <c r="A122" s="73"/>
      <c r="E122" s="2"/>
      <c r="F122" s="73"/>
    </row>
    <row r="123" spans="1:9" x14ac:dyDescent="0.3">
      <c r="A123" s="73"/>
      <c r="E123" s="2"/>
      <c r="F123" s="73"/>
    </row>
    <row r="124" spans="1:9" x14ac:dyDescent="0.3">
      <c r="A124" s="73"/>
      <c r="B124" s="73"/>
      <c r="C124" s="73"/>
      <c r="D124" s="73"/>
      <c r="E124" s="76"/>
      <c r="F124" s="73"/>
    </row>
    <row r="125" spans="1:9" x14ac:dyDescent="0.3">
      <c r="A125" s="73"/>
      <c r="B125" s="73"/>
      <c r="C125" s="73"/>
      <c r="D125" s="73"/>
      <c r="E125" s="76"/>
      <c r="F125" s="73"/>
    </row>
    <row r="126" spans="1:9" x14ac:dyDescent="0.3">
      <c r="A126" s="73"/>
      <c r="B126" s="71"/>
      <c r="C126" s="73"/>
      <c r="D126" s="73"/>
      <c r="E126" s="76"/>
      <c r="F126" s="73"/>
    </row>
    <row r="127" spans="1:9" x14ac:dyDescent="0.3">
      <c r="E127" s="76"/>
      <c r="F127" s="73"/>
    </row>
    <row r="128" spans="1:9" x14ac:dyDescent="0.3">
      <c r="E128" s="76"/>
      <c r="F128" s="73"/>
    </row>
    <row r="129" spans="1:6" x14ac:dyDescent="0.3">
      <c r="E129" s="76"/>
      <c r="F129" s="73"/>
    </row>
    <row r="130" spans="1:6" x14ac:dyDescent="0.3">
      <c r="E130" s="76"/>
      <c r="F130" s="73"/>
    </row>
    <row r="131" spans="1:6" x14ac:dyDescent="0.3">
      <c r="E131" s="76"/>
      <c r="F131" s="73"/>
    </row>
    <row r="132" spans="1:6" x14ac:dyDescent="0.3">
      <c r="E132" s="76"/>
      <c r="F132" s="73"/>
    </row>
    <row r="133" spans="1:6" x14ac:dyDescent="0.3">
      <c r="E133" s="76"/>
      <c r="F133" s="73"/>
    </row>
    <row r="134" spans="1:6" x14ac:dyDescent="0.3">
      <c r="A134" s="73"/>
      <c r="B134" s="73"/>
      <c r="C134" s="73"/>
      <c r="D134" s="73"/>
      <c r="E134" s="76"/>
      <c r="F134" s="73"/>
    </row>
    <row r="135" spans="1:6" x14ac:dyDescent="0.3">
      <c r="A135" s="73"/>
      <c r="B135" s="71"/>
      <c r="C135" s="73"/>
      <c r="D135" s="73"/>
      <c r="E135" s="76"/>
      <c r="F135" s="73"/>
    </row>
    <row r="136" spans="1:6" x14ac:dyDescent="0.3">
      <c r="A136" s="73"/>
      <c r="B136" s="73"/>
      <c r="C136" s="73"/>
      <c r="D136" s="73"/>
      <c r="E136" s="76"/>
      <c r="F136" s="73"/>
    </row>
    <row r="137" spans="1:6" x14ac:dyDescent="0.3">
      <c r="A137" s="73"/>
      <c r="B137" s="73"/>
      <c r="C137" s="73"/>
      <c r="D137" s="73"/>
      <c r="E137" s="76"/>
      <c r="F137" s="73"/>
    </row>
  </sheetData>
  <mergeCells count="16">
    <mergeCell ref="C4:D4"/>
    <mergeCell ref="C5:D5"/>
    <mergeCell ref="C6:D6"/>
    <mergeCell ref="E72:H72"/>
    <mergeCell ref="E73:H73"/>
    <mergeCell ref="E71:H71"/>
    <mergeCell ref="B112:I112"/>
    <mergeCell ref="B113:I113"/>
    <mergeCell ref="E79:H79"/>
    <mergeCell ref="B48:I48"/>
    <mergeCell ref="B49:I49"/>
    <mergeCell ref="E74:H74"/>
    <mergeCell ref="E78:H78"/>
    <mergeCell ref="E75:H75"/>
    <mergeCell ref="E76:H76"/>
    <mergeCell ref="E77:H77"/>
  </mergeCells>
  <conditionalFormatting sqref="D96 G98:G100 G102:G104 G106:G108">
    <cfRule type="cellIs" dxfId="51" priority="55" operator="equal">
      <formula>"OK"</formula>
    </cfRule>
    <cfRule type="cellIs" dxfId="50" priority="56" operator="equal">
      <formula>"ERROR"</formula>
    </cfRule>
  </conditionalFormatting>
  <conditionalFormatting sqref="F4">
    <cfRule type="cellIs" dxfId="49" priority="7" operator="equal">
      <formula>"OK"</formula>
    </cfRule>
    <cfRule type="cellIs" dxfId="48" priority="8" operator="equal">
      <formula>"ERROR"</formula>
    </cfRule>
  </conditionalFormatting>
  <conditionalFormatting sqref="F5">
    <cfRule type="cellIs" dxfId="47" priority="5" operator="equal">
      <formula>"OK"</formula>
    </cfRule>
    <cfRule type="cellIs" dxfId="46" priority="6" operator="equal">
      <formula>"ERROR"</formula>
    </cfRule>
  </conditionalFormatting>
  <conditionalFormatting sqref="F6">
    <cfRule type="cellIs" dxfId="45" priority="3" operator="equal">
      <formula>"OK"</formula>
    </cfRule>
    <cfRule type="cellIs" dxfId="44" priority="4" operator="equal">
      <formula>"ERROR"</formula>
    </cfRule>
  </conditionalFormatting>
  <conditionalFormatting sqref="F5">
    <cfRule type="cellIs" dxfId="43" priority="1" operator="equal">
      <formula>"OK"</formula>
    </cfRule>
    <cfRule type="cellIs" dxfId="42" priority="2" operator="equal">
      <formula>"ERROR"</formula>
    </cfRule>
  </conditionalFormatting>
  <dataValidations disablePrompts="1"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0"/>
  <sheetViews>
    <sheetView zoomScaleNormal="100" workbookViewId="0"/>
  </sheetViews>
  <sheetFormatPr defaultColWidth="8.85546875" defaultRowHeight="15.75" x14ac:dyDescent="0.3"/>
  <cols>
    <col min="1" max="1" width="8" style="44" customWidth="1"/>
    <col min="2" max="2" width="58.7109375" style="2" customWidth="1"/>
    <col min="3" max="4" width="14.85546875" style="2" customWidth="1"/>
    <col min="5" max="5" width="14.85546875" style="38" customWidth="1"/>
    <col min="6" max="6" width="14.85546875" style="2" customWidth="1"/>
    <col min="7" max="7" width="62.140625" style="2" customWidth="1"/>
    <col min="8" max="11" width="10" style="2" customWidth="1"/>
  </cols>
  <sheetData>
    <row r="1" spans="1:8" ht="21.75" x14ac:dyDescent="0.3">
      <c r="A1" s="331"/>
      <c r="B1" s="6" t="s">
        <v>937</v>
      </c>
      <c r="C1" s="1"/>
      <c r="D1" s="1"/>
      <c r="E1" s="45"/>
      <c r="F1" s="1"/>
      <c r="H1" s="10"/>
    </row>
    <row r="2" spans="1:8" ht="22.5" thickBot="1" x14ac:dyDescent="0.35">
      <c r="A2" s="331"/>
      <c r="B2" s="5"/>
      <c r="C2" s="8"/>
      <c r="D2" s="8"/>
      <c r="H2" s="10"/>
    </row>
    <row r="3" spans="1:8" ht="22.5" thickBot="1" x14ac:dyDescent="0.35">
      <c r="A3" s="331"/>
      <c r="B3" s="5" t="s">
        <v>1</v>
      </c>
      <c r="C3" s="8"/>
      <c r="D3" s="8"/>
      <c r="F3" s="394" t="s">
        <v>385</v>
      </c>
      <c r="H3" s="10"/>
    </row>
    <row r="4" spans="1:8" x14ac:dyDescent="0.3">
      <c r="B4" s="354" t="s">
        <v>471</v>
      </c>
      <c r="C4" s="711" t="s">
        <v>540</v>
      </c>
      <c r="D4" s="712"/>
      <c r="F4" s="395" t="str">
        <f>IF(ROUND(C10,3)-ROUND(F60+F61,3)=0,"OK","ERROR")</f>
        <v>OK</v>
      </c>
      <c r="G4" s="2" t="s">
        <v>472</v>
      </c>
    </row>
    <row r="5" spans="1:8" ht="16.5" thickBot="1" x14ac:dyDescent="0.35">
      <c r="B5" s="355" t="s">
        <v>388</v>
      </c>
      <c r="C5" s="713">
        <v>43616</v>
      </c>
      <c r="D5" s="714"/>
      <c r="F5" s="396" t="str">
        <f>IF(ROUND(D28,3)-ROUND(F60+F61,3)=0,"OK","ERROR")</f>
        <v>OK</v>
      </c>
      <c r="G5" s="2" t="s">
        <v>473</v>
      </c>
    </row>
    <row r="6" spans="1:8" ht="16.5" thickBot="1" x14ac:dyDescent="0.35">
      <c r="B6" s="356" t="s">
        <v>389</v>
      </c>
      <c r="C6" s="715" t="s">
        <v>932</v>
      </c>
      <c r="D6" s="716"/>
    </row>
    <row r="7" spans="1:8" x14ac:dyDescent="0.3">
      <c r="B7" s="16"/>
      <c r="C7" s="16"/>
      <c r="D7" s="17"/>
    </row>
    <row r="8" spans="1:8" ht="16.5" thickBot="1" x14ac:dyDescent="0.35">
      <c r="B8" s="5" t="s">
        <v>6</v>
      </c>
    </row>
    <row r="9" spans="1:8" x14ac:dyDescent="0.3">
      <c r="B9" s="357" t="s">
        <v>312</v>
      </c>
      <c r="C9" s="360" t="s">
        <v>36</v>
      </c>
      <c r="D9" s="402"/>
    </row>
    <row r="10" spans="1:8" x14ac:dyDescent="0.3">
      <c r="B10" s="358" t="s">
        <v>474</v>
      </c>
      <c r="C10" s="361">
        <f>INDEX(Analysis!L5:L21,MATCH(C9,Analysis!B5:B21,0))</f>
        <v>4.2349999999999994</v>
      </c>
      <c r="D10" s="5"/>
    </row>
    <row r="11" spans="1:8" x14ac:dyDescent="0.3">
      <c r="B11" s="358" t="s">
        <v>475</v>
      </c>
      <c r="C11" s="361">
        <v>0</v>
      </c>
      <c r="D11" s="15"/>
      <c r="E11" s="63"/>
      <c r="G11" s="15"/>
    </row>
    <row r="12" spans="1:8" x14ac:dyDescent="0.3">
      <c r="B12" s="358" t="s">
        <v>476</v>
      </c>
      <c r="C12" s="362">
        <f>C10+C11</f>
        <v>4.2349999999999994</v>
      </c>
      <c r="D12" s="15"/>
      <c r="E12" s="63"/>
      <c r="G12" s="15"/>
    </row>
    <row r="13" spans="1:8" x14ac:dyDescent="0.3">
      <c r="B13" s="358" t="s">
        <v>477</v>
      </c>
      <c r="C13" s="362">
        <v>0</v>
      </c>
      <c r="D13" s="15"/>
      <c r="E13" s="63"/>
      <c r="G13" s="15"/>
    </row>
    <row r="14" spans="1:8" ht="16.5" thickBot="1" x14ac:dyDescent="0.35">
      <c r="B14" s="359" t="s">
        <v>478</v>
      </c>
      <c r="C14" s="363">
        <f ca="1">F28</f>
        <v>2.4003775718742246</v>
      </c>
      <c r="D14" s="15"/>
      <c r="E14" s="63"/>
      <c r="G14" s="15"/>
    </row>
    <row r="15" spans="1:8" x14ac:dyDescent="0.3">
      <c r="B15" s="337"/>
      <c r="C15" s="15"/>
      <c r="D15" s="15"/>
      <c r="E15" s="63"/>
      <c r="G15" s="15"/>
    </row>
    <row r="16" spans="1:8" ht="16.5" thickBot="1" x14ac:dyDescent="0.35">
      <c r="B16" s="5" t="s">
        <v>391</v>
      </c>
      <c r="C16" s="82"/>
    </row>
    <row r="17" spans="1:11" ht="16.5" thickBot="1" x14ac:dyDescent="0.35">
      <c r="B17" s="364" t="s">
        <v>479</v>
      </c>
      <c r="C17" s="365">
        <f ca="1">C13+C14</f>
        <v>2.4003775718742246</v>
      </c>
      <c r="D17" s="5"/>
    </row>
    <row r="18" spans="1:11" x14ac:dyDescent="0.3">
      <c r="H18"/>
      <c r="I18"/>
      <c r="J18"/>
      <c r="K18"/>
    </row>
    <row r="19" spans="1:11" ht="16.5" thickBot="1" x14ac:dyDescent="0.35">
      <c r="B19" s="172" t="s">
        <v>480</v>
      </c>
      <c r="C19" s="35"/>
      <c r="D19" s="16"/>
      <c r="E19" s="22"/>
      <c r="F19" s="40"/>
      <c r="G19" s="64"/>
      <c r="H19"/>
      <c r="I19"/>
      <c r="J19"/>
      <c r="K19"/>
    </row>
    <row r="20" spans="1:11" ht="45" x14ac:dyDescent="0.3">
      <c r="A20" s="372" t="s">
        <v>481</v>
      </c>
      <c r="B20" s="373" t="s">
        <v>482</v>
      </c>
      <c r="C20" s="382" t="s">
        <v>483</v>
      </c>
      <c r="D20" s="382" t="s">
        <v>484</v>
      </c>
      <c r="E20" s="382" t="s">
        <v>485</v>
      </c>
      <c r="F20" s="382" t="s">
        <v>486</v>
      </c>
      <c r="G20" s="470" t="s">
        <v>340</v>
      </c>
      <c r="H20"/>
      <c r="I20"/>
      <c r="J20"/>
      <c r="K20"/>
    </row>
    <row r="21" spans="1:11" x14ac:dyDescent="0.3">
      <c r="A21" s="374">
        <v>1</v>
      </c>
      <c r="B21" s="166" t="s">
        <v>411</v>
      </c>
      <c r="C21" s="367">
        <f>SUM(C22:C23)</f>
        <v>0.19000000000000039</v>
      </c>
      <c r="D21" s="367">
        <f>SUM(D22:D23)</f>
        <v>6.0000000000000053E-3</v>
      </c>
      <c r="E21" s="367">
        <v>0.19</v>
      </c>
      <c r="F21" s="368">
        <f ca="1">E21*MIN(C31,D31)</f>
        <v>5.9999999999999941E-3</v>
      </c>
      <c r="G21" s="471" t="s">
        <v>948</v>
      </c>
      <c r="H21"/>
      <c r="I21"/>
      <c r="J21"/>
      <c r="K21"/>
    </row>
    <row r="22" spans="1:11" x14ac:dyDescent="0.3">
      <c r="A22" s="374" t="s">
        <v>487</v>
      </c>
      <c r="B22" s="166" t="s">
        <v>408</v>
      </c>
      <c r="C22" s="384"/>
      <c r="D22" s="385"/>
      <c r="E22" s="371"/>
      <c r="F22" s="371"/>
      <c r="G22" s="619"/>
      <c r="H22"/>
      <c r="I22"/>
      <c r="J22"/>
      <c r="K22"/>
    </row>
    <row r="23" spans="1:11" ht="30" x14ac:dyDescent="0.3">
      <c r="A23" s="374" t="s">
        <v>488</v>
      </c>
      <c r="B23" s="166" t="s">
        <v>409</v>
      </c>
      <c r="C23" s="367">
        <f>D70-C24</f>
        <v>0.19000000000000039</v>
      </c>
      <c r="D23" s="367">
        <f>F69-0.749</f>
        <v>6.0000000000000053E-3</v>
      </c>
      <c r="E23" s="371"/>
      <c r="F23" s="371"/>
      <c r="G23" s="472" t="s">
        <v>690</v>
      </c>
      <c r="H23"/>
      <c r="I23"/>
      <c r="J23"/>
      <c r="K23"/>
    </row>
    <row r="24" spans="1:11" ht="165" x14ac:dyDescent="0.3">
      <c r="A24" s="374">
        <v>2</v>
      </c>
      <c r="B24" s="166" t="s">
        <v>412</v>
      </c>
      <c r="C24" s="405">
        <v>6.5</v>
      </c>
      <c r="D24" s="405">
        <f>F68+0.749</f>
        <v>4.2289999999999992</v>
      </c>
      <c r="E24" s="371"/>
      <c r="F24" s="368">
        <f ca="1">INDEX('Leakage assessment'!B5:B21,MATCH(B58,'Leakage assessment'!A5:A21,0))</f>
        <v>2.3943775718742248</v>
      </c>
      <c r="G24" s="472" t="s">
        <v>1030</v>
      </c>
      <c r="H24"/>
      <c r="I24" s="308"/>
      <c r="J24"/>
      <c r="K24"/>
    </row>
    <row r="25" spans="1:11" x14ac:dyDescent="0.3">
      <c r="A25" s="374">
        <v>3</v>
      </c>
      <c r="B25" s="166" t="s">
        <v>413</v>
      </c>
      <c r="C25" s="371"/>
      <c r="D25" s="370">
        <v>0</v>
      </c>
      <c r="E25" s="371"/>
      <c r="F25" s="367">
        <v>0</v>
      </c>
      <c r="G25" s="472" t="s">
        <v>489</v>
      </c>
      <c r="H25"/>
      <c r="I25"/>
      <c r="J25"/>
      <c r="K25"/>
    </row>
    <row r="26" spans="1:11" x14ac:dyDescent="0.3">
      <c r="A26" s="374">
        <v>4</v>
      </c>
      <c r="B26" s="166" t="s">
        <v>415</v>
      </c>
      <c r="C26" s="371"/>
      <c r="D26" s="370">
        <v>0</v>
      </c>
      <c r="E26" s="371"/>
      <c r="F26" s="367">
        <v>0</v>
      </c>
      <c r="G26" s="474" t="s">
        <v>489</v>
      </c>
      <c r="H26"/>
      <c r="I26"/>
      <c r="J26"/>
      <c r="K26"/>
    </row>
    <row r="27" spans="1:11" ht="16.5" thickBot="1" x14ac:dyDescent="0.35">
      <c r="A27" s="375">
        <v>5</v>
      </c>
      <c r="B27" s="376" t="s">
        <v>416</v>
      </c>
      <c r="C27" s="377"/>
      <c r="D27" s="378">
        <v>0</v>
      </c>
      <c r="E27" s="377"/>
      <c r="F27" s="378">
        <v>0</v>
      </c>
      <c r="G27" s="475" t="s">
        <v>489</v>
      </c>
      <c r="H27"/>
      <c r="I27"/>
      <c r="J27"/>
      <c r="K27"/>
    </row>
    <row r="28" spans="1:11" ht="16.5" thickBot="1" x14ac:dyDescent="0.35">
      <c r="B28" s="379" t="s">
        <v>313</v>
      </c>
      <c r="C28" s="380">
        <f>SUM(C21,C24)</f>
        <v>6.69</v>
      </c>
      <c r="D28" s="380">
        <f>SUM(D22:D27)</f>
        <v>4.2349999999999994</v>
      </c>
      <c r="E28" s="380">
        <f>SUM(E21)</f>
        <v>0.19</v>
      </c>
      <c r="F28" s="380">
        <f ca="1">SUM(F21:F27)</f>
        <v>2.4003775718742246</v>
      </c>
      <c r="G28" s="408"/>
      <c r="H28"/>
      <c r="I28"/>
      <c r="J28"/>
      <c r="K28"/>
    </row>
    <row r="29" spans="1:11" x14ac:dyDescent="0.3">
      <c r="B29" s="71"/>
      <c r="C29" s="318"/>
      <c r="D29" s="318"/>
      <c r="E29" s="317"/>
      <c r="F29" s="318"/>
      <c r="G29" s="70"/>
      <c r="H29"/>
      <c r="I29"/>
      <c r="J29"/>
      <c r="K29"/>
    </row>
    <row r="30" spans="1:11" ht="30.75" thickBot="1" x14ac:dyDescent="0.35">
      <c r="B30" s="172" t="s">
        <v>490</v>
      </c>
      <c r="C30" s="386" t="s">
        <v>491</v>
      </c>
      <c r="D30" s="386" t="s">
        <v>492</v>
      </c>
      <c r="E30" s="319"/>
      <c r="F30" s="320"/>
      <c r="G30" s="70"/>
      <c r="H30" s="71"/>
      <c r="I30" s="71"/>
      <c r="J30" s="233"/>
      <c r="K30" s="211"/>
    </row>
    <row r="31" spans="1:11" x14ac:dyDescent="0.3">
      <c r="B31" s="387" t="s">
        <v>418</v>
      </c>
      <c r="C31" s="388">
        <f>IFERROR(D21/C21,0)</f>
        <v>3.1578947368421019E-2</v>
      </c>
      <c r="D31" s="389">
        <f ca="1">'Unit costs'!B3</f>
        <v>1.2</v>
      </c>
      <c r="E31" s="319"/>
      <c r="F31" s="320"/>
      <c r="G31" s="65"/>
      <c r="H31" s="16"/>
      <c r="I31" s="16"/>
      <c r="J31" s="209"/>
      <c r="K31" s="209"/>
    </row>
    <row r="32" spans="1:11" ht="16.5" thickBot="1" x14ac:dyDescent="0.35">
      <c r="B32" s="390" t="s">
        <v>420</v>
      </c>
      <c r="C32" s="391">
        <f>D24/C24</f>
        <v>0.65061538461538448</v>
      </c>
      <c r="D32" s="392">
        <f ca="1">'Unit costs'!B4</f>
        <v>2.0302304832713758</v>
      </c>
      <c r="E32" s="319"/>
      <c r="F32" s="320"/>
      <c r="G32" s="65"/>
      <c r="H32" s="16"/>
      <c r="I32" s="16"/>
      <c r="J32" s="212"/>
      <c r="K32" s="213"/>
    </row>
    <row r="33" spans="1:11" ht="16.5" thickBot="1" x14ac:dyDescent="0.35">
      <c r="B33" s="16"/>
      <c r="C33" s="182"/>
      <c r="D33" s="182"/>
      <c r="E33" s="319"/>
      <c r="F33" s="320"/>
      <c r="G33" s="65"/>
      <c r="H33" s="16"/>
      <c r="I33" s="16"/>
      <c r="J33" s="212"/>
      <c r="K33" s="213"/>
    </row>
    <row r="34" spans="1:11" ht="16.5" thickBot="1" x14ac:dyDescent="0.35">
      <c r="B34" s="393" t="s">
        <v>747</v>
      </c>
      <c r="C34" s="433">
        <v>0.1</v>
      </c>
      <c r="D34" s="339"/>
      <c r="E34" s="319"/>
      <c r="F34" s="320"/>
      <c r="G34" s="70"/>
      <c r="H34" s="16"/>
      <c r="I34" s="71"/>
      <c r="J34" s="215"/>
      <c r="K34" s="213"/>
    </row>
    <row r="35" spans="1:11" x14ac:dyDescent="0.3">
      <c r="B35" s="20"/>
      <c r="C35" s="69"/>
      <c r="D35" s="16"/>
      <c r="E35" s="22"/>
      <c r="F35" s="16"/>
      <c r="G35" s="70"/>
      <c r="H35" s="16"/>
      <c r="I35" s="71"/>
      <c r="J35" s="217"/>
      <c r="K35" s="218"/>
    </row>
    <row r="36" spans="1:11" x14ac:dyDescent="0.3">
      <c r="B36" s="66" t="s">
        <v>303</v>
      </c>
      <c r="J36" s="217"/>
      <c r="K36" s="218"/>
    </row>
    <row r="37" spans="1:11" x14ac:dyDescent="0.3">
      <c r="A37" s="331">
        <v>1</v>
      </c>
      <c r="B37" s="335" t="s">
        <v>411</v>
      </c>
      <c r="C37" s="401"/>
      <c r="D37" s="401"/>
      <c r="E37" s="401"/>
      <c r="F37" s="401"/>
      <c r="G37" s="401"/>
      <c r="H37" s="401"/>
      <c r="J37" s="217"/>
      <c r="K37" s="218"/>
    </row>
    <row r="38" spans="1:11" x14ac:dyDescent="0.3">
      <c r="C38" s="401"/>
      <c r="D38" s="401"/>
      <c r="E38" s="401"/>
      <c r="F38" s="401"/>
      <c r="G38" s="401"/>
      <c r="H38" s="401"/>
      <c r="J38" s="217"/>
      <c r="K38" s="218"/>
    </row>
    <row r="39" spans="1:11" x14ac:dyDescent="0.3">
      <c r="A39" s="44" t="s">
        <v>487</v>
      </c>
      <c r="B39" s="335" t="s">
        <v>408</v>
      </c>
      <c r="J39" s="215"/>
      <c r="K39" s="218"/>
    </row>
    <row r="40" spans="1:11" x14ac:dyDescent="0.3">
      <c r="A40" s="331"/>
      <c r="B40" s="717"/>
      <c r="C40" s="717"/>
      <c r="D40" s="717"/>
      <c r="E40" s="717"/>
      <c r="F40" s="717"/>
      <c r="G40" s="717"/>
      <c r="H40" s="717"/>
      <c r="J40" s="217"/>
      <c r="K40" s="218"/>
    </row>
    <row r="41" spans="1:11" x14ac:dyDescent="0.3">
      <c r="A41" s="331"/>
      <c r="B41" s="70"/>
      <c r="C41" s="401"/>
      <c r="D41" s="401"/>
      <c r="E41" s="401"/>
      <c r="F41" s="401"/>
      <c r="G41" s="401"/>
      <c r="H41" s="401"/>
      <c r="J41" s="217"/>
      <c r="K41" s="218"/>
    </row>
    <row r="42" spans="1:11" x14ac:dyDescent="0.3">
      <c r="A42" s="331" t="s">
        <v>488</v>
      </c>
      <c r="B42" s="335" t="s">
        <v>409</v>
      </c>
      <c r="C42" s="401"/>
      <c r="D42" s="401"/>
      <c r="E42" s="401"/>
      <c r="F42" s="401"/>
      <c r="G42" s="401"/>
      <c r="H42" s="401"/>
      <c r="J42" s="217"/>
      <c r="K42" s="218"/>
    </row>
    <row r="43" spans="1:11" ht="48" customHeight="1" x14ac:dyDescent="0.3">
      <c r="B43" s="719" t="s">
        <v>746</v>
      </c>
      <c r="C43" s="719"/>
      <c r="D43" s="719"/>
      <c r="E43" s="719"/>
      <c r="F43" s="719"/>
      <c r="G43" s="719"/>
      <c r="H43" s="719"/>
      <c r="J43" s="217"/>
      <c r="K43" s="218"/>
    </row>
    <row r="44" spans="1:11" x14ac:dyDescent="0.3">
      <c r="A44" s="331"/>
      <c r="B44" s="70"/>
      <c r="C44" s="401"/>
      <c r="D44" s="401"/>
      <c r="E44" s="401"/>
      <c r="F44" s="401"/>
      <c r="G44" s="401"/>
      <c r="H44" s="401"/>
      <c r="J44" s="217"/>
      <c r="K44" s="218"/>
    </row>
    <row r="45" spans="1:11" x14ac:dyDescent="0.3">
      <c r="A45" s="331">
        <v>2</v>
      </c>
      <c r="B45" s="335" t="s">
        <v>412</v>
      </c>
      <c r="C45" s="401"/>
      <c r="D45" s="401"/>
      <c r="E45" s="401"/>
      <c r="F45" s="401"/>
      <c r="G45" s="401"/>
      <c r="H45" s="401"/>
      <c r="J45" s="217"/>
      <c r="K45" s="218"/>
    </row>
    <row r="46" spans="1:11" ht="41.25" customHeight="1" x14ac:dyDescent="0.3">
      <c r="A46" s="331"/>
      <c r="B46" s="721" t="s">
        <v>691</v>
      </c>
      <c r="C46" s="721"/>
      <c r="D46" s="721"/>
      <c r="E46" s="721"/>
      <c r="F46" s="721"/>
      <c r="G46" s="721"/>
      <c r="H46" s="721"/>
      <c r="J46" s="217"/>
      <c r="K46" s="218"/>
    </row>
    <row r="47" spans="1:11" x14ac:dyDescent="0.3">
      <c r="A47" s="331"/>
      <c r="B47" s="70"/>
      <c r="C47" s="401"/>
      <c r="D47" s="401"/>
      <c r="E47" s="401"/>
      <c r="F47" s="401"/>
      <c r="G47" s="401"/>
      <c r="H47" s="401"/>
      <c r="J47" s="217"/>
      <c r="K47" s="218"/>
    </row>
    <row r="48" spans="1:11" x14ac:dyDescent="0.3">
      <c r="A48" s="331">
        <v>3</v>
      </c>
      <c r="B48" s="335" t="s">
        <v>413</v>
      </c>
      <c r="C48" s="401"/>
      <c r="D48" s="401"/>
      <c r="E48" s="401"/>
      <c r="F48" s="401"/>
      <c r="G48" s="401"/>
      <c r="H48" s="401"/>
      <c r="J48" s="217"/>
      <c r="K48" s="218"/>
    </row>
    <row r="49" spans="1:11" x14ac:dyDescent="0.3">
      <c r="A49" s="331"/>
      <c r="B49" s="70"/>
      <c r="C49" s="401"/>
      <c r="D49" s="401"/>
      <c r="E49" s="401"/>
      <c r="F49" s="401"/>
      <c r="G49" s="401"/>
      <c r="H49" s="401"/>
      <c r="J49" s="217"/>
      <c r="K49" s="218"/>
    </row>
    <row r="50" spans="1:11" x14ac:dyDescent="0.3">
      <c r="A50" s="331"/>
      <c r="B50" s="70"/>
      <c r="C50" s="401"/>
      <c r="D50" s="401"/>
      <c r="E50" s="401"/>
      <c r="F50" s="401"/>
      <c r="G50" s="401"/>
      <c r="H50" s="401"/>
      <c r="J50" s="217"/>
      <c r="K50" s="218"/>
    </row>
    <row r="51" spans="1:11" x14ac:dyDescent="0.3">
      <c r="A51" s="338">
        <v>4</v>
      </c>
      <c r="B51" s="328" t="s">
        <v>415</v>
      </c>
      <c r="C51" s="73"/>
      <c r="D51" s="73"/>
      <c r="E51" s="76"/>
      <c r="F51" s="4"/>
      <c r="G51" s="4"/>
      <c r="H51" s="4"/>
      <c r="J51" s="212"/>
      <c r="K51" s="218"/>
    </row>
    <row r="52" spans="1:11" x14ac:dyDescent="0.3">
      <c r="A52" s="338"/>
      <c r="B52" s="718"/>
      <c r="C52" s="718"/>
      <c r="D52" s="718"/>
      <c r="E52" s="718"/>
      <c r="F52" s="718"/>
      <c r="G52" s="718"/>
      <c r="H52" s="718"/>
      <c r="I52" s="21"/>
      <c r="J52" s="215"/>
      <c r="K52" s="218"/>
    </row>
    <row r="53" spans="1:11" x14ac:dyDescent="0.3">
      <c r="B53" s="180"/>
      <c r="C53" s="180"/>
      <c r="D53" s="180"/>
      <c r="E53" s="180"/>
      <c r="F53" s="180"/>
      <c r="G53" s="180"/>
      <c r="H53" s="180"/>
      <c r="J53" s="217"/>
      <c r="K53" s="218"/>
    </row>
    <row r="54" spans="1:11" x14ac:dyDescent="0.3">
      <c r="A54" s="338">
        <v>5</v>
      </c>
      <c r="B54" s="328" t="str">
        <f>B27</f>
        <v>Investigations and future planning</v>
      </c>
      <c r="C54" s="400"/>
      <c r="D54" s="400"/>
      <c r="E54" s="400"/>
      <c r="F54" s="400"/>
      <c r="G54" s="400"/>
      <c r="H54" s="400"/>
      <c r="I54" s="21"/>
      <c r="J54" s="215"/>
      <c r="K54" s="218"/>
    </row>
    <row r="55" spans="1:11" x14ac:dyDescent="0.3">
      <c r="A55" s="338"/>
      <c r="B55" s="70"/>
      <c r="C55" s="400"/>
      <c r="D55" s="400"/>
      <c r="E55" s="400"/>
      <c r="F55" s="400"/>
      <c r="G55" s="400"/>
      <c r="H55" s="400"/>
      <c r="I55" s="21"/>
      <c r="J55" s="215"/>
      <c r="K55" s="218"/>
    </row>
    <row r="56" spans="1:11" x14ac:dyDescent="0.3">
      <c r="A56" s="338"/>
      <c r="B56" s="70"/>
      <c r="C56" s="400"/>
      <c r="D56" s="400"/>
      <c r="E56" s="400"/>
      <c r="F56" s="400"/>
      <c r="G56" s="400"/>
      <c r="H56" s="400"/>
      <c r="I56" s="21"/>
      <c r="J56" s="215"/>
      <c r="K56" s="218"/>
    </row>
    <row r="57" spans="1:11" x14ac:dyDescent="0.3">
      <c r="A57" s="44">
        <v>6</v>
      </c>
      <c r="B57" s="328" t="s">
        <v>494</v>
      </c>
      <c r="C57" s="180"/>
      <c r="D57" s="180"/>
      <c r="E57" s="180"/>
      <c r="F57" s="180"/>
      <c r="G57" s="180"/>
      <c r="H57" s="180"/>
      <c r="J57" s="217"/>
      <c r="K57" s="218"/>
    </row>
    <row r="58" spans="1:11" ht="16.5" thickBot="1" x14ac:dyDescent="0.35">
      <c r="B58" s="2" t="str">
        <f>C9</f>
        <v>BRL</v>
      </c>
      <c r="E58" s="43"/>
      <c r="J58" s="217"/>
      <c r="K58" s="218"/>
    </row>
    <row r="59" spans="1:11" x14ac:dyDescent="0.3">
      <c r="B59" s="153" t="s">
        <v>495</v>
      </c>
      <c r="C59" s="154"/>
      <c r="D59" s="156" t="s">
        <v>393</v>
      </c>
      <c r="E59" s="158" t="s">
        <v>394</v>
      </c>
      <c r="F59" s="68" t="s">
        <v>395</v>
      </c>
      <c r="G59" s="340" t="s">
        <v>385</v>
      </c>
      <c r="J59" s="215"/>
      <c r="K59" s="218"/>
    </row>
    <row r="60" spans="1:11" x14ac:dyDescent="0.3">
      <c r="B60" s="85" t="s">
        <v>396</v>
      </c>
      <c r="C60" s="71" t="s">
        <v>25</v>
      </c>
      <c r="D60" s="175">
        <f t="shared" ref="D60:F61" si="0">D64+D68</f>
        <v>3.4799999999999995</v>
      </c>
      <c r="E60" s="175">
        <f t="shared" si="0"/>
        <v>0</v>
      </c>
      <c r="F60" s="240">
        <f t="shared" si="0"/>
        <v>3.4799999999999995</v>
      </c>
      <c r="G60" s="36" t="str">
        <f>IF(ABS(SUM(D60,E60)-F60)&lt;0.001,"OK","ERROR")</f>
        <v>OK</v>
      </c>
      <c r="J60" s="217"/>
      <c r="K60" s="218"/>
    </row>
    <row r="61" spans="1:11" x14ac:dyDescent="0.3">
      <c r="B61" s="155" t="s">
        <v>397</v>
      </c>
      <c r="C61" s="71" t="s">
        <v>25</v>
      </c>
      <c r="D61" s="175">
        <f t="shared" si="0"/>
        <v>0.755</v>
      </c>
      <c r="E61" s="175">
        <f t="shared" si="0"/>
        <v>0</v>
      </c>
      <c r="F61" s="240">
        <f t="shared" si="0"/>
        <v>0.755</v>
      </c>
      <c r="G61" s="36" t="str">
        <f>IF(ABS(SUM(D61,E61)-F61)&lt;0.001,"OK","ERROR")</f>
        <v>OK</v>
      </c>
      <c r="J61" s="217"/>
      <c r="K61" s="218"/>
    </row>
    <row r="62" spans="1:11" x14ac:dyDescent="0.3">
      <c r="B62" s="85" t="s">
        <v>398</v>
      </c>
      <c r="C62" s="71" t="s">
        <v>93</v>
      </c>
      <c r="D62" s="175">
        <f>D66+D70</f>
        <v>6.69</v>
      </c>
      <c r="E62" s="175" t="s">
        <v>341</v>
      </c>
      <c r="F62" s="175">
        <f>D62</f>
        <v>6.69</v>
      </c>
      <c r="G62" s="36" t="str">
        <f>IF(ABS(SUM(D62,E62)-F62)&lt;0.001,"OK","ERROR")</f>
        <v>OK</v>
      </c>
      <c r="J62" s="211"/>
      <c r="K62" s="211"/>
    </row>
    <row r="63" spans="1:11" x14ac:dyDescent="0.3">
      <c r="B63" s="34"/>
      <c r="C63" s="16"/>
      <c r="D63" s="177"/>
      <c r="E63" s="177"/>
      <c r="F63" s="177"/>
      <c r="G63" s="36"/>
      <c r="J63" s="211"/>
      <c r="K63" s="211"/>
    </row>
    <row r="64" spans="1:11" x14ac:dyDescent="0.3">
      <c r="B64" s="85" t="s">
        <v>399</v>
      </c>
      <c r="C64" s="71" t="s">
        <v>25</v>
      </c>
      <c r="D64" s="175">
        <f>INDEX(Analysis!H$101:H$117,MATCH($B$58,Analysis!$B$101:$B$117,0))</f>
        <v>0</v>
      </c>
      <c r="E64" s="175">
        <f>INDEX(Analysis!I$101:I$117,MATCH($B$58,Analysis!$B$101:$B$117,0))</f>
        <v>0</v>
      </c>
      <c r="F64" s="175">
        <f>SUM(D64:E64)</f>
        <v>0</v>
      </c>
      <c r="G64" s="36" t="str">
        <f>IF(ABS(SUM(D64,E64)-F64)&lt;0.001,"OK","ERROR")</f>
        <v>OK</v>
      </c>
      <c r="J64" s="211"/>
      <c r="K64" s="211"/>
    </row>
    <row r="65" spans="1:11" x14ac:dyDescent="0.3">
      <c r="A65" s="223"/>
      <c r="B65" s="155" t="s">
        <v>400</v>
      </c>
      <c r="C65" s="157" t="s">
        <v>25</v>
      </c>
      <c r="D65" s="176">
        <f>INDEX(Analysis!H$150:H$166,MATCH($B$58,Analysis!$B$150:$B$166,0))</f>
        <v>0</v>
      </c>
      <c r="E65" s="176">
        <f>INDEX(Analysis!I$150:I$166,MATCH($B$58,Analysis!$B$150:$B$166,0))</f>
        <v>0</v>
      </c>
      <c r="F65" s="175">
        <f>SUM(D65:E65)</f>
        <v>0</v>
      </c>
      <c r="G65" s="36" t="str">
        <f>IF(ABS(SUM(D65,E65)-F65)&lt;0.001,"OK","ERROR")</f>
        <v>OK</v>
      </c>
      <c r="J65" s="211"/>
      <c r="K65" s="211"/>
    </row>
    <row r="66" spans="1:11" x14ac:dyDescent="0.3">
      <c r="A66" s="223"/>
      <c r="B66" s="85" t="s">
        <v>401</v>
      </c>
      <c r="C66" s="71" t="s">
        <v>93</v>
      </c>
      <c r="D66" s="175">
        <f>INDEX(Analysis!$H$26:$H$42,MATCH($B$58,Analysis!$B$26:$B$42,0))</f>
        <v>0</v>
      </c>
      <c r="E66" s="175" t="s">
        <v>341</v>
      </c>
      <c r="F66" s="175">
        <f>D66</f>
        <v>0</v>
      </c>
      <c r="G66" s="36" t="str">
        <f>IF(ABS(SUM(D66,E66)-F66)&lt;0.001,"OK","ERROR")</f>
        <v>OK</v>
      </c>
      <c r="J66" s="211"/>
      <c r="K66" s="211"/>
    </row>
    <row r="67" spans="1:11" x14ac:dyDescent="0.3">
      <c r="A67" s="223"/>
      <c r="B67" s="34"/>
      <c r="C67" s="16"/>
      <c r="D67" s="177"/>
      <c r="E67" s="177"/>
      <c r="F67" s="177"/>
      <c r="G67" s="36"/>
      <c r="J67" s="211"/>
      <c r="K67" s="211"/>
    </row>
    <row r="68" spans="1:11" x14ac:dyDescent="0.3">
      <c r="A68" s="223"/>
      <c r="B68" s="85" t="s">
        <v>402</v>
      </c>
      <c r="C68" s="71" t="s">
        <v>403</v>
      </c>
      <c r="D68" s="175">
        <f>INDEX(Analysis!H$125:H$141,MATCH($B$58,Analysis!$B$125:$B$141,0))</f>
        <v>3.4799999999999995</v>
      </c>
      <c r="E68" s="175">
        <f>INDEX(Analysis!I$125:I$141,MATCH($B$58,Analysis!$B$125:$B$141,0))</f>
        <v>0</v>
      </c>
      <c r="F68" s="175">
        <f>SUM(D68:E68)</f>
        <v>3.4799999999999995</v>
      </c>
      <c r="G68" s="36" t="str">
        <f>IF(ABS(SUM(D68,E68)-F68)&lt;0.001,"OK","ERROR")</f>
        <v>OK</v>
      </c>
      <c r="J68" s="211"/>
      <c r="K68" s="211"/>
    </row>
    <row r="69" spans="1:11" x14ac:dyDescent="0.3">
      <c r="A69" s="223"/>
      <c r="B69" s="155" t="s">
        <v>404</v>
      </c>
      <c r="C69" s="71" t="s">
        <v>403</v>
      </c>
      <c r="D69" s="176">
        <f>INDEX(Analysis!H$175:H$191,MATCH($B$58,Analysis!$B$175:$B$191,0))</f>
        <v>0.755</v>
      </c>
      <c r="E69" s="176">
        <f>INDEX(Analysis!I$175:I$191,MATCH($B$58,Analysis!$B$175:$B$191,0))</f>
        <v>0</v>
      </c>
      <c r="F69" s="175">
        <f>SUM(D69:E69)</f>
        <v>0.755</v>
      </c>
      <c r="G69" s="36" t="str">
        <f>IF(ABS(SUM(D69,E69)-F69)&lt;0.001,"OK","ERROR")</f>
        <v>OK</v>
      </c>
      <c r="J69" s="211"/>
      <c r="K69" s="211"/>
    </row>
    <row r="70" spans="1:11" ht="16.5" thickBot="1" x14ac:dyDescent="0.35">
      <c r="A70" s="223"/>
      <c r="B70" s="151" t="s">
        <v>405</v>
      </c>
      <c r="C70" s="74" t="s">
        <v>93</v>
      </c>
      <c r="D70" s="178">
        <f>INDEX(Analysis!$H$51:$H$67,MATCH($B$58,Analysis!$B$51:$B$67,0))</f>
        <v>6.69</v>
      </c>
      <c r="E70" s="178" t="s">
        <v>341</v>
      </c>
      <c r="F70" s="178">
        <f>D70</f>
        <v>6.69</v>
      </c>
      <c r="G70" s="37" t="str">
        <f>IF(ABS(SUM(D70,E70)-F70)&lt;0.001,"OK","ERROR")</f>
        <v>OK</v>
      </c>
      <c r="J70" s="211"/>
      <c r="K70" s="211"/>
    </row>
  </sheetData>
  <mergeCells count="7">
    <mergeCell ref="B40:H40"/>
    <mergeCell ref="B52:H52"/>
    <mergeCell ref="B43:H43"/>
    <mergeCell ref="B46:H46"/>
    <mergeCell ref="C4:D4"/>
    <mergeCell ref="C5:D5"/>
    <mergeCell ref="C6:D6"/>
  </mergeCells>
  <conditionalFormatting sqref="D58 G60:G62 G64:G66 G68:G70">
    <cfRule type="cellIs" dxfId="41" priority="11" operator="equal">
      <formula>"OK"</formula>
    </cfRule>
    <cfRule type="cellIs" dxfId="40" priority="12" operator="equal">
      <formula>"ERROR"</formula>
    </cfRule>
  </conditionalFormatting>
  <conditionalFormatting sqref="F4">
    <cfRule type="cellIs" dxfId="39" priority="7" operator="equal">
      <formula>"OK"</formula>
    </cfRule>
    <cfRule type="cellIs" dxfId="38" priority="8" operator="equal">
      <formula>"ERROR"</formula>
    </cfRule>
  </conditionalFormatting>
  <conditionalFormatting sqref="F5">
    <cfRule type="cellIs" dxfId="37" priority="5" operator="equal">
      <formula>"OK"</formula>
    </cfRule>
    <cfRule type="cellIs" dxfId="36" priority="6" operator="equal">
      <formula>"ERROR"</formula>
    </cfRule>
  </conditionalFormatting>
  <conditionalFormatting sqref="F6">
    <cfRule type="cellIs" dxfId="35" priority="3" operator="equal">
      <formula>"OK"</formula>
    </cfRule>
    <cfRule type="cellIs" dxfId="34" priority="4" operator="equal">
      <formula>"ERROR"</formula>
    </cfRule>
  </conditionalFormatting>
  <conditionalFormatting sqref="F5">
    <cfRule type="cellIs" dxfId="33" priority="1" operator="equal">
      <formula>"OK"</formula>
    </cfRule>
    <cfRule type="cellIs" dxfId="32"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72"/>
  <sheetViews>
    <sheetView zoomScaleNormal="100" workbookViewId="0"/>
  </sheetViews>
  <sheetFormatPr defaultColWidth="8.7109375" defaultRowHeight="15" x14ac:dyDescent="0.3"/>
  <cols>
    <col min="1" max="1" width="7" style="46" customWidth="1"/>
    <col min="2" max="2" width="67.85546875" style="46" customWidth="1"/>
    <col min="3" max="4" width="20" style="46" customWidth="1"/>
    <col min="5" max="5" width="14" style="48" customWidth="1"/>
    <col min="6" max="6" width="16" style="46" customWidth="1"/>
    <col min="7" max="7" width="64.28515625" style="46" customWidth="1"/>
    <col min="8" max="9" width="12.7109375" style="46" customWidth="1"/>
    <col min="10" max="10" width="10.7109375" style="46" customWidth="1"/>
    <col min="11" max="13" width="8.28515625" style="46" customWidth="1"/>
    <col min="14" max="16384" width="8.7109375" style="46"/>
  </cols>
  <sheetData>
    <row r="1" spans="2:9" s="4" customFormat="1" ht="21.75" x14ac:dyDescent="0.3">
      <c r="B1" s="6" t="s">
        <v>767</v>
      </c>
      <c r="C1" s="1"/>
      <c r="D1" s="1"/>
      <c r="E1" s="45"/>
      <c r="F1" s="1"/>
      <c r="G1" s="2"/>
      <c r="H1" s="10"/>
      <c r="I1" s="11"/>
    </row>
    <row r="2" spans="2:9" s="4" customFormat="1" ht="22.5" thickBot="1" x14ac:dyDescent="0.35">
      <c r="B2" s="5"/>
      <c r="C2" s="8"/>
      <c r="D2" s="8"/>
      <c r="E2" s="38"/>
      <c r="F2" s="2"/>
      <c r="G2" s="2"/>
      <c r="H2" s="10"/>
      <c r="I2" s="11"/>
    </row>
    <row r="3" spans="2:9" s="4" customFormat="1" ht="22.5" thickBot="1" x14ac:dyDescent="0.35">
      <c r="B3" s="5" t="s">
        <v>1</v>
      </c>
      <c r="C3" s="8"/>
      <c r="D3" s="8"/>
      <c r="E3" s="38"/>
      <c r="F3" s="394" t="s">
        <v>385</v>
      </c>
      <c r="G3" s="2"/>
      <c r="H3" s="10"/>
    </row>
    <row r="4" spans="2:9" s="2" customFormat="1" x14ac:dyDescent="0.3">
      <c r="B4" s="354" t="s">
        <v>471</v>
      </c>
      <c r="C4" s="711" t="s">
        <v>387</v>
      </c>
      <c r="D4" s="712"/>
      <c r="E4" s="38"/>
      <c r="F4" s="395" t="str">
        <f>IF(ROUND(C10,3)-ROUND(F62+F63,3)=0,"OK","ERROR")</f>
        <v>OK</v>
      </c>
      <c r="G4" s="2" t="s">
        <v>472</v>
      </c>
    </row>
    <row r="5" spans="2:9" s="2" customFormat="1" ht="15.75" thickBot="1" x14ac:dyDescent="0.35">
      <c r="B5" s="355" t="s">
        <v>388</v>
      </c>
      <c r="C5" s="713">
        <v>43616</v>
      </c>
      <c r="D5" s="714"/>
      <c r="E5" s="38"/>
      <c r="F5" s="396" t="str">
        <f>IF(ROUND(D28,3)-ROUND(C10,3)=0,"OK","ERROR")</f>
        <v>OK</v>
      </c>
      <c r="G5" s="2" t="s">
        <v>473</v>
      </c>
    </row>
    <row r="6" spans="2:9" s="2" customFormat="1" ht="15.75" thickBot="1" x14ac:dyDescent="0.35">
      <c r="B6" s="356" t="s">
        <v>389</v>
      </c>
      <c r="C6" s="715" t="s">
        <v>932</v>
      </c>
      <c r="D6" s="716"/>
      <c r="E6" s="38"/>
    </row>
    <row r="7" spans="2:9" s="2" customFormat="1" x14ac:dyDescent="0.3">
      <c r="B7" s="16"/>
      <c r="C7" s="16"/>
      <c r="D7" s="17"/>
      <c r="E7" s="38"/>
    </row>
    <row r="8" spans="2:9" s="2" customFormat="1" ht="15.75" thickBot="1" x14ac:dyDescent="0.35">
      <c r="B8" s="5" t="s">
        <v>6</v>
      </c>
      <c r="E8" s="38"/>
    </row>
    <row r="9" spans="2:9" s="2" customFormat="1" x14ac:dyDescent="0.3">
      <c r="B9" s="357" t="s">
        <v>312</v>
      </c>
      <c r="C9" s="360" t="s">
        <v>37</v>
      </c>
      <c r="D9" s="402"/>
      <c r="E9" s="38"/>
    </row>
    <row r="10" spans="2:9" s="2" customFormat="1" x14ac:dyDescent="0.3">
      <c r="B10" s="358" t="s">
        <v>474</v>
      </c>
      <c r="C10" s="361">
        <f>INDEX(Analysis!L5:L21,MATCH(C9,Analysis!B5:B21,0))</f>
        <v>4.2010000000000005</v>
      </c>
      <c r="D10" s="5"/>
      <c r="E10" s="38"/>
    </row>
    <row r="11" spans="2:9" s="2" customFormat="1" x14ac:dyDescent="0.3">
      <c r="B11" s="358" t="s">
        <v>475</v>
      </c>
      <c r="C11" s="361">
        <v>0</v>
      </c>
      <c r="D11" s="15"/>
      <c r="E11" s="63"/>
      <c r="G11" s="15"/>
    </row>
    <row r="12" spans="2:9" s="2" customFormat="1" x14ac:dyDescent="0.3">
      <c r="B12" s="358" t="s">
        <v>476</v>
      </c>
      <c r="C12" s="362">
        <f>C10+C11</f>
        <v>4.2010000000000005</v>
      </c>
      <c r="D12" s="15"/>
      <c r="E12" s="63"/>
      <c r="G12" s="15"/>
    </row>
    <row r="13" spans="2:9" s="2" customFormat="1" x14ac:dyDescent="0.3">
      <c r="B13" s="358" t="s">
        <v>477</v>
      </c>
      <c r="C13" s="362">
        <v>0</v>
      </c>
      <c r="D13" s="15"/>
      <c r="E13" s="63"/>
      <c r="G13" s="15"/>
    </row>
    <row r="14" spans="2:9" s="2" customFormat="1" ht="15.75" thickBot="1" x14ac:dyDescent="0.35">
      <c r="B14" s="359" t="s">
        <v>478</v>
      </c>
      <c r="C14" s="363">
        <f ca="1">F28</f>
        <v>2.6543999999999999</v>
      </c>
      <c r="D14" s="15"/>
      <c r="E14" s="63"/>
      <c r="G14" s="15"/>
    </row>
    <row r="15" spans="2:9" s="2" customFormat="1" x14ac:dyDescent="0.3">
      <c r="B15" s="337"/>
      <c r="C15" s="15"/>
      <c r="D15" s="15"/>
      <c r="E15" s="63"/>
      <c r="G15" s="15"/>
    </row>
    <row r="16" spans="2:9" s="2" customFormat="1" ht="15.75" thickBot="1" x14ac:dyDescent="0.35">
      <c r="B16" s="5" t="s">
        <v>391</v>
      </c>
      <c r="C16" s="82"/>
      <c r="E16" s="38"/>
    </row>
    <row r="17" spans="1:9" s="2" customFormat="1" ht="15.75" thickBot="1" x14ac:dyDescent="0.35">
      <c r="B17" s="364" t="s">
        <v>479</v>
      </c>
      <c r="C17" s="365">
        <f ca="1">C13+C14</f>
        <v>2.6543999999999999</v>
      </c>
      <c r="D17" s="5"/>
      <c r="E17" s="38"/>
    </row>
    <row r="18" spans="1:9" s="2" customFormat="1" x14ac:dyDescent="0.3">
      <c r="A18" s="44"/>
      <c r="E18" s="38"/>
    </row>
    <row r="19" spans="1:9" s="2" customFormat="1" ht="16.5" customHeight="1" thickBot="1" x14ac:dyDescent="0.35">
      <c r="A19" s="44"/>
      <c r="B19" s="172" t="s">
        <v>480</v>
      </c>
      <c r="C19" s="35"/>
      <c r="D19" s="16"/>
      <c r="E19" s="22"/>
      <c r="F19" s="40"/>
      <c r="G19" s="64"/>
    </row>
    <row r="20" spans="1:9" s="31" customFormat="1" ht="45" x14ac:dyDescent="0.3">
      <c r="A20" s="372" t="s">
        <v>481</v>
      </c>
      <c r="B20" s="373" t="s">
        <v>482</v>
      </c>
      <c r="C20" s="382" t="s">
        <v>483</v>
      </c>
      <c r="D20" s="382" t="s">
        <v>484</v>
      </c>
      <c r="E20" s="382" t="s">
        <v>485</v>
      </c>
      <c r="F20" s="382" t="s">
        <v>486</v>
      </c>
      <c r="G20" s="470" t="s">
        <v>340</v>
      </c>
    </row>
    <row r="21" spans="1:9" s="2" customFormat="1" ht="75" x14ac:dyDescent="0.3">
      <c r="A21" s="560">
        <v>1</v>
      </c>
      <c r="B21" s="561" t="s">
        <v>411</v>
      </c>
      <c r="C21" s="367">
        <f>SUM(C22:C23)</f>
        <v>14.3</v>
      </c>
      <c r="D21" s="367">
        <f>SUM(D22:D23)</f>
        <v>2.6543999999999999</v>
      </c>
      <c r="E21" s="367">
        <f>C21</f>
        <v>14.3</v>
      </c>
      <c r="F21" s="368">
        <f ca="1">E21*MIN(C31,D31)</f>
        <v>2.6543999999999999</v>
      </c>
      <c r="G21" s="471" t="s">
        <v>1062</v>
      </c>
    </row>
    <row r="22" spans="1:9" s="2" customFormat="1" x14ac:dyDescent="0.3">
      <c r="A22" s="560" t="s">
        <v>487</v>
      </c>
      <c r="B22" s="561" t="s">
        <v>408</v>
      </c>
      <c r="C22" s="384">
        <f>D40+D41</f>
        <v>14.3</v>
      </c>
      <c r="D22" s="385">
        <f>C40+C41</f>
        <v>2.6543999999999999</v>
      </c>
      <c r="E22" s="371"/>
      <c r="F22" s="371"/>
      <c r="G22" s="619"/>
    </row>
    <row r="23" spans="1:9" s="2" customFormat="1" x14ac:dyDescent="0.3">
      <c r="A23" s="560" t="s">
        <v>488</v>
      </c>
      <c r="B23" s="561" t="s">
        <v>409</v>
      </c>
      <c r="C23" s="384">
        <v>0</v>
      </c>
      <c r="D23" s="384">
        <v>0</v>
      </c>
      <c r="E23" s="371"/>
      <c r="F23" s="371"/>
      <c r="G23" s="619"/>
    </row>
    <row r="24" spans="1:9" s="2" customFormat="1" ht="135" x14ac:dyDescent="0.3">
      <c r="A24" s="560">
        <v>2</v>
      </c>
      <c r="B24" s="561" t="s">
        <v>412</v>
      </c>
      <c r="C24" s="405">
        <f>D51</f>
        <v>4.7</v>
      </c>
      <c r="D24" s="405">
        <f>1.547</f>
        <v>1.5469999999999999</v>
      </c>
      <c r="E24" s="371"/>
      <c r="F24" s="368">
        <f>INDEX('Leakage assessment'!B5:B21,MATCH(B60,'Leakage assessment'!A5:A21,0))</f>
        <v>0</v>
      </c>
      <c r="G24" s="472" t="s">
        <v>1027</v>
      </c>
    </row>
    <row r="25" spans="1:9" s="2" customFormat="1" ht="75" x14ac:dyDescent="0.3">
      <c r="A25" s="560">
        <v>3</v>
      </c>
      <c r="B25" s="561" t="s">
        <v>413</v>
      </c>
      <c r="C25" s="371"/>
      <c r="D25" s="405">
        <v>0</v>
      </c>
      <c r="E25" s="371"/>
      <c r="F25" s="367">
        <v>0</v>
      </c>
      <c r="G25" s="472" t="s">
        <v>1063</v>
      </c>
    </row>
    <row r="26" spans="1:9" s="2" customFormat="1" x14ac:dyDescent="0.3">
      <c r="A26" s="560">
        <v>4</v>
      </c>
      <c r="B26" s="561" t="s">
        <v>415</v>
      </c>
      <c r="C26" s="371"/>
      <c r="D26" s="405">
        <v>0</v>
      </c>
      <c r="E26" s="371"/>
      <c r="F26" s="367">
        <v>0</v>
      </c>
      <c r="G26" s="473" t="s">
        <v>489</v>
      </c>
    </row>
    <row r="27" spans="1:9" s="2" customFormat="1" ht="15.75" thickBot="1" x14ac:dyDescent="0.35">
      <c r="A27" s="562">
        <v>5</v>
      </c>
      <c r="B27" s="563" t="s">
        <v>416</v>
      </c>
      <c r="C27" s="377"/>
      <c r="D27" s="378">
        <v>0</v>
      </c>
      <c r="E27" s="377"/>
      <c r="F27" s="378">
        <v>0</v>
      </c>
      <c r="G27" s="475" t="s">
        <v>489</v>
      </c>
    </row>
    <row r="28" spans="1:9" s="2" customFormat="1" ht="27" customHeight="1" thickBot="1" x14ac:dyDescent="0.35">
      <c r="A28" s="44"/>
      <c r="B28" s="564" t="s">
        <v>313</v>
      </c>
      <c r="C28" s="380"/>
      <c r="D28" s="426">
        <f>SUM(D21,D24:D27)</f>
        <v>4.2013999999999996</v>
      </c>
      <c r="E28" s="426"/>
      <c r="F28" s="426">
        <f ca="1">SUM(F21,F24:F27)</f>
        <v>2.6543999999999999</v>
      </c>
      <c r="G28" s="407"/>
    </row>
    <row r="29" spans="1:9" s="2" customFormat="1" x14ac:dyDescent="0.3">
      <c r="B29" s="71"/>
      <c r="C29" s="71"/>
      <c r="D29" s="75"/>
      <c r="E29" s="70"/>
      <c r="F29" s="71"/>
      <c r="G29" s="70"/>
      <c r="H29" s="71"/>
      <c r="I29" s="71"/>
    </row>
    <row r="30" spans="1:9" s="2" customFormat="1" ht="15.75" thickBot="1" x14ac:dyDescent="0.35">
      <c r="A30" s="21"/>
      <c r="B30" s="172" t="s">
        <v>490</v>
      </c>
      <c r="C30" s="386" t="s">
        <v>491</v>
      </c>
      <c r="D30" s="386" t="s">
        <v>492</v>
      </c>
      <c r="E30" s="411"/>
      <c r="F30" s="20"/>
      <c r="G30" s="70"/>
      <c r="H30" s="71"/>
      <c r="I30" s="71"/>
    </row>
    <row r="31" spans="1:9" s="2" customFormat="1" x14ac:dyDescent="0.3">
      <c r="A31" s="21"/>
      <c r="B31" s="387" t="s">
        <v>418</v>
      </c>
      <c r="C31" s="388">
        <f>IFERROR(D21/C21,0)</f>
        <v>0.1856223776223776</v>
      </c>
      <c r="D31" s="389">
        <f ca="1">'Unit costs'!B3</f>
        <v>1.2</v>
      </c>
      <c r="E31" s="411"/>
      <c r="F31" s="20"/>
      <c r="G31" s="412"/>
      <c r="H31" s="20"/>
      <c r="I31" s="20"/>
    </row>
    <row r="32" spans="1:9" s="2" customFormat="1" ht="15.75" thickBot="1" x14ac:dyDescent="0.35">
      <c r="A32" s="21"/>
      <c r="B32" s="390" t="s">
        <v>420</v>
      </c>
      <c r="C32" s="391">
        <f>D24/C24</f>
        <v>0.32914893617021274</v>
      </c>
      <c r="D32" s="392">
        <f ca="1">'Unit costs'!B4</f>
        <v>2.0302304832713758</v>
      </c>
      <c r="E32" s="411"/>
      <c r="F32" s="20"/>
      <c r="G32" s="412"/>
      <c r="H32" s="20"/>
      <c r="I32" s="20"/>
    </row>
    <row r="33" spans="1:9" s="2" customFormat="1" ht="15.75" thickBot="1" x14ac:dyDescent="0.35">
      <c r="A33" s="21"/>
      <c r="B33" s="20"/>
      <c r="C33" s="179"/>
      <c r="D33" s="179"/>
      <c r="E33" s="411"/>
      <c r="F33" s="20"/>
      <c r="G33" s="412"/>
      <c r="H33" s="20"/>
      <c r="I33" s="20"/>
    </row>
    <row r="34" spans="1:9" s="2" customFormat="1" ht="15.75" thickBot="1" x14ac:dyDescent="0.35">
      <c r="A34" s="21"/>
      <c r="B34" s="437" t="s">
        <v>747</v>
      </c>
      <c r="C34" s="438">
        <v>0.05</v>
      </c>
      <c r="D34" s="454"/>
      <c r="E34" s="411"/>
      <c r="F34" s="20"/>
      <c r="G34" s="70"/>
      <c r="H34" s="20"/>
      <c r="I34" s="71"/>
    </row>
    <row r="35" spans="1:9" s="2" customFormat="1" x14ac:dyDescent="0.3">
      <c r="A35" s="21"/>
      <c r="B35" s="414"/>
      <c r="C35" s="69"/>
      <c r="D35" s="20"/>
      <c r="E35" s="411"/>
      <c r="F35" s="20"/>
      <c r="G35" s="70"/>
      <c r="H35" s="20"/>
      <c r="I35" s="71"/>
    </row>
    <row r="36" spans="1:9" x14ac:dyDescent="0.3">
      <c r="A36" s="148"/>
      <c r="B36" s="413" t="s">
        <v>303</v>
      </c>
      <c r="C36" s="21"/>
      <c r="D36" s="21"/>
      <c r="E36" s="21"/>
      <c r="F36" s="21"/>
      <c r="G36" s="21"/>
      <c r="H36" s="148"/>
      <c r="I36" s="148"/>
    </row>
    <row r="37" spans="1:9" x14ac:dyDescent="0.3">
      <c r="A37" s="338">
        <v>1</v>
      </c>
      <c r="B37" s="414" t="s">
        <v>411</v>
      </c>
      <c r="C37" s="21"/>
      <c r="D37" s="21"/>
      <c r="E37" s="21"/>
      <c r="F37" s="21"/>
      <c r="G37" s="21"/>
      <c r="H37" s="148"/>
      <c r="I37" s="148"/>
    </row>
    <row r="38" spans="1:9" x14ac:dyDescent="0.3">
      <c r="A38" s="415" t="s">
        <v>487</v>
      </c>
      <c r="B38" s="414" t="s">
        <v>408</v>
      </c>
      <c r="E38" s="21"/>
      <c r="F38" s="21"/>
      <c r="G38" s="21"/>
      <c r="H38" s="148"/>
      <c r="I38" s="148"/>
    </row>
    <row r="39" spans="1:9" x14ac:dyDescent="0.3">
      <c r="A39" s="415"/>
      <c r="B39" s="414"/>
      <c r="C39" s="623" t="s">
        <v>953</v>
      </c>
      <c r="D39" s="623" t="s">
        <v>954</v>
      </c>
      <c r="E39" s="21"/>
      <c r="F39" s="21"/>
      <c r="G39" s="21"/>
      <c r="H39" s="148"/>
      <c r="I39" s="148"/>
    </row>
    <row r="40" spans="1:9" ht="30" x14ac:dyDescent="0.3">
      <c r="A40" s="148"/>
      <c r="B40" s="161" t="s">
        <v>693</v>
      </c>
      <c r="C40" s="625">
        <v>1.0720000000000001</v>
      </c>
      <c r="D40" s="626">
        <v>1.8</v>
      </c>
      <c r="E40" s="21" t="s">
        <v>871</v>
      </c>
      <c r="F40" s="148"/>
      <c r="G40" s="148"/>
      <c r="H40" s="148"/>
      <c r="I40" s="148"/>
    </row>
    <row r="41" spans="1:9" ht="33.75" customHeight="1" x14ac:dyDescent="0.3">
      <c r="A41" s="148"/>
      <c r="B41" s="161" t="s">
        <v>694</v>
      </c>
      <c r="C41" s="625">
        <f>1.4466+0.1358</f>
        <v>1.5824</v>
      </c>
      <c r="D41" s="626">
        <v>12.5</v>
      </c>
      <c r="E41" s="21" t="s">
        <v>692</v>
      </c>
      <c r="F41" s="21"/>
      <c r="G41" s="148"/>
      <c r="H41" s="148"/>
      <c r="I41" s="148"/>
    </row>
    <row r="42" spans="1:9" ht="35.25" customHeight="1" x14ac:dyDescent="0.3">
      <c r="A42" s="148"/>
      <c r="B42" s="734" t="s">
        <v>828</v>
      </c>
      <c r="C42" s="734"/>
      <c r="D42" s="734"/>
      <c r="E42" s="734"/>
      <c r="F42" s="734"/>
      <c r="G42" s="734"/>
      <c r="H42" s="734"/>
      <c r="I42" s="734"/>
    </row>
    <row r="43" spans="1:9" x14ac:dyDescent="0.3">
      <c r="A43" s="148"/>
      <c r="B43" s="148" t="s">
        <v>829</v>
      </c>
      <c r="C43" s="416"/>
      <c r="D43" s="21"/>
      <c r="E43" s="21"/>
      <c r="F43" s="21"/>
      <c r="G43" s="148"/>
      <c r="H43" s="148"/>
      <c r="I43" s="148"/>
    </row>
    <row r="44" spans="1:9" x14ac:dyDescent="0.3">
      <c r="A44" s="148"/>
      <c r="B44" s="148" t="s">
        <v>830</v>
      </c>
      <c r="C44" s="416"/>
      <c r="D44" s="21"/>
      <c r="E44" s="21"/>
      <c r="F44" s="21"/>
      <c r="G44" s="148"/>
      <c r="H44" s="148"/>
      <c r="I44" s="148"/>
    </row>
    <row r="45" spans="1:9" ht="31.5" customHeight="1" x14ac:dyDescent="0.3">
      <c r="A45" s="148"/>
      <c r="B45" s="734" t="s">
        <v>831</v>
      </c>
      <c r="C45" s="734"/>
      <c r="D45" s="734"/>
      <c r="E45" s="734"/>
      <c r="F45" s="734"/>
      <c r="G45" s="734"/>
      <c r="H45" s="734"/>
      <c r="I45" s="734"/>
    </row>
    <row r="46" spans="1:9" x14ac:dyDescent="0.3">
      <c r="A46" s="148"/>
      <c r="B46" s="21" t="s">
        <v>872</v>
      </c>
      <c r="C46" s="624">
        <f>SUM(C40:C41)</f>
        <v>2.6543999999999999</v>
      </c>
      <c r="D46" s="21" t="s">
        <v>695</v>
      </c>
      <c r="E46" s="21"/>
      <c r="F46" s="21"/>
      <c r="G46" s="148"/>
      <c r="H46" s="148"/>
      <c r="I46" s="148"/>
    </row>
    <row r="47" spans="1:9" x14ac:dyDescent="0.3">
      <c r="A47" s="148"/>
      <c r="B47" s="21"/>
      <c r="C47" s="624"/>
      <c r="D47" s="21"/>
      <c r="E47" s="21"/>
      <c r="F47" s="21"/>
      <c r="G47" s="148"/>
      <c r="H47" s="148"/>
      <c r="I47" s="148"/>
    </row>
    <row r="48" spans="1:9" x14ac:dyDescent="0.3">
      <c r="A48" s="338" t="s">
        <v>488</v>
      </c>
      <c r="B48" s="414" t="s">
        <v>409</v>
      </c>
      <c r="C48" s="417"/>
      <c r="D48" s="21"/>
      <c r="E48" s="21"/>
      <c r="F48" s="21"/>
      <c r="G48" s="148"/>
      <c r="H48" s="148"/>
      <c r="I48" s="148"/>
    </row>
    <row r="49" spans="1:9" x14ac:dyDescent="0.3">
      <c r="A49" s="148"/>
      <c r="B49" s="21"/>
      <c r="C49" s="417"/>
      <c r="D49" s="21"/>
      <c r="E49" s="21"/>
      <c r="F49" s="21"/>
      <c r="G49" s="148"/>
      <c r="H49" s="148"/>
      <c r="I49" s="148"/>
    </row>
    <row r="50" spans="1:9" x14ac:dyDescent="0.3">
      <c r="A50" s="338">
        <v>2</v>
      </c>
      <c r="B50" s="414" t="s">
        <v>412</v>
      </c>
      <c r="C50" s="418"/>
      <c r="D50" s="21"/>
      <c r="E50" s="21"/>
      <c r="F50" s="21"/>
      <c r="G50" s="148"/>
      <c r="H50" s="148"/>
      <c r="I50" s="148"/>
    </row>
    <row r="51" spans="1:9" ht="51" customHeight="1" x14ac:dyDescent="0.3">
      <c r="A51" s="148"/>
      <c r="B51" s="21" t="s">
        <v>342</v>
      </c>
      <c r="C51" s="625">
        <v>1.5467</v>
      </c>
      <c r="D51" s="626">
        <v>4.7</v>
      </c>
      <c r="E51" s="733" t="s">
        <v>696</v>
      </c>
      <c r="F51" s="733"/>
      <c r="G51" s="733"/>
      <c r="H51" s="733"/>
      <c r="I51" s="733"/>
    </row>
    <row r="52" spans="1:9" ht="15.75" customHeight="1" x14ac:dyDescent="0.3">
      <c r="A52" s="148"/>
      <c r="B52" s="21"/>
      <c r="C52" s="419"/>
      <c r="D52" s="21"/>
      <c r="E52" s="83"/>
      <c r="F52" s="21"/>
      <c r="G52" s="148"/>
      <c r="H52" s="148"/>
      <c r="I52" s="148"/>
    </row>
    <row r="53" spans="1:9" x14ac:dyDescent="0.3">
      <c r="A53" s="338">
        <v>3</v>
      </c>
      <c r="B53" s="414" t="s">
        <v>413</v>
      </c>
      <c r="C53" s="148"/>
      <c r="D53" s="148"/>
      <c r="E53" s="148"/>
      <c r="F53" s="148"/>
      <c r="G53" s="148"/>
      <c r="H53" s="148"/>
      <c r="I53" s="148"/>
    </row>
    <row r="54" spans="1:9" x14ac:dyDescent="0.3">
      <c r="A54" s="148"/>
      <c r="B54" s="21"/>
      <c r="C54" s="21"/>
      <c r="D54" s="21"/>
      <c r="E54" s="148"/>
      <c r="F54" s="148"/>
      <c r="G54" s="148"/>
      <c r="H54" s="148"/>
      <c r="I54" s="148"/>
    </row>
    <row r="55" spans="1:9" x14ac:dyDescent="0.3">
      <c r="A55" s="338">
        <v>4</v>
      </c>
      <c r="B55" s="328" t="s">
        <v>415</v>
      </c>
      <c r="C55" s="148"/>
      <c r="D55" s="148"/>
      <c r="E55" s="421"/>
      <c r="F55" s="148"/>
      <c r="G55" s="148"/>
      <c r="H55" s="148"/>
      <c r="I55" s="148"/>
    </row>
    <row r="56" spans="1:9" x14ac:dyDescent="0.3">
      <c r="A56" s="338"/>
      <c r="B56" s="152"/>
      <c r="C56" s="422"/>
      <c r="D56" s="148"/>
      <c r="E56" s="421"/>
      <c r="F56" s="148"/>
      <c r="G56" s="148"/>
      <c r="H56" s="148"/>
      <c r="I56" s="148"/>
    </row>
    <row r="57" spans="1:9" x14ac:dyDescent="0.3">
      <c r="A57" s="338">
        <v>5</v>
      </c>
      <c r="B57" s="328" t="s">
        <v>416</v>
      </c>
      <c r="C57" s="148"/>
      <c r="D57" s="148"/>
      <c r="E57" s="420"/>
      <c r="F57" s="148"/>
      <c r="G57" s="148"/>
      <c r="H57" s="148"/>
      <c r="I57" s="148"/>
    </row>
    <row r="58" spans="1:9" x14ac:dyDescent="0.3">
      <c r="A58" s="338"/>
      <c r="B58" s="70"/>
      <c r="C58" s="2"/>
      <c r="D58" s="2"/>
      <c r="E58" s="2"/>
      <c r="F58" s="2"/>
      <c r="G58" s="2"/>
    </row>
    <row r="59" spans="1:9" x14ac:dyDescent="0.3">
      <c r="A59" s="44">
        <v>6</v>
      </c>
      <c r="B59" s="328" t="s">
        <v>494</v>
      </c>
      <c r="C59" s="2"/>
      <c r="D59" s="2"/>
      <c r="E59" s="2"/>
      <c r="F59" s="2"/>
      <c r="G59" s="2"/>
    </row>
    <row r="60" spans="1:9" ht="15.75" thickBot="1" x14ac:dyDescent="0.35">
      <c r="B60" s="2" t="str">
        <f>C9</f>
        <v>PRT</v>
      </c>
      <c r="C60" s="2"/>
      <c r="D60" s="2"/>
      <c r="E60" s="43"/>
      <c r="F60" s="82"/>
      <c r="G60" s="2"/>
    </row>
    <row r="61" spans="1:9" x14ac:dyDescent="0.3">
      <c r="B61" s="153" t="s">
        <v>392</v>
      </c>
      <c r="C61" s="154"/>
      <c r="D61" s="156" t="s">
        <v>393</v>
      </c>
      <c r="E61" s="158" t="s">
        <v>394</v>
      </c>
      <c r="F61" s="68" t="s">
        <v>395</v>
      </c>
      <c r="G61" s="340" t="s">
        <v>385</v>
      </c>
    </row>
    <row r="62" spans="1:9" x14ac:dyDescent="0.3">
      <c r="B62" s="85" t="s">
        <v>396</v>
      </c>
      <c r="C62" s="71" t="s">
        <v>25</v>
      </c>
      <c r="D62" s="240">
        <f t="shared" ref="D62:F63" si="0">D66+D70</f>
        <v>4.2009999999999996</v>
      </c>
      <c r="E62" s="175">
        <f t="shared" si="0"/>
        <v>0</v>
      </c>
      <c r="F62" s="240">
        <f t="shared" si="0"/>
        <v>4.2009999999999996</v>
      </c>
      <c r="G62" s="36" t="str">
        <f>IF(ABS(SUM(D62,E62)-F62)&lt;0.001,"OK","ERROR")</f>
        <v>OK</v>
      </c>
    </row>
    <row r="63" spans="1:9" x14ac:dyDescent="0.3">
      <c r="B63" s="155" t="s">
        <v>397</v>
      </c>
      <c r="C63" s="71" t="s">
        <v>25</v>
      </c>
      <c r="D63" s="240">
        <f t="shared" si="0"/>
        <v>0</v>
      </c>
      <c r="E63" s="175">
        <f t="shared" si="0"/>
        <v>0</v>
      </c>
      <c r="F63" s="240">
        <f t="shared" si="0"/>
        <v>0</v>
      </c>
      <c r="G63" s="36" t="str">
        <f>IF(ABS(SUM(D63,E63)-F63)&lt;0.001,"OK","ERROR")</f>
        <v>OK</v>
      </c>
    </row>
    <row r="64" spans="1:9" x14ac:dyDescent="0.3">
      <c r="B64" s="85" t="s">
        <v>398</v>
      </c>
      <c r="C64" s="71" t="s">
        <v>93</v>
      </c>
      <c r="D64" s="175">
        <f>D68+D72</f>
        <v>26.8</v>
      </c>
      <c r="E64" s="175" t="s">
        <v>341</v>
      </c>
      <c r="F64" s="175">
        <f>D64</f>
        <v>26.8</v>
      </c>
      <c r="G64" s="36" t="str">
        <f>IF(ABS(SUM(D64,E64)-F64)&lt;0.001,"OK","ERROR")</f>
        <v>OK</v>
      </c>
    </row>
    <row r="65" spans="2:7" x14ac:dyDescent="0.3">
      <c r="B65" s="34"/>
      <c r="C65" s="16"/>
      <c r="D65" s="177"/>
      <c r="E65" s="177"/>
      <c r="F65" s="177"/>
      <c r="G65" s="36"/>
    </row>
    <row r="66" spans="2:7" x14ac:dyDescent="0.3">
      <c r="B66" s="85" t="s">
        <v>399</v>
      </c>
      <c r="C66" s="71" t="s">
        <v>25</v>
      </c>
      <c r="D66" s="240">
        <f>INDEX(Analysis!H$101:H$117,MATCH($B$60,Analysis!$B$101:$B$117,0))</f>
        <v>2.6539999999999999</v>
      </c>
      <c r="E66" s="175">
        <f>INDEX(Analysis!I$101:I$117,MATCH($B$60,Analysis!$B$101:$B$117,0))</f>
        <v>0</v>
      </c>
      <c r="F66" s="240">
        <f>SUM(D66:E66)</f>
        <v>2.6539999999999999</v>
      </c>
      <c r="G66" s="36" t="str">
        <f t="shared" ref="G66:G70" si="1">IF(ABS(SUM(D66,E66)-F66)&lt;0.001,"OK","ERROR")</f>
        <v>OK</v>
      </c>
    </row>
    <row r="67" spans="2:7" x14ac:dyDescent="0.3">
      <c r="B67" s="155" t="s">
        <v>400</v>
      </c>
      <c r="C67" s="157" t="s">
        <v>25</v>
      </c>
      <c r="D67" s="239">
        <f>INDEX(Analysis!H$150:H$166,MATCH($B$60,Analysis!$B$150:$B$166,0))</f>
        <v>0</v>
      </c>
      <c r="E67" s="176">
        <f>INDEX(Analysis!I$150:I$166,MATCH($B$60,Analysis!$B$150:$B$166,0))</f>
        <v>0</v>
      </c>
      <c r="F67" s="240">
        <f>SUM(D67:E67)</f>
        <v>0</v>
      </c>
      <c r="G67" s="36" t="str">
        <f>IF(ABS(SUM(D67,E67)-F67)&lt;0.001,"OK","ERROR")</f>
        <v>OK</v>
      </c>
    </row>
    <row r="68" spans="2:7" x14ac:dyDescent="0.3">
      <c r="B68" s="85" t="s">
        <v>401</v>
      </c>
      <c r="C68" s="71" t="s">
        <v>93</v>
      </c>
      <c r="D68" s="175">
        <f>INDEX(Analysis!$H$26:$H$42,MATCH($B$60,Analysis!$B$26:$B$42,0))</f>
        <v>26.8</v>
      </c>
      <c r="E68" s="175" t="s">
        <v>341</v>
      </c>
      <c r="F68" s="175">
        <f>D68</f>
        <v>26.8</v>
      </c>
      <c r="G68" s="36" t="str">
        <f>IF(ABS(SUM(D68,E68)-F68)&lt;0.001,"OK","ERROR")</f>
        <v>OK</v>
      </c>
    </row>
    <row r="69" spans="2:7" x14ac:dyDescent="0.3">
      <c r="B69" s="34"/>
      <c r="C69" s="16"/>
      <c r="D69" s="177"/>
      <c r="E69" s="177"/>
      <c r="F69" s="177"/>
      <c r="G69" s="36"/>
    </row>
    <row r="70" spans="2:7" x14ac:dyDescent="0.3">
      <c r="B70" s="85" t="s">
        <v>402</v>
      </c>
      <c r="C70" s="71" t="s">
        <v>403</v>
      </c>
      <c r="D70" s="240">
        <f>INDEX(Analysis!H$125:H$141,MATCH($B$60,Analysis!$B$125:$B$141,0))</f>
        <v>1.5469999999999999</v>
      </c>
      <c r="E70" s="175">
        <f>INDEX(Analysis!I$125:I$141,MATCH($B$60,Analysis!$B$125:$B$141,0))</f>
        <v>0</v>
      </c>
      <c r="F70" s="240">
        <f>SUM(D70:E70)</f>
        <v>1.5469999999999999</v>
      </c>
      <c r="G70" s="36" t="str">
        <f t="shared" si="1"/>
        <v>OK</v>
      </c>
    </row>
    <row r="71" spans="2:7" x14ac:dyDescent="0.3">
      <c r="B71" s="155" t="s">
        <v>404</v>
      </c>
      <c r="C71" s="71" t="s">
        <v>403</v>
      </c>
      <c r="D71" s="176">
        <f>INDEX(Analysis!H$175:H$191,MATCH($B$60,Analysis!$B$175:$B$191,0))</f>
        <v>0</v>
      </c>
      <c r="E71" s="176">
        <f>INDEX(Analysis!I$175:I$191,MATCH($B$60,Analysis!$B$175:$B$191,0))</f>
        <v>0</v>
      </c>
      <c r="F71" s="175">
        <f>SUM(D71:E71)</f>
        <v>0</v>
      </c>
      <c r="G71" s="36" t="str">
        <f>IF(ABS(SUM(D71,E71)-F71)&lt;0.001,"OK","ERROR")</f>
        <v>OK</v>
      </c>
    </row>
    <row r="72" spans="2:7" ht="15.75" thickBot="1" x14ac:dyDescent="0.35">
      <c r="B72" s="151" t="s">
        <v>405</v>
      </c>
      <c r="C72" s="74" t="s">
        <v>93</v>
      </c>
      <c r="D72" s="178">
        <f>INDEX(Analysis!$H$51:$H$67,MATCH($B$60,Analysis!$B$51:$B$67,0))</f>
        <v>0</v>
      </c>
      <c r="E72" s="178" t="s">
        <v>341</v>
      </c>
      <c r="F72" s="178">
        <f>D72</f>
        <v>0</v>
      </c>
      <c r="G72" s="37" t="str">
        <f>IF(ABS(SUM(D72,E72)-F72)&lt;0.001,"OK","ERROR")</f>
        <v>OK</v>
      </c>
    </row>
  </sheetData>
  <mergeCells count="6">
    <mergeCell ref="C4:D4"/>
    <mergeCell ref="C5:D5"/>
    <mergeCell ref="C6:D6"/>
    <mergeCell ref="E51:I51"/>
    <mergeCell ref="B42:I42"/>
    <mergeCell ref="B45:I45"/>
  </mergeCells>
  <conditionalFormatting sqref="D60 G62:G64 G66:G68 G70:G72">
    <cfRule type="cellIs" dxfId="31" priority="39" operator="equal">
      <formula>"OK"</formula>
    </cfRule>
    <cfRule type="cellIs" dxfId="30" priority="40" operator="equal">
      <formula>"ERROR"</formula>
    </cfRule>
  </conditionalFormatting>
  <conditionalFormatting sqref="F5">
    <cfRule type="cellIs" dxfId="29" priority="5" operator="equal">
      <formula>"OK"</formula>
    </cfRule>
    <cfRule type="cellIs" dxfId="28" priority="6" operator="equal">
      <formula>"ERROR"</formula>
    </cfRule>
  </conditionalFormatting>
  <conditionalFormatting sqref="F6">
    <cfRule type="cellIs" dxfId="27" priority="3" operator="equal">
      <formula>"OK"</formula>
    </cfRule>
    <cfRule type="cellIs" dxfId="26" priority="4" operator="equal">
      <formula>"ERROR"</formula>
    </cfRule>
  </conditionalFormatting>
  <conditionalFormatting sqref="F4">
    <cfRule type="cellIs" dxfId="25" priority="7" operator="equal">
      <formula>"OK"</formula>
    </cfRule>
    <cfRule type="cellIs" dxfId="24" priority="8" operator="equal">
      <formula>"ERROR"</formula>
    </cfRule>
  </conditionalFormatting>
  <conditionalFormatting sqref="F5">
    <cfRule type="cellIs" dxfId="23" priority="1" operator="equal">
      <formula>"OK"</formula>
    </cfRule>
    <cfRule type="cellIs" dxfId="22"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381"/>
  <sheetViews>
    <sheetView workbookViewId="0"/>
  </sheetViews>
  <sheetFormatPr defaultColWidth="8.85546875" defaultRowHeight="15" x14ac:dyDescent="0.25"/>
  <cols>
    <col min="1" max="1" width="5" customWidth="1"/>
    <col min="2" max="2" width="26.28515625" customWidth="1"/>
    <col min="3" max="3" width="39" customWidth="1"/>
    <col min="4" max="4" width="3.7109375" customWidth="1"/>
    <col min="5" max="6" width="17" customWidth="1"/>
    <col min="7" max="21" width="7.7109375" customWidth="1"/>
  </cols>
  <sheetData>
    <row r="1" spans="1:21" x14ac:dyDescent="0.25">
      <c r="C1" t="s">
        <v>57</v>
      </c>
    </row>
    <row r="2" spans="1:21" x14ac:dyDescent="0.25">
      <c r="A2" t="s">
        <v>58</v>
      </c>
      <c r="B2" t="s">
        <v>59</v>
      </c>
      <c r="C2" t="s">
        <v>60</v>
      </c>
      <c r="D2" t="s">
        <v>61</v>
      </c>
      <c r="E2" t="s">
        <v>62</v>
      </c>
      <c r="F2" t="s">
        <v>63</v>
      </c>
      <c r="G2" t="s">
        <v>64</v>
      </c>
      <c r="H2" t="s">
        <v>65</v>
      </c>
      <c r="I2" t="s">
        <v>66</v>
      </c>
      <c r="J2" t="s">
        <v>67</v>
      </c>
      <c r="K2" t="s">
        <v>68</v>
      </c>
      <c r="L2" t="s">
        <v>69</v>
      </c>
      <c r="M2" t="s">
        <v>70</v>
      </c>
      <c r="N2" t="s">
        <v>71</v>
      </c>
      <c r="O2" t="s">
        <v>72</v>
      </c>
      <c r="P2" t="s">
        <v>73</v>
      </c>
      <c r="Q2" t="s">
        <v>74</v>
      </c>
      <c r="R2" t="s">
        <v>75</v>
      </c>
      <c r="S2" t="s">
        <v>76</v>
      </c>
      <c r="T2" t="s">
        <v>24</v>
      </c>
      <c r="U2" t="s">
        <v>21</v>
      </c>
    </row>
    <row r="4" spans="1:21" x14ac:dyDescent="0.25">
      <c r="A4" t="s">
        <v>26</v>
      </c>
      <c r="B4" t="s">
        <v>77</v>
      </c>
      <c r="C4" t="s">
        <v>78</v>
      </c>
      <c r="D4" t="s">
        <v>25</v>
      </c>
      <c r="E4" t="s">
        <v>79</v>
      </c>
      <c r="F4" s="186"/>
      <c r="G4" s="186">
        <v>0</v>
      </c>
      <c r="H4" s="186">
        <v>0</v>
      </c>
      <c r="I4" s="186">
        <v>0</v>
      </c>
      <c r="J4" s="186">
        <v>0</v>
      </c>
      <c r="K4" s="186">
        <v>0</v>
      </c>
      <c r="L4" s="186">
        <v>0</v>
      </c>
      <c r="M4" s="186">
        <v>0</v>
      </c>
      <c r="N4" s="186">
        <v>0</v>
      </c>
      <c r="O4" s="186">
        <v>0</v>
      </c>
      <c r="P4" s="186">
        <v>0</v>
      </c>
      <c r="Q4" s="186">
        <v>0</v>
      </c>
      <c r="R4" s="186">
        <v>0</v>
      </c>
      <c r="S4" s="186">
        <v>0</v>
      </c>
      <c r="T4" s="186">
        <v>0</v>
      </c>
      <c r="U4" s="186"/>
    </row>
    <row r="5" spans="1:21" x14ac:dyDescent="0.25">
      <c r="A5" t="s">
        <v>26</v>
      </c>
      <c r="B5" t="s">
        <v>80</v>
      </c>
      <c r="C5" t="s">
        <v>81</v>
      </c>
      <c r="D5" t="s">
        <v>25</v>
      </c>
      <c r="E5" t="s">
        <v>79</v>
      </c>
      <c r="F5" s="186"/>
      <c r="G5" s="186">
        <v>11.1083279428604</v>
      </c>
      <c r="H5" s="186">
        <v>27.860029107979901</v>
      </c>
      <c r="I5" s="186">
        <v>22.057069842749399</v>
      </c>
      <c r="J5" s="186">
        <v>29.414010970288899</v>
      </c>
      <c r="K5" s="186">
        <v>4.7143242655498296</v>
      </c>
      <c r="L5" s="186">
        <v>7.6791057116597203</v>
      </c>
      <c r="M5" s="186">
        <v>13.3680449995031</v>
      </c>
      <c r="N5" s="186">
        <v>18.008247230545901</v>
      </c>
      <c r="O5" s="186">
        <v>3.6456205121672798</v>
      </c>
      <c r="P5" s="186">
        <v>14.1784522994057</v>
      </c>
      <c r="Q5" s="186">
        <v>19.173708420703498</v>
      </c>
      <c r="R5" s="186">
        <v>15.326033726755499</v>
      </c>
      <c r="S5" s="186">
        <v>13.7260553434726</v>
      </c>
      <c r="T5" s="186">
        <v>12.211413637733999</v>
      </c>
      <c r="U5" s="186"/>
    </row>
    <row r="6" spans="1:21" x14ac:dyDescent="0.25">
      <c r="A6" t="s">
        <v>26</v>
      </c>
      <c r="B6" t="s">
        <v>82</v>
      </c>
      <c r="C6" t="s">
        <v>83</v>
      </c>
      <c r="D6" t="s">
        <v>25</v>
      </c>
      <c r="E6" t="s">
        <v>79</v>
      </c>
      <c r="F6" s="186"/>
      <c r="G6" s="186">
        <v>0</v>
      </c>
      <c r="H6" s="186">
        <v>0</v>
      </c>
      <c r="I6" s="186">
        <v>0</v>
      </c>
      <c r="J6" s="186">
        <v>0</v>
      </c>
      <c r="K6" s="186">
        <v>0</v>
      </c>
      <c r="L6" s="186">
        <v>0</v>
      </c>
      <c r="M6" s="186">
        <v>0</v>
      </c>
      <c r="N6" s="186">
        <v>0</v>
      </c>
      <c r="O6" s="186">
        <v>0</v>
      </c>
      <c r="P6" s="186">
        <v>0</v>
      </c>
      <c r="Q6" s="186">
        <v>0</v>
      </c>
      <c r="R6" s="186">
        <v>0</v>
      </c>
      <c r="S6" s="186">
        <v>0</v>
      </c>
      <c r="T6" s="186">
        <v>0</v>
      </c>
      <c r="U6" s="186"/>
    </row>
    <row r="7" spans="1:21" x14ac:dyDescent="0.25">
      <c r="A7" t="s">
        <v>26</v>
      </c>
      <c r="B7" t="s">
        <v>84</v>
      </c>
      <c r="C7" t="s">
        <v>85</v>
      </c>
      <c r="D7" t="s">
        <v>25</v>
      </c>
      <c r="E7" t="s">
        <v>79</v>
      </c>
      <c r="F7" s="186"/>
      <c r="G7" s="186">
        <v>10.9251396266484</v>
      </c>
      <c r="H7" s="186">
        <v>21.779796441509198</v>
      </c>
      <c r="I7" s="186">
        <v>24.890010425725698</v>
      </c>
      <c r="J7" s="186">
        <v>31.763754414276899</v>
      </c>
      <c r="K7" s="186">
        <v>6.5695609522715799</v>
      </c>
      <c r="L7" s="186">
        <v>8.4962998178787501</v>
      </c>
      <c r="M7" s="186">
        <v>6.60895433486386</v>
      </c>
      <c r="N7" s="186">
        <v>10.167422159593301</v>
      </c>
      <c r="O7" s="186">
        <v>5.2975763358263297</v>
      </c>
      <c r="P7" s="186">
        <v>34.686573502437</v>
      </c>
      <c r="Q7" s="186">
        <v>33.892515316799297</v>
      </c>
      <c r="R7" s="186">
        <v>34.909085327522</v>
      </c>
      <c r="S7" s="186">
        <v>34.011746273884498</v>
      </c>
      <c r="T7" s="186">
        <v>31.494375880399001</v>
      </c>
      <c r="U7" s="186"/>
    </row>
    <row r="8" spans="1:21" x14ac:dyDescent="0.25">
      <c r="A8" t="s">
        <v>26</v>
      </c>
      <c r="B8" t="s">
        <v>86</v>
      </c>
      <c r="C8" t="s">
        <v>87</v>
      </c>
      <c r="D8" t="s">
        <v>25</v>
      </c>
      <c r="E8" t="s">
        <v>79</v>
      </c>
      <c r="F8" s="186"/>
      <c r="G8" s="186">
        <v>369.59975583915002</v>
      </c>
      <c r="H8" s="186">
        <v>393.906703405614</v>
      </c>
      <c r="I8" s="186">
        <v>354.53701632585597</v>
      </c>
      <c r="J8" s="186">
        <v>370.24685686063498</v>
      </c>
      <c r="K8" s="186">
        <v>327.62194512912799</v>
      </c>
      <c r="L8" s="186">
        <v>375.70712366397299</v>
      </c>
      <c r="M8" s="186">
        <v>399.90776723187003</v>
      </c>
      <c r="N8" s="186">
        <v>442.69812680176102</v>
      </c>
      <c r="O8" s="186">
        <v>397.85288087360601</v>
      </c>
      <c r="P8" s="186">
        <v>494.85374044481301</v>
      </c>
      <c r="Q8" s="186">
        <v>569.16259337172301</v>
      </c>
      <c r="R8" s="186">
        <v>614.48320862741195</v>
      </c>
      <c r="S8" s="186">
        <v>601.17395098778002</v>
      </c>
      <c r="T8" s="186">
        <v>466.57209895656399</v>
      </c>
      <c r="U8" s="186"/>
    </row>
    <row r="9" spans="1:21" x14ac:dyDescent="0.25">
      <c r="A9" t="s">
        <v>26</v>
      </c>
      <c r="B9" t="s">
        <v>44</v>
      </c>
      <c r="C9" t="s">
        <v>88</v>
      </c>
      <c r="D9" t="s">
        <v>25</v>
      </c>
      <c r="E9" t="s">
        <v>79</v>
      </c>
      <c r="F9" s="191"/>
      <c r="G9" s="191"/>
      <c r="H9" s="191"/>
      <c r="I9" s="191"/>
      <c r="J9" s="191"/>
      <c r="K9" s="191"/>
      <c r="L9" s="191"/>
      <c r="M9" s="191">
        <v>0</v>
      </c>
      <c r="N9" s="191">
        <v>0</v>
      </c>
      <c r="O9" s="191">
        <v>0</v>
      </c>
      <c r="P9" s="191">
        <v>0</v>
      </c>
      <c r="Q9" s="191">
        <v>0</v>
      </c>
      <c r="R9" s="191">
        <v>0</v>
      </c>
      <c r="S9" s="191">
        <v>0</v>
      </c>
      <c r="T9" s="191">
        <v>0</v>
      </c>
      <c r="U9" s="191"/>
    </row>
    <row r="10" spans="1:21" x14ac:dyDescent="0.25">
      <c r="A10" t="s">
        <v>26</v>
      </c>
      <c r="B10" t="s">
        <v>45</v>
      </c>
      <c r="C10" t="s">
        <v>89</v>
      </c>
      <c r="D10" t="s">
        <v>25</v>
      </c>
      <c r="E10" t="s">
        <v>79</v>
      </c>
      <c r="F10" s="191"/>
      <c r="G10" s="191"/>
      <c r="H10" s="191"/>
      <c r="I10" s="191"/>
      <c r="J10" s="191"/>
      <c r="K10" s="191"/>
      <c r="L10" s="191"/>
      <c r="M10" s="191">
        <v>0</v>
      </c>
      <c r="N10" s="191">
        <v>0.19700000000000001</v>
      </c>
      <c r="O10" s="191">
        <v>0.29699999999999999</v>
      </c>
      <c r="P10" s="191">
        <v>1.97234821647926E-2</v>
      </c>
      <c r="Q10" s="191">
        <v>0.15331519304492899</v>
      </c>
      <c r="R10" s="191">
        <v>0.26482995826276401</v>
      </c>
      <c r="S10" s="191">
        <v>0.30753104823482202</v>
      </c>
      <c r="T10" s="191">
        <v>0.347805521051682</v>
      </c>
      <c r="U10" s="191"/>
    </row>
    <row r="11" spans="1:21" x14ac:dyDescent="0.25">
      <c r="A11" t="s">
        <v>26</v>
      </c>
      <c r="B11" t="s">
        <v>46</v>
      </c>
      <c r="C11" t="s">
        <v>90</v>
      </c>
      <c r="D11" t="s">
        <v>25</v>
      </c>
      <c r="E11" t="s">
        <v>79</v>
      </c>
      <c r="F11" s="191"/>
      <c r="G11" s="191"/>
      <c r="H11" s="191"/>
      <c r="I11" s="191"/>
      <c r="J11" s="191"/>
      <c r="K11" s="191"/>
      <c r="L11" s="191"/>
      <c r="M11" s="191">
        <v>0</v>
      </c>
      <c r="N11" s="191">
        <v>0</v>
      </c>
      <c r="O11" s="191">
        <v>0</v>
      </c>
      <c r="P11" s="191">
        <v>0</v>
      </c>
      <c r="Q11" s="191">
        <v>0</v>
      </c>
      <c r="R11" s="191">
        <v>0</v>
      </c>
      <c r="S11" s="191">
        <v>0</v>
      </c>
      <c r="T11" s="191">
        <v>0</v>
      </c>
      <c r="U11" s="191"/>
    </row>
    <row r="12" spans="1:21" x14ac:dyDescent="0.25">
      <c r="A12" t="s">
        <v>26</v>
      </c>
      <c r="B12" t="s">
        <v>47</v>
      </c>
      <c r="C12" t="s">
        <v>91</v>
      </c>
      <c r="D12" t="s">
        <v>25</v>
      </c>
      <c r="E12" t="s">
        <v>79</v>
      </c>
      <c r="F12" s="191"/>
      <c r="G12" s="191"/>
      <c r="H12" s="191"/>
      <c r="I12" s="191"/>
      <c r="J12" s="191"/>
      <c r="K12" s="191"/>
      <c r="L12" s="191"/>
      <c r="M12" s="191">
        <v>0.10100000000000001</v>
      </c>
      <c r="N12" s="191">
        <v>-2E-3</v>
      </c>
      <c r="O12" s="191">
        <v>0.17799999999999999</v>
      </c>
      <c r="P12" s="191">
        <v>21.126960090133601</v>
      </c>
      <c r="Q12" s="191">
        <v>9.1697011855126096</v>
      </c>
      <c r="R12" s="191">
        <v>11.3713438938855</v>
      </c>
      <c r="S12" s="191">
        <v>13.619360354646</v>
      </c>
      <c r="T12" s="191">
        <v>14.325490464258801</v>
      </c>
      <c r="U12" s="191"/>
    </row>
    <row r="13" spans="1:21" x14ac:dyDescent="0.25">
      <c r="A13" t="s">
        <v>26</v>
      </c>
      <c r="B13" t="s">
        <v>15</v>
      </c>
      <c r="C13" t="s">
        <v>92</v>
      </c>
      <c r="D13" t="s">
        <v>93</v>
      </c>
      <c r="E13" t="s">
        <v>79</v>
      </c>
      <c r="F13" s="186"/>
      <c r="G13" s="186"/>
      <c r="H13" s="186"/>
      <c r="I13" s="186"/>
      <c r="J13" s="186"/>
      <c r="K13" s="186"/>
      <c r="L13" s="186"/>
      <c r="M13" s="186">
        <v>0</v>
      </c>
      <c r="N13" s="186">
        <v>0</v>
      </c>
      <c r="O13" s="186">
        <v>0</v>
      </c>
      <c r="P13" s="186">
        <v>0</v>
      </c>
      <c r="Q13" s="186">
        <v>0</v>
      </c>
      <c r="R13" s="186">
        <v>0</v>
      </c>
      <c r="S13" s="186">
        <v>0</v>
      </c>
      <c r="T13" s="186">
        <v>6</v>
      </c>
      <c r="U13" s="186"/>
    </row>
    <row r="14" spans="1:21" x14ac:dyDescent="0.25">
      <c r="A14" t="s">
        <v>26</v>
      </c>
      <c r="B14" t="s">
        <v>16</v>
      </c>
      <c r="C14" t="s">
        <v>94</v>
      </c>
      <c r="D14" t="s">
        <v>93</v>
      </c>
      <c r="E14" t="s">
        <v>79</v>
      </c>
      <c r="F14" s="186"/>
      <c r="G14" s="186"/>
      <c r="H14" s="186"/>
      <c r="I14" s="186"/>
      <c r="J14" s="186"/>
      <c r="K14" s="186"/>
      <c r="L14" s="186"/>
      <c r="M14" s="186">
        <v>0</v>
      </c>
      <c r="N14" s="186">
        <v>0</v>
      </c>
      <c r="O14" s="186">
        <v>0</v>
      </c>
      <c r="P14" s="186">
        <v>0</v>
      </c>
      <c r="Q14" s="186">
        <v>0</v>
      </c>
      <c r="R14" s="186">
        <v>0</v>
      </c>
      <c r="S14" s="186">
        <v>0</v>
      </c>
      <c r="T14" s="186">
        <v>6</v>
      </c>
      <c r="U14" s="186"/>
    </row>
    <row r="15" spans="1:21" x14ac:dyDescent="0.25">
      <c r="A15" t="s">
        <v>26</v>
      </c>
      <c r="B15" t="s">
        <v>17</v>
      </c>
      <c r="C15" t="s">
        <v>95</v>
      </c>
      <c r="D15" t="s">
        <v>93</v>
      </c>
      <c r="E15" t="s">
        <v>79</v>
      </c>
      <c r="F15" s="186"/>
      <c r="G15" s="186"/>
      <c r="H15" s="186"/>
      <c r="I15" s="186"/>
      <c r="J15" s="186"/>
      <c r="K15" s="186"/>
      <c r="L15" s="186"/>
      <c r="M15" s="186">
        <v>6.25</v>
      </c>
      <c r="N15" s="186">
        <v>8.27</v>
      </c>
      <c r="O15" s="186">
        <v>7.48</v>
      </c>
      <c r="P15" s="186">
        <v>11.62</v>
      </c>
      <c r="Q15" s="186">
        <v>10.95</v>
      </c>
      <c r="R15" s="186">
        <v>11.64</v>
      </c>
      <c r="S15" s="186">
        <v>11.67</v>
      </c>
      <c r="T15" s="186">
        <v>10.37</v>
      </c>
      <c r="U15" s="186"/>
    </row>
    <row r="16" spans="1:21" x14ac:dyDescent="0.25">
      <c r="A16" t="s">
        <v>26</v>
      </c>
      <c r="B16" t="s">
        <v>18</v>
      </c>
      <c r="C16" t="s">
        <v>96</v>
      </c>
      <c r="D16" t="s">
        <v>93</v>
      </c>
      <c r="E16" t="s">
        <v>79</v>
      </c>
      <c r="F16" s="186"/>
      <c r="G16" s="186"/>
      <c r="H16" s="186"/>
      <c r="I16" s="186"/>
      <c r="J16" s="186"/>
      <c r="K16" s="186"/>
      <c r="L16" s="186"/>
      <c r="M16" s="186">
        <v>5.85</v>
      </c>
      <c r="N16" s="186">
        <v>8.01</v>
      </c>
      <c r="O16" s="186">
        <v>7.22</v>
      </c>
      <c r="P16" s="186">
        <v>11.55</v>
      </c>
      <c r="Q16" s="186">
        <v>10.88</v>
      </c>
      <c r="R16" s="186">
        <v>11.56</v>
      </c>
      <c r="S16" s="186">
        <v>11.46</v>
      </c>
      <c r="T16" s="186">
        <v>10.3</v>
      </c>
      <c r="U16" s="186"/>
    </row>
    <row r="17" spans="1:21" x14ac:dyDescent="0.25">
      <c r="A17" t="s">
        <v>26</v>
      </c>
      <c r="B17" t="s">
        <v>23</v>
      </c>
      <c r="C17" t="s">
        <v>97</v>
      </c>
      <c r="D17" t="s">
        <v>93</v>
      </c>
      <c r="E17" t="s">
        <v>79</v>
      </c>
      <c r="F17" s="186"/>
      <c r="G17" s="186"/>
      <c r="H17" s="186"/>
      <c r="I17" s="186"/>
      <c r="J17" s="186"/>
      <c r="K17" s="186"/>
      <c r="L17" s="186"/>
      <c r="M17" s="186">
        <v>182.66</v>
      </c>
      <c r="N17" s="186">
        <v>177</v>
      </c>
      <c r="O17" s="186">
        <v>172</v>
      </c>
      <c r="P17" s="186">
        <v>170.11</v>
      </c>
      <c r="Q17" s="186">
        <v>163.44</v>
      </c>
      <c r="R17" s="186">
        <v>156.29</v>
      </c>
      <c r="S17" s="186">
        <v>149.15</v>
      </c>
      <c r="T17" s="186">
        <v>142.24</v>
      </c>
      <c r="U17" s="186"/>
    </row>
    <row r="18" spans="1:21" x14ac:dyDescent="0.25">
      <c r="A18" t="s">
        <v>26</v>
      </c>
      <c r="B18" t="s">
        <v>48</v>
      </c>
      <c r="C18" t="s">
        <v>98</v>
      </c>
      <c r="D18" t="s">
        <v>99</v>
      </c>
      <c r="E18" t="s">
        <v>79</v>
      </c>
      <c r="F18" s="186"/>
      <c r="G18" s="186"/>
      <c r="H18" s="186"/>
      <c r="I18" s="186"/>
      <c r="J18" s="186"/>
      <c r="K18" s="186"/>
      <c r="L18" s="186"/>
      <c r="M18" s="186">
        <v>38420</v>
      </c>
      <c r="N18" s="186">
        <v>38631</v>
      </c>
      <c r="O18" s="186">
        <v>38853</v>
      </c>
      <c r="P18" s="186">
        <v>39072</v>
      </c>
      <c r="Q18" s="186">
        <v>39272</v>
      </c>
      <c r="R18" s="186">
        <v>39449</v>
      </c>
      <c r="S18" s="186">
        <v>39619</v>
      </c>
      <c r="T18" s="186">
        <v>40161</v>
      </c>
      <c r="U18" s="186"/>
    </row>
    <row r="19" spans="1:21" x14ac:dyDescent="0.25">
      <c r="A19" t="s">
        <v>26</v>
      </c>
      <c r="B19" t="s">
        <v>100</v>
      </c>
      <c r="C19" t="s">
        <v>101</v>
      </c>
      <c r="D19">
        <v>0</v>
      </c>
      <c r="E19" t="s">
        <v>79</v>
      </c>
      <c r="F19" s="192"/>
      <c r="G19" s="192"/>
      <c r="H19" s="192"/>
      <c r="I19" s="192"/>
      <c r="J19" s="192"/>
      <c r="K19" s="192"/>
      <c r="L19" s="192"/>
      <c r="M19" s="192">
        <v>2195.7190000000001</v>
      </c>
      <c r="N19" s="192">
        <v>2215.0169999999998</v>
      </c>
      <c r="O19" s="192">
        <v>2238.029</v>
      </c>
      <c r="P19" s="192">
        <v>2270.2710000000002</v>
      </c>
      <c r="Q19" s="192">
        <v>2306.3470000000002</v>
      </c>
      <c r="R19" s="192">
        <v>2344.165</v>
      </c>
      <c r="S19" s="192">
        <v>2381.817</v>
      </c>
      <c r="T19" s="192">
        <v>2416.46</v>
      </c>
      <c r="U19" s="192"/>
    </row>
    <row r="20" spans="1:21" x14ac:dyDescent="0.25">
      <c r="A20" t="s">
        <v>26</v>
      </c>
      <c r="B20" t="s">
        <v>102</v>
      </c>
      <c r="C20" t="s">
        <v>103</v>
      </c>
      <c r="D20" t="s">
        <v>25</v>
      </c>
      <c r="E20" t="s">
        <v>79</v>
      </c>
      <c r="F20" s="191"/>
      <c r="G20" s="191"/>
      <c r="H20" s="191"/>
      <c r="I20" s="191"/>
      <c r="J20" s="191"/>
      <c r="K20" s="191"/>
      <c r="L20" s="191"/>
      <c r="M20" s="191"/>
      <c r="N20" s="191"/>
      <c r="O20" s="191"/>
      <c r="P20" s="191"/>
      <c r="Q20" s="191"/>
      <c r="R20" s="191"/>
      <c r="S20" s="191"/>
      <c r="T20" s="191"/>
      <c r="U20" s="191">
        <v>0</v>
      </c>
    </row>
    <row r="21" spans="1:21" x14ac:dyDescent="0.25">
      <c r="A21" t="s">
        <v>26</v>
      </c>
      <c r="B21" t="s">
        <v>104</v>
      </c>
      <c r="C21" t="s">
        <v>105</v>
      </c>
      <c r="D21" t="s">
        <v>25</v>
      </c>
      <c r="E21" t="s">
        <v>79</v>
      </c>
      <c r="F21" s="191"/>
      <c r="G21" s="191"/>
      <c r="H21" s="191"/>
      <c r="I21" s="191"/>
      <c r="J21" s="191"/>
      <c r="K21" s="191"/>
      <c r="L21" s="191"/>
      <c r="M21" s="191"/>
      <c r="N21" s="191"/>
      <c r="O21" s="191"/>
      <c r="P21" s="191"/>
      <c r="Q21" s="191"/>
      <c r="R21" s="191"/>
      <c r="S21" s="191"/>
      <c r="T21" s="191"/>
      <c r="U21" s="191">
        <v>0</v>
      </c>
    </row>
    <row r="22" spans="1:21" x14ac:dyDescent="0.25">
      <c r="A22" t="s">
        <v>27</v>
      </c>
      <c r="B22" t="s">
        <v>77</v>
      </c>
      <c r="C22" t="s">
        <v>78</v>
      </c>
      <c r="D22" t="s">
        <v>25</v>
      </c>
      <c r="E22" t="s">
        <v>79</v>
      </c>
      <c r="F22" s="186"/>
      <c r="G22" s="186">
        <v>0</v>
      </c>
      <c r="H22" s="186">
        <v>0</v>
      </c>
      <c r="I22" s="186">
        <v>0</v>
      </c>
      <c r="J22" s="186">
        <v>0</v>
      </c>
      <c r="K22" s="186">
        <v>0</v>
      </c>
      <c r="L22" s="186">
        <v>0</v>
      </c>
      <c r="M22" s="186">
        <v>0.29799999999999999</v>
      </c>
      <c r="N22" s="186">
        <v>0.24561414993979599</v>
      </c>
      <c r="O22" s="186">
        <v>0.26391061588707398</v>
      </c>
      <c r="P22" s="186">
        <v>0</v>
      </c>
      <c r="Q22" s="186">
        <v>0</v>
      </c>
      <c r="R22" s="186">
        <v>0</v>
      </c>
      <c r="S22" s="186">
        <v>0</v>
      </c>
      <c r="T22" s="186">
        <v>0</v>
      </c>
      <c r="U22" s="186"/>
    </row>
    <row r="23" spans="1:21" x14ac:dyDescent="0.25">
      <c r="A23" t="s">
        <v>27</v>
      </c>
      <c r="B23" t="s">
        <v>80</v>
      </c>
      <c r="C23" t="s">
        <v>81</v>
      </c>
      <c r="D23" t="s">
        <v>25</v>
      </c>
      <c r="E23" t="s">
        <v>79</v>
      </c>
      <c r="F23" s="186"/>
      <c r="G23" s="186">
        <v>0</v>
      </c>
      <c r="H23" s="186">
        <v>0</v>
      </c>
      <c r="I23" s="186">
        <v>0</v>
      </c>
      <c r="J23" s="186">
        <v>0</v>
      </c>
      <c r="K23" s="186">
        <v>0</v>
      </c>
      <c r="L23" s="186">
        <v>0</v>
      </c>
      <c r="M23" s="186">
        <v>0.29799999999999999</v>
      </c>
      <c r="N23" s="186">
        <v>0.24561414993979599</v>
      </c>
      <c r="O23" s="186">
        <v>0.26391061588707398</v>
      </c>
      <c r="P23" s="186">
        <v>1.8149999999999999</v>
      </c>
      <c r="Q23" s="186">
        <v>8.3780000000000001</v>
      </c>
      <c r="R23" s="186">
        <v>8.4610000000000003</v>
      </c>
      <c r="S23" s="186">
        <v>5.9029999999999996</v>
      </c>
      <c r="T23" s="186">
        <v>2.1269999999999998</v>
      </c>
      <c r="U23" s="186"/>
    </row>
    <row r="24" spans="1:21" x14ac:dyDescent="0.25">
      <c r="A24" t="s">
        <v>27</v>
      </c>
      <c r="B24" t="s">
        <v>82</v>
      </c>
      <c r="C24" t="s">
        <v>83</v>
      </c>
      <c r="D24" t="s">
        <v>25</v>
      </c>
      <c r="E24" t="s">
        <v>79</v>
      </c>
      <c r="F24" s="186"/>
      <c r="G24" s="186">
        <v>0</v>
      </c>
      <c r="H24" s="186">
        <v>0</v>
      </c>
      <c r="I24" s="186">
        <v>0</v>
      </c>
      <c r="J24" s="186">
        <v>0</v>
      </c>
      <c r="K24" s="186">
        <v>0</v>
      </c>
      <c r="L24" s="186">
        <v>0</v>
      </c>
      <c r="M24" s="186">
        <v>0.26200000000000001</v>
      </c>
      <c r="N24" s="186">
        <v>0.21539971085990001</v>
      </c>
      <c r="O24" s="186">
        <v>0.232470000998</v>
      </c>
      <c r="P24" s="186">
        <v>0</v>
      </c>
      <c r="Q24" s="186">
        <v>0</v>
      </c>
      <c r="R24" s="186">
        <v>0</v>
      </c>
      <c r="S24" s="186">
        <v>0</v>
      </c>
      <c r="T24" s="186">
        <v>0</v>
      </c>
      <c r="U24" s="186"/>
    </row>
    <row r="25" spans="1:21" x14ac:dyDescent="0.25">
      <c r="A25" t="s">
        <v>27</v>
      </c>
      <c r="B25" t="s">
        <v>84</v>
      </c>
      <c r="C25" t="s">
        <v>85</v>
      </c>
      <c r="D25" t="s">
        <v>25</v>
      </c>
      <c r="E25" t="s">
        <v>79</v>
      </c>
      <c r="F25" s="186"/>
      <c r="G25" s="186">
        <v>0</v>
      </c>
      <c r="H25" s="186">
        <v>0</v>
      </c>
      <c r="I25" s="186">
        <v>0</v>
      </c>
      <c r="J25" s="186">
        <v>0</v>
      </c>
      <c r="K25" s="186">
        <v>0</v>
      </c>
      <c r="L25" s="186">
        <v>0</v>
      </c>
      <c r="M25" s="186">
        <v>0.26200000000000001</v>
      </c>
      <c r="N25" s="186">
        <v>0.21539971085990001</v>
      </c>
      <c r="O25" s="186">
        <v>0.232470000998</v>
      </c>
      <c r="P25" s="186">
        <v>0</v>
      </c>
      <c r="Q25" s="186">
        <v>0</v>
      </c>
      <c r="R25" s="186">
        <v>0</v>
      </c>
      <c r="S25" s="186">
        <v>0</v>
      </c>
      <c r="T25" s="186">
        <v>0</v>
      </c>
      <c r="U25" s="186"/>
    </row>
    <row r="26" spans="1:21" x14ac:dyDescent="0.25">
      <c r="A26" t="s">
        <v>27</v>
      </c>
      <c r="B26" t="s">
        <v>86</v>
      </c>
      <c r="C26" t="s">
        <v>87</v>
      </c>
      <c r="D26" t="s">
        <v>25</v>
      </c>
      <c r="E26" t="s">
        <v>79</v>
      </c>
      <c r="F26" s="186"/>
      <c r="G26" s="186">
        <v>273.907589997348</v>
      </c>
      <c r="H26" s="186">
        <v>296.85078930112201</v>
      </c>
      <c r="I26" s="186">
        <v>299.669423089926</v>
      </c>
      <c r="J26" s="186">
        <v>330.27042834461298</v>
      </c>
      <c r="K26" s="186">
        <v>238.91350033277899</v>
      </c>
      <c r="L26" s="186">
        <v>320.26033976200199</v>
      </c>
      <c r="M26" s="186">
        <v>354.38569999999999</v>
      </c>
      <c r="N26" s="186">
        <v>342.02939970306699</v>
      </c>
      <c r="O26" s="186">
        <v>300.73424514351899</v>
      </c>
      <c r="P26" s="186">
        <v>338.87299999999999</v>
      </c>
      <c r="Q26" s="186">
        <v>347.16399999999999</v>
      </c>
      <c r="R26" s="186">
        <v>338.81799999999998</v>
      </c>
      <c r="S26" s="186">
        <v>324.73200000000003</v>
      </c>
      <c r="T26" s="186">
        <v>316.38299999999998</v>
      </c>
      <c r="U26" s="186"/>
    </row>
    <row r="27" spans="1:21" x14ac:dyDescent="0.25">
      <c r="A27" t="s">
        <v>27</v>
      </c>
      <c r="B27" t="s">
        <v>44</v>
      </c>
      <c r="C27" t="s">
        <v>88</v>
      </c>
      <c r="D27" t="s">
        <v>25</v>
      </c>
      <c r="E27" t="s">
        <v>79</v>
      </c>
      <c r="F27" s="191"/>
      <c r="G27" s="191"/>
      <c r="H27" s="191"/>
      <c r="I27" s="191"/>
      <c r="J27" s="191"/>
      <c r="K27" s="191"/>
      <c r="L27" s="191"/>
      <c r="M27" s="191">
        <v>0</v>
      </c>
      <c r="N27" s="191">
        <v>0</v>
      </c>
      <c r="O27" s="191">
        <v>0</v>
      </c>
      <c r="P27" s="191">
        <v>0</v>
      </c>
      <c r="Q27" s="191">
        <v>0</v>
      </c>
      <c r="R27" s="191">
        <v>0</v>
      </c>
      <c r="S27" s="191">
        <v>0</v>
      </c>
      <c r="T27" s="191">
        <v>0</v>
      </c>
      <c r="U27" s="191"/>
    </row>
    <row r="28" spans="1:21" x14ac:dyDescent="0.25">
      <c r="A28" t="s">
        <v>27</v>
      </c>
      <c r="B28" t="s">
        <v>45</v>
      </c>
      <c r="C28" t="s">
        <v>89</v>
      </c>
      <c r="D28" t="s">
        <v>25</v>
      </c>
      <c r="E28" t="s">
        <v>79</v>
      </c>
      <c r="F28" s="191"/>
      <c r="G28" s="191"/>
      <c r="H28" s="191"/>
      <c r="I28" s="191"/>
      <c r="J28" s="191"/>
      <c r="K28" s="191"/>
      <c r="L28" s="191"/>
      <c r="M28" s="191">
        <v>0</v>
      </c>
      <c r="N28" s="191">
        <v>0</v>
      </c>
      <c r="O28" s="191">
        <v>0</v>
      </c>
      <c r="P28" s="191">
        <v>0.23599999999999999</v>
      </c>
      <c r="Q28" s="191">
        <v>0.23400000000000001</v>
      </c>
      <c r="R28" s="191">
        <v>0.23200000000000001</v>
      </c>
      <c r="S28" s="191">
        <v>0.22900000000000001</v>
      </c>
      <c r="T28" s="191">
        <v>0.22800000000000001</v>
      </c>
      <c r="U28" s="191"/>
    </row>
    <row r="29" spans="1:21" x14ac:dyDescent="0.25">
      <c r="A29" t="s">
        <v>27</v>
      </c>
      <c r="B29" t="s">
        <v>46</v>
      </c>
      <c r="C29" t="s">
        <v>90</v>
      </c>
      <c r="D29" t="s">
        <v>25</v>
      </c>
      <c r="E29" t="s">
        <v>79</v>
      </c>
      <c r="F29" s="191"/>
      <c r="G29" s="191"/>
      <c r="H29" s="191"/>
      <c r="I29" s="191"/>
      <c r="J29" s="191"/>
      <c r="K29" s="191"/>
      <c r="L29" s="191"/>
      <c r="M29" s="191">
        <v>0</v>
      </c>
      <c r="N29" s="191">
        <v>0</v>
      </c>
      <c r="O29" s="191">
        <v>0</v>
      </c>
      <c r="P29" s="191">
        <v>0</v>
      </c>
      <c r="Q29" s="191">
        <v>0</v>
      </c>
      <c r="R29" s="191">
        <v>0</v>
      </c>
      <c r="S29" s="191">
        <v>0</v>
      </c>
      <c r="T29" s="191">
        <v>0</v>
      </c>
      <c r="U29" s="191"/>
    </row>
    <row r="30" spans="1:21" x14ac:dyDescent="0.25">
      <c r="A30" t="s">
        <v>27</v>
      </c>
      <c r="B30" t="s">
        <v>47</v>
      </c>
      <c r="C30" t="s">
        <v>91</v>
      </c>
      <c r="D30" t="s">
        <v>25</v>
      </c>
      <c r="E30" t="s">
        <v>79</v>
      </c>
      <c r="F30" s="191"/>
      <c r="G30" s="191"/>
      <c r="H30" s="191"/>
      <c r="I30" s="191"/>
      <c r="J30" s="191"/>
      <c r="K30" s="191"/>
      <c r="L30" s="191"/>
      <c r="M30" s="191">
        <v>0</v>
      </c>
      <c r="N30" s="191">
        <v>0</v>
      </c>
      <c r="O30" s="191">
        <v>0</v>
      </c>
      <c r="P30" s="191">
        <v>0</v>
      </c>
      <c r="Q30" s="191">
        <v>0</v>
      </c>
      <c r="R30" s="191">
        <v>0</v>
      </c>
      <c r="S30" s="191">
        <v>0</v>
      </c>
      <c r="T30" s="191">
        <v>0</v>
      </c>
      <c r="U30" s="191"/>
    </row>
    <row r="31" spans="1:21" x14ac:dyDescent="0.25">
      <c r="A31" t="s">
        <v>27</v>
      </c>
      <c r="B31" t="s">
        <v>15</v>
      </c>
      <c r="C31" t="s">
        <v>92</v>
      </c>
      <c r="D31" t="s">
        <v>93</v>
      </c>
      <c r="E31" t="s">
        <v>79</v>
      </c>
      <c r="F31" s="186"/>
      <c r="G31" s="186"/>
      <c r="H31" s="186"/>
      <c r="I31" s="186"/>
      <c r="J31" s="186"/>
      <c r="K31" s="186"/>
      <c r="L31" s="186"/>
      <c r="M31" s="186">
        <v>0</v>
      </c>
      <c r="N31" s="186">
        <v>0</v>
      </c>
      <c r="O31" s="186">
        <v>0</v>
      </c>
      <c r="P31" s="186">
        <v>0</v>
      </c>
      <c r="Q31" s="186">
        <v>0</v>
      </c>
      <c r="R31" s="186">
        <v>3.98</v>
      </c>
      <c r="S31" s="186">
        <v>0.56000000000000005</v>
      </c>
      <c r="T31" s="186">
        <v>0.56000000000000005</v>
      </c>
      <c r="U31" s="186"/>
    </row>
    <row r="32" spans="1:21" x14ac:dyDescent="0.25">
      <c r="A32" t="s">
        <v>27</v>
      </c>
      <c r="B32" t="s">
        <v>16</v>
      </c>
      <c r="C32" t="s">
        <v>94</v>
      </c>
      <c r="D32" t="s">
        <v>93</v>
      </c>
      <c r="E32" t="s">
        <v>79</v>
      </c>
      <c r="F32" s="186"/>
      <c r="G32" s="186"/>
      <c r="H32" s="186"/>
      <c r="I32" s="186"/>
      <c r="J32" s="186"/>
      <c r="K32" s="186"/>
      <c r="L32" s="186"/>
      <c r="M32" s="186">
        <v>0</v>
      </c>
      <c r="N32" s="186">
        <v>0</v>
      </c>
      <c r="O32" s="186">
        <v>0</v>
      </c>
      <c r="P32" s="186">
        <v>0</v>
      </c>
      <c r="Q32" s="186">
        <v>0</v>
      </c>
      <c r="R32" s="186">
        <v>3.42</v>
      </c>
      <c r="S32" s="186">
        <v>0.39</v>
      </c>
      <c r="T32" s="186">
        <v>0.4</v>
      </c>
      <c r="U32" s="186"/>
    </row>
    <row r="33" spans="1:21" x14ac:dyDescent="0.25">
      <c r="A33" t="s">
        <v>27</v>
      </c>
      <c r="B33" t="s">
        <v>17</v>
      </c>
      <c r="C33" t="s">
        <v>95</v>
      </c>
      <c r="D33" t="s">
        <v>93</v>
      </c>
      <c r="E33" t="s">
        <v>79</v>
      </c>
      <c r="F33" s="186"/>
      <c r="G33" s="186"/>
      <c r="H33" s="186"/>
      <c r="I33" s="186"/>
      <c r="J33" s="186"/>
      <c r="K33" s="186"/>
      <c r="L33" s="186"/>
      <c r="M33" s="186">
        <v>0</v>
      </c>
      <c r="N33" s="186">
        <v>0</v>
      </c>
      <c r="O33" s="186">
        <v>0</v>
      </c>
      <c r="P33" s="186">
        <v>0</v>
      </c>
      <c r="Q33" s="186">
        <v>0</v>
      </c>
      <c r="R33" s="186">
        <v>0</v>
      </c>
      <c r="S33" s="186">
        <v>0</v>
      </c>
      <c r="T33" s="186">
        <v>0</v>
      </c>
      <c r="U33" s="186"/>
    </row>
    <row r="34" spans="1:21" x14ac:dyDescent="0.25">
      <c r="A34" t="s">
        <v>27</v>
      </c>
      <c r="B34" t="s">
        <v>18</v>
      </c>
      <c r="C34" t="s">
        <v>96</v>
      </c>
      <c r="D34" t="s">
        <v>93</v>
      </c>
      <c r="E34" t="s">
        <v>79</v>
      </c>
      <c r="F34" s="186"/>
      <c r="G34" s="186"/>
      <c r="H34" s="186"/>
      <c r="I34" s="186"/>
      <c r="J34" s="186"/>
      <c r="K34" s="186"/>
      <c r="L34" s="186"/>
      <c r="M34" s="186">
        <v>0</v>
      </c>
      <c r="N34" s="186">
        <v>0</v>
      </c>
      <c r="O34" s="186">
        <v>0</v>
      </c>
      <c r="P34" s="186">
        <v>0</v>
      </c>
      <c r="Q34" s="186">
        <v>0</v>
      </c>
      <c r="R34" s="186">
        <v>0</v>
      </c>
      <c r="S34" s="186">
        <v>0</v>
      </c>
      <c r="T34" s="186">
        <v>0</v>
      </c>
      <c r="U34" s="186"/>
    </row>
    <row r="35" spans="1:21" x14ac:dyDescent="0.25">
      <c r="A35" t="s">
        <v>27</v>
      </c>
      <c r="B35" t="s">
        <v>23</v>
      </c>
      <c r="C35" t="s">
        <v>97</v>
      </c>
      <c r="D35" t="s">
        <v>93</v>
      </c>
      <c r="E35" t="s">
        <v>79</v>
      </c>
      <c r="F35" s="186"/>
      <c r="G35" s="186"/>
      <c r="H35" s="186"/>
      <c r="I35" s="186"/>
      <c r="J35" s="186"/>
      <c r="K35" s="186"/>
      <c r="L35" s="186"/>
      <c r="M35" s="186">
        <v>172.85</v>
      </c>
      <c r="N35" s="186">
        <v>170.88</v>
      </c>
      <c r="O35" s="186">
        <v>169</v>
      </c>
      <c r="P35" s="186">
        <v>163.80000000000001</v>
      </c>
      <c r="Q35" s="186">
        <v>158.6</v>
      </c>
      <c r="R35" s="186">
        <v>153.4</v>
      </c>
      <c r="S35" s="186">
        <v>148.19999999999999</v>
      </c>
      <c r="T35" s="186">
        <v>143</v>
      </c>
      <c r="U35" s="186"/>
    </row>
    <row r="36" spans="1:21" x14ac:dyDescent="0.25">
      <c r="A36" t="s">
        <v>27</v>
      </c>
      <c r="B36" t="s">
        <v>48</v>
      </c>
      <c r="C36" t="s">
        <v>98</v>
      </c>
      <c r="D36" t="s">
        <v>99</v>
      </c>
      <c r="E36" t="s">
        <v>79</v>
      </c>
      <c r="F36" s="186"/>
      <c r="G36" s="186"/>
      <c r="H36" s="186"/>
      <c r="I36" s="186"/>
      <c r="J36" s="186"/>
      <c r="K36" s="186"/>
      <c r="L36" s="186"/>
      <c r="M36" s="186">
        <v>27597</v>
      </c>
      <c r="N36" s="186">
        <v>27692</v>
      </c>
      <c r="O36" s="186">
        <v>27786</v>
      </c>
      <c r="P36" s="186">
        <v>27827</v>
      </c>
      <c r="Q36" s="186">
        <v>27872</v>
      </c>
      <c r="R36" s="186">
        <v>27913</v>
      </c>
      <c r="S36" s="186">
        <v>27968</v>
      </c>
      <c r="T36" s="186">
        <v>28037</v>
      </c>
      <c r="U36" s="186"/>
    </row>
    <row r="37" spans="1:21" x14ac:dyDescent="0.25">
      <c r="A37" t="s">
        <v>27</v>
      </c>
      <c r="B37" t="s">
        <v>100</v>
      </c>
      <c r="C37" t="s">
        <v>101</v>
      </c>
      <c r="D37">
        <v>0</v>
      </c>
      <c r="E37" t="s">
        <v>79</v>
      </c>
      <c r="F37" s="192"/>
      <c r="G37" s="192"/>
      <c r="H37" s="192"/>
      <c r="I37" s="192"/>
      <c r="J37" s="192"/>
      <c r="K37" s="192"/>
      <c r="L37" s="192"/>
      <c r="M37" s="192">
        <v>1433.501</v>
      </c>
      <c r="N37" s="192">
        <v>1438.8920000000001</v>
      </c>
      <c r="O37" s="192">
        <v>1447.454</v>
      </c>
      <c r="P37" s="192">
        <v>1456.2349999999999</v>
      </c>
      <c r="Q37" s="192">
        <v>1465.1679999999999</v>
      </c>
      <c r="R37" s="192">
        <v>1474.25</v>
      </c>
      <c r="S37" s="192">
        <v>1483.37</v>
      </c>
      <c r="T37" s="192">
        <v>1492.5239999999999</v>
      </c>
      <c r="U37" s="192"/>
    </row>
    <row r="38" spans="1:21" x14ac:dyDescent="0.25">
      <c r="A38" t="s">
        <v>27</v>
      </c>
      <c r="B38" t="s">
        <v>102</v>
      </c>
      <c r="C38" t="s">
        <v>103</v>
      </c>
      <c r="D38" t="s">
        <v>25</v>
      </c>
      <c r="E38" t="s">
        <v>79</v>
      </c>
      <c r="F38" s="191"/>
      <c r="G38" s="191"/>
      <c r="H38" s="191"/>
      <c r="I38" s="191"/>
      <c r="J38" s="191"/>
      <c r="K38" s="191"/>
      <c r="L38" s="191"/>
      <c r="M38" s="191"/>
      <c r="N38" s="191"/>
      <c r="O38" s="191"/>
      <c r="P38" s="191"/>
      <c r="Q38" s="191"/>
      <c r="R38" s="191"/>
      <c r="S38" s="191"/>
      <c r="T38" s="191"/>
      <c r="U38" s="191">
        <v>0</v>
      </c>
    </row>
    <row r="39" spans="1:21" x14ac:dyDescent="0.25">
      <c r="A39" t="s">
        <v>27</v>
      </c>
      <c r="B39" t="s">
        <v>104</v>
      </c>
      <c r="C39" t="s">
        <v>105</v>
      </c>
      <c r="D39" t="s">
        <v>25</v>
      </c>
      <c r="E39" t="s">
        <v>79</v>
      </c>
      <c r="F39" s="191"/>
      <c r="G39" s="191"/>
      <c r="H39" s="191"/>
      <c r="I39" s="191"/>
      <c r="J39" s="191"/>
      <c r="K39" s="191"/>
      <c r="L39" s="191"/>
      <c r="M39" s="191"/>
      <c r="N39" s="191"/>
      <c r="O39" s="191"/>
      <c r="P39" s="191"/>
      <c r="Q39" s="191"/>
      <c r="R39" s="191"/>
      <c r="S39" s="191"/>
      <c r="T39" s="191"/>
      <c r="U39" s="191">
        <v>0</v>
      </c>
    </row>
    <row r="40" spans="1:21" x14ac:dyDescent="0.25">
      <c r="A40" t="s">
        <v>106</v>
      </c>
      <c r="B40" t="s">
        <v>77</v>
      </c>
      <c r="C40" t="s">
        <v>78</v>
      </c>
      <c r="D40" t="s">
        <v>25</v>
      </c>
      <c r="E40" t="s">
        <v>79</v>
      </c>
      <c r="F40" s="186"/>
      <c r="G40" s="186"/>
      <c r="H40" s="186"/>
      <c r="I40" s="186"/>
      <c r="J40" s="186"/>
      <c r="K40" s="186"/>
      <c r="L40" s="186"/>
      <c r="M40" s="186">
        <v>0</v>
      </c>
      <c r="N40" s="186">
        <v>0</v>
      </c>
      <c r="O40" s="186">
        <v>0</v>
      </c>
      <c r="P40" s="186">
        <v>0</v>
      </c>
      <c r="Q40" s="186">
        <v>0</v>
      </c>
      <c r="R40" s="186">
        <v>0</v>
      </c>
      <c r="S40" s="186">
        <v>0</v>
      </c>
      <c r="T40" s="186">
        <v>0</v>
      </c>
      <c r="U40" s="186"/>
    </row>
    <row r="41" spans="1:21" x14ac:dyDescent="0.25">
      <c r="A41" t="s">
        <v>106</v>
      </c>
      <c r="B41" t="s">
        <v>80</v>
      </c>
      <c r="C41" t="s">
        <v>81</v>
      </c>
      <c r="D41" t="s">
        <v>25</v>
      </c>
      <c r="E41" t="s">
        <v>79</v>
      </c>
      <c r="F41" s="186"/>
      <c r="G41" s="186"/>
      <c r="H41" s="186"/>
      <c r="I41" s="186"/>
      <c r="J41" s="186"/>
      <c r="K41" s="186"/>
      <c r="L41" s="186"/>
      <c r="M41" s="186">
        <v>0</v>
      </c>
      <c r="N41" s="186">
        <v>0</v>
      </c>
      <c r="O41" s="186">
        <v>0</v>
      </c>
      <c r="P41" s="186">
        <v>0</v>
      </c>
      <c r="Q41" s="186">
        <v>0</v>
      </c>
      <c r="R41" s="186">
        <v>0</v>
      </c>
      <c r="S41" s="186">
        <v>0</v>
      </c>
      <c r="T41" s="186">
        <v>0</v>
      </c>
      <c r="U41" s="186"/>
    </row>
    <row r="42" spans="1:21" x14ac:dyDescent="0.25">
      <c r="A42" t="s">
        <v>106</v>
      </c>
      <c r="B42" t="s">
        <v>82</v>
      </c>
      <c r="C42" t="s">
        <v>83</v>
      </c>
      <c r="D42" t="s">
        <v>25</v>
      </c>
      <c r="E42" t="s">
        <v>79</v>
      </c>
      <c r="F42" s="186"/>
      <c r="G42" s="186"/>
      <c r="H42" s="186"/>
      <c r="I42" s="186"/>
      <c r="J42" s="186"/>
      <c r="K42" s="186"/>
      <c r="L42" s="186"/>
      <c r="M42" s="186">
        <v>0</v>
      </c>
      <c r="N42" s="186">
        <v>0</v>
      </c>
      <c r="O42" s="186">
        <v>0</v>
      </c>
      <c r="P42" s="186">
        <v>0</v>
      </c>
      <c r="Q42" s="186">
        <v>0</v>
      </c>
      <c r="R42" s="186">
        <v>0</v>
      </c>
      <c r="S42" s="186">
        <v>0</v>
      </c>
      <c r="T42" s="186">
        <v>0</v>
      </c>
      <c r="U42" s="186"/>
    </row>
    <row r="43" spans="1:21" x14ac:dyDescent="0.25">
      <c r="A43" t="s">
        <v>106</v>
      </c>
      <c r="B43" t="s">
        <v>84</v>
      </c>
      <c r="C43" t="s">
        <v>85</v>
      </c>
      <c r="D43" t="s">
        <v>25</v>
      </c>
      <c r="E43" t="s">
        <v>79</v>
      </c>
      <c r="F43" s="186"/>
      <c r="G43" s="186"/>
      <c r="H43" s="186"/>
      <c r="I43" s="186"/>
      <c r="J43" s="186"/>
      <c r="K43" s="186"/>
      <c r="L43" s="186"/>
      <c r="M43" s="186">
        <v>0.12432094690781099</v>
      </c>
      <c r="N43" s="186">
        <v>5.72923327785195E-2</v>
      </c>
      <c r="O43" s="186">
        <v>9.2659836419697703E-2</v>
      </c>
      <c r="P43" s="186">
        <v>0</v>
      </c>
      <c r="Q43" s="186">
        <v>0</v>
      </c>
      <c r="R43" s="186">
        <v>0</v>
      </c>
      <c r="S43" s="186">
        <v>0</v>
      </c>
      <c r="T43" s="186">
        <v>0</v>
      </c>
      <c r="U43" s="186"/>
    </row>
    <row r="44" spans="1:21" x14ac:dyDescent="0.25">
      <c r="A44" t="s">
        <v>106</v>
      </c>
      <c r="B44" t="s">
        <v>86</v>
      </c>
      <c r="C44" t="s">
        <v>87</v>
      </c>
      <c r="D44" t="s">
        <v>25</v>
      </c>
      <c r="E44" t="s">
        <v>79</v>
      </c>
      <c r="F44" s="186"/>
      <c r="G44" s="186"/>
      <c r="H44" s="186"/>
      <c r="I44" s="186"/>
      <c r="J44" s="186"/>
      <c r="K44" s="186"/>
      <c r="L44" s="186"/>
      <c r="M44" s="186">
        <v>28.883528135844902</v>
      </c>
      <c r="N44" s="186">
        <v>31.639380728239999</v>
      </c>
      <c r="O44" s="186">
        <v>24.7939310449453</v>
      </c>
      <c r="P44" s="186">
        <v>27.46</v>
      </c>
      <c r="Q44" s="186">
        <v>27.120999999999999</v>
      </c>
      <c r="R44" s="186">
        <v>26.327000000000002</v>
      </c>
      <c r="S44" s="186">
        <v>25.742000000000001</v>
      </c>
      <c r="T44" s="186">
        <v>26.044</v>
      </c>
      <c r="U44" s="186"/>
    </row>
    <row r="45" spans="1:21" x14ac:dyDescent="0.25">
      <c r="A45" t="s">
        <v>106</v>
      </c>
      <c r="B45" t="s">
        <v>44</v>
      </c>
      <c r="C45" t="s">
        <v>88</v>
      </c>
      <c r="D45" t="s">
        <v>25</v>
      </c>
      <c r="E45" t="s">
        <v>79</v>
      </c>
      <c r="F45" s="191"/>
      <c r="G45" s="191"/>
      <c r="H45" s="191"/>
      <c r="I45" s="191"/>
      <c r="J45" s="191"/>
      <c r="K45" s="191"/>
      <c r="L45" s="191"/>
      <c r="M45" s="191">
        <v>0</v>
      </c>
      <c r="N45" s="191">
        <v>0</v>
      </c>
      <c r="O45" s="191">
        <v>0</v>
      </c>
      <c r="P45" s="191">
        <v>0</v>
      </c>
      <c r="Q45" s="191">
        <v>0</v>
      </c>
      <c r="R45" s="191">
        <v>0</v>
      </c>
      <c r="S45" s="191">
        <v>0</v>
      </c>
      <c r="T45" s="191">
        <v>0</v>
      </c>
      <c r="U45" s="191"/>
    </row>
    <row r="46" spans="1:21" x14ac:dyDescent="0.25">
      <c r="A46" t="s">
        <v>106</v>
      </c>
      <c r="B46" t="s">
        <v>45</v>
      </c>
      <c r="C46" t="s">
        <v>89</v>
      </c>
      <c r="D46" t="s">
        <v>25</v>
      </c>
      <c r="E46" t="s">
        <v>79</v>
      </c>
      <c r="F46" s="191"/>
      <c r="G46" s="191"/>
      <c r="H46" s="191"/>
      <c r="I46" s="191"/>
      <c r="J46" s="191"/>
      <c r="K46" s="191"/>
      <c r="L46" s="191"/>
      <c r="M46" s="191">
        <v>0</v>
      </c>
      <c r="N46" s="191">
        <v>0</v>
      </c>
      <c r="O46" s="191">
        <v>0</v>
      </c>
      <c r="P46" s="191">
        <v>0</v>
      </c>
      <c r="Q46" s="191">
        <v>0</v>
      </c>
      <c r="R46" s="191">
        <v>0</v>
      </c>
      <c r="S46" s="191">
        <v>0</v>
      </c>
      <c r="T46" s="191">
        <v>0</v>
      </c>
      <c r="U46" s="191"/>
    </row>
    <row r="47" spans="1:21" x14ac:dyDescent="0.25">
      <c r="A47" t="s">
        <v>106</v>
      </c>
      <c r="B47" t="s">
        <v>46</v>
      </c>
      <c r="C47" t="s">
        <v>90</v>
      </c>
      <c r="D47" t="s">
        <v>25</v>
      </c>
      <c r="E47" t="s">
        <v>79</v>
      </c>
      <c r="F47" s="191"/>
      <c r="G47" s="191"/>
      <c r="H47" s="191"/>
      <c r="I47" s="191"/>
      <c r="J47" s="191"/>
      <c r="K47" s="191"/>
      <c r="L47" s="191"/>
      <c r="M47" s="191">
        <v>0</v>
      </c>
      <c r="N47" s="191">
        <v>0</v>
      </c>
      <c r="O47" s="191">
        <v>0</v>
      </c>
      <c r="P47" s="191">
        <v>0</v>
      </c>
      <c r="Q47" s="191">
        <v>0</v>
      </c>
      <c r="R47" s="191">
        <v>0</v>
      </c>
      <c r="S47" s="191">
        <v>0</v>
      </c>
      <c r="T47" s="191">
        <v>0</v>
      </c>
      <c r="U47" s="191"/>
    </row>
    <row r="48" spans="1:21" x14ac:dyDescent="0.25">
      <c r="A48" t="s">
        <v>106</v>
      </c>
      <c r="B48" t="s">
        <v>47</v>
      </c>
      <c r="C48" t="s">
        <v>91</v>
      </c>
      <c r="D48" t="s">
        <v>25</v>
      </c>
      <c r="E48" t="s">
        <v>79</v>
      </c>
      <c r="F48" s="191"/>
      <c r="G48" s="191"/>
      <c r="H48" s="191"/>
      <c r="I48" s="191"/>
      <c r="J48" s="191"/>
      <c r="K48" s="191"/>
      <c r="L48" s="191"/>
      <c r="M48" s="191">
        <v>0</v>
      </c>
      <c r="N48" s="191">
        <v>0</v>
      </c>
      <c r="O48" s="191">
        <v>0</v>
      </c>
      <c r="P48" s="191">
        <v>0</v>
      </c>
      <c r="Q48" s="191">
        <v>0</v>
      </c>
      <c r="R48" s="191">
        <v>0</v>
      </c>
      <c r="S48" s="191">
        <v>0</v>
      </c>
      <c r="T48" s="191">
        <v>0</v>
      </c>
      <c r="U48" s="191"/>
    </row>
    <row r="49" spans="1:21" x14ac:dyDescent="0.25">
      <c r="A49" t="s">
        <v>106</v>
      </c>
      <c r="B49" t="s">
        <v>15</v>
      </c>
      <c r="C49" t="s">
        <v>92</v>
      </c>
      <c r="D49" t="s">
        <v>93</v>
      </c>
      <c r="E49" t="s">
        <v>79</v>
      </c>
      <c r="F49" s="186"/>
      <c r="G49" s="186"/>
      <c r="H49" s="186"/>
      <c r="I49" s="186"/>
      <c r="J49" s="186"/>
      <c r="K49" s="186"/>
      <c r="L49" s="186"/>
      <c r="M49" s="186">
        <v>0</v>
      </c>
      <c r="N49" s="186">
        <v>0</v>
      </c>
      <c r="O49" s="186">
        <v>0</v>
      </c>
      <c r="P49" s="186">
        <v>0</v>
      </c>
      <c r="Q49" s="186">
        <v>0</v>
      </c>
      <c r="R49" s="186">
        <v>0</v>
      </c>
      <c r="S49" s="186">
        <v>0</v>
      </c>
      <c r="T49" s="186">
        <v>0</v>
      </c>
      <c r="U49" s="186"/>
    </row>
    <row r="50" spans="1:21" x14ac:dyDescent="0.25">
      <c r="A50" t="s">
        <v>106</v>
      </c>
      <c r="B50" t="s">
        <v>16</v>
      </c>
      <c r="C50" t="s">
        <v>94</v>
      </c>
      <c r="D50" t="s">
        <v>93</v>
      </c>
      <c r="E50" t="s">
        <v>79</v>
      </c>
      <c r="F50" s="186"/>
      <c r="G50" s="186"/>
      <c r="H50" s="186"/>
      <c r="I50" s="186"/>
      <c r="J50" s="186"/>
      <c r="K50" s="186"/>
      <c r="L50" s="186"/>
      <c r="M50" s="186">
        <v>0</v>
      </c>
      <c r="N50" s="186">
        <v>0</v>
      </c>
      <c r="O50" s="186">
        <v>0</v>
      </c>
      <c r="P50" s="186">
        <v>0</v>
      </c>
      <c r="Q50" s="186">
        <v>0</v>
      </c>
      <c r="R50" s="186">
        <v>0</v>
      </c>
      <c r="S50" s="186">
        <v>0</v>
      </c>
      <c r="T50" s="186">
        <v>0</v>
      </c>
      <c r="U50" s="186"/>
    </row>
    <row r="51" spans="1:21" x14ac:dyDescent="0.25">
      <c r="A51" t="s">
        <v>106</v>
      </c>
      <c r="B51" t="s">
        <v>17</v>
      </c>
      <c r="C51" t="s">
        <v>95</v>
      </c>
      <c r="D51" t="s">
        <v>93</v>
      </c>
      <c r="E51" t="s">
        <v>79</v>
      </c>
      <c r="F51" s="186"/>
      <c r="G51" s="186"/>
      <c r="H51" s="186"/>
      <c r="I51" s="186"/>
      <c r="J51" s="186"/>
      <c r="K51" s="186"/>
      <c r="L51" s="186"/>
      <c r="M51" s="186">
        <v>0</v>
      </c>
      <c r="N51" s="186">
        <v>0</v>
      </c>
      <c r="O51" s="186">
        <v>0</v>
      </c>
      <c r="P51" s="186">
        <v>0.43661491466276803</v>
      </c>
      <c r="Q51" s="186">
        <v>0.43563471273246002</v>
      </c>
      <c r="R51" s="186">
        <v>0.43562930742116901</v>
      </c>
      <c r="S51" s="186">
        <v>0.43562374834568102</v>
      </c>
      <c r="T51" s="186">
        <v>0.43561845266001198</v>
      </c>
      <c r="U51" s="186"/>
    </row>
    <row r="52" spans="1:21" x14ac:dyDescent="0.25">
      <c r="A52" t="s">
        <v>106</v>
      </c>
      <c r="B52" t="s">
        <v>18</v>
      </c>
      <c r="C52" t="s">
        <v>96</v>
      </c>
      <c r="D52" t="s">
        <v>93</v>
      </c>
      <c r="E52" t="s">
        <v>79</v>
      </c>
      <c r="F52" s="186"/>
      <c r="G52" s="186"/>
      <c r="H52" s="186"/>
      <c r="I52" s="186"/>
      <c r="J52" s="186"/>
      <c r="K52" s="186"/>
      <c r="L52" s="186"/>
      <c r="M52" s="186">
        <v>0</v>
      </c>
      <c r="N52" s="186">
        <v>0</v>
      </c>
      <c r="O52" s="186">
        <v>0</v>
      </c>
      <c r="P52" s="186">
        <v>0.43661491466276803</v>
      </c>
      <c r="Q52" s="186">
        <v>0.43563471273246002</v>
      </c>
      <c r="R52" s="186">
        <v>0.43562930742116901</v>
      </c>
      <c r="S52" s="186">
        <v>0.43562374834568102</v>
      </c>
      <c r="T52" s="186">
        <v>0.43561845266001198</v>
      </c>
      <c r="U52" s="186"/>
    </row>
    <row r="53" spans="1:21" x14ac:dyDescent="0.25">
      <c r="A53" t="s">
        <v>106</v>
      </c>
      <c r="B53" t="s">
        <v>23</v>
      </c>
      <c r="C53" t="s">
        <v>97</v>
      </c>
      <c r="D53" t="s">
        <v>93</v>
      </c>
      <c r="E53" t="s">
        <v>79</v>
      </c>
      <c r="F53" s="186"/>
      <c r="G53" s="186"/>
      <c r="H53" s="186"/>
      <c r="I53" s="186"/>
      <c r="J53" s="186"/>
      <c r="K53" s="186"/>
      <c r="L53" s="186"/>
      <c r="M53" s="186">
        <v>14.6198616647624</v>
      </c>
      <c r="N53" s="186">
        <v>14.5657326228533</v>
      </c>
      <c r="O53" s="186">
        <v>14.512425451575799</v>
      </c>
      <c r="P53" s="186">
        <v>14.076107528233401</v>
      </c>
      <c r="Q53" s="186">
        <v>13.640763996432399</v>
      </c>
      <c r="R53" s="186">
        <v>13.205420464631301</v>
      </c>
      <c r="S53" s="186">
        <v>12.7700769328303</v>
      </c>
      <c r="T53" s="186">
        <v>12.3347334010293</v>
      </c>
      <c r="U53" s="186"/>
    </row>
    <row r="54" spans="1:21" x14ac:dyDescent="0.25">
      <c r="A54" t="s">
        <v>106</v>
      </c>
      <c r="B54" t="s">
        <v>48</v>
      </c>
      <c r="C54" t="s">
        <v>98</v>
      </c>
      <c r="D54" t="s">
        <v>99</v>
      </c>
      <c r="E54" t="s">
        <v>79</v>
      </c>
      <c r="F54" s="186"/>
      <c r="G54" s="186"/>
      <c r="H54" s="186"/>
      <c r="I54" s="186"/>
      <c r="J54" s="186"/>
      <c r="K54" s="186"/>
      <c r="L54" s="186"/>
      <c r="M54" s="186">
        <v>2626.6137800000001</v>
      </c>
      <c r="N54" s="186">
        <v>2637.31378</v>
      </c>
      <c r="O54" s="186">
        <v>2648.0137800000002</v>
      </c>
      <c r="P54" s="186">
        <v>2658.71378</v>
      </c>
      <c r="Q54" s="186">
        <v>2669.4137799999999</v>
      </c>
      <c r="R54" s="186">
        <v>2680.1137800000001</v>
      </c>
      <c r="S54" s="186">
        <v>2690.81378</v>
      </c>
      <c r="T54" s="186">
        <v>2701.5137800000002</v>
      </c>
      <c r="U54" s="186"/>
    </row>
    <row r="55" spans="1:21" x14ac:dyDescent="0.25">
      <c r="A55" t="s">
        <v>106</v>
      </c>
      <c r="B55" t="s">
        <v>100</v>
      </c>
      <c r="C55" t="s">
        <v>101</v>
      </c>
      <c r="D55">
        <v>0</v>
      </c>
      <c r="E55" t="s">
        <v>79</v>
      </c>
      <c r="F55" s="192"/>
      <c r="G55" s="192"/>
      <c r="H55" s="192"/>
      <c r="I55" s="192"/>
      <c r="J55" s="192"/>
      <c r="K55" s="192"/>
      <c r="L55" s="192"/>
      <c r="M55" s="192">
        <v>104.86799999999999</v>
      </c>
      <c r="N55" s="192">
        <v>105.212032502396</v>
      </c>
      <c r="O55" s="192">
        <v>105.55601013804799</v>
      </c>
      <c r="P55" s="192">
        <v>105.90804264044399</v>
      </c>
      <c r="Q55" s="192">
        <v>106.28807514284</v>
      </c>
      <c r="R55" s="192">
        <v>106.695107645237</v>
      </c>
      <c r="S55" s="192">
        <v>107.110167581005</v>
      </c>
      <c r="T55" s="192">
        <v>107.53322751677401</v>
      </c>
      <c r="U55" s="192"/>
    </row>
    <row r="56" spans="1:21" x14ac:dyDescent="0.25">
      <c r="A56" t="s">
        <v>106</v>
      </c>
      <c r="B56" t="s">
        <v>102</v>
      </c>
      <c r="C56" t="s">
        <v>103</v>
      </c>
      <c r="D56" t="s">
        <v>25</v>
      </c>
      <c r="E56" t="s">
        <v>79</v>
      </c>
      <c r="F56" s="191"/>
      <c r="G56" s="191"/>
      <c r="H56" s="191"/>
      <c r="I56" s="191"/>
      <c r="J56" s="191"/>
      <c r="K56" s="191"/>
      <c r="L56" s="191"/>
      <c r="M56" s="191"/>
      <c r="N56" s="191"/>
      <c r="O56" s="191"/>
      <c r="P56" s="191"/>
      <c r="Q56" s="191"/>
      <c r="R56" s="191"/>
      <c r="S56" s="191"/>
      <c r="T56" s="191"/>
      <c r="U56" s="191">
        <v>0</v>
      </c>
    </row>
    <row r="57" spans="1:21" x14ac:dyDescent="0.25">
      <c r="A57" t="s">
        <v>106</v>
      </c>
      <c r="B57" t="s">
        <v>104</v>
      </c>
      <c r="C57" t="s">
        <v>105</v>
      </c>
      <c r="D57" t="s">
        <v>25</v>
      </c>
      <c r="E57" t="s">
        <v>79</v>
      </c>
      <c r="F57" s="191"/>
      <c r="G57" s="191"/>
      <c r="H57" s="191"/>
      <c r="I57" s="191"/>
      <c r="J57" s="191"/>
      <c r="K57" s="191"/>
      <c r="L57" s="191"/>
      <c r="M57" s="191"/>
      <c r="N57" s="191"/>
      <c r="O57" s="191"/>
      <c r="P57" s="191"/>
      <c r="Q57" s="191"/>
      <c r="R57" s="191"/>
      <c r="S57" s="191"/>
      <c r="T57" s="191"/>
      <c r="U57" s="191">
        <v>0</v>
      </c>
    </row>
    <row r="58" spans="1:21" x14ac:dyDescent="0.25">
      <c r="A58" t="s">
        <v>28</v>
      </c>
      <c r="B58" t="s">
        <v>77</v>
      </c>
      <c r="C58" t="s">
        <v>78</v>
      </c>
      <c r="D58" t="s">
        <v>25</v>
      </c>
      <c r="E58" t="s">
        <v>79</v>
      </c>
      <c r="F58" s="186"/>
      <c r="G58" s="186">
        <v>0</v>
      </c>
      <c r="H58" s="186">
        <v>0</v>
      </c>
      <c r="I58" s="186">
        <v>0</v>
      </c>
      <c r="J58" s="186">
        <v>0</v>
      </c>
      <c r="K58" s="186">
        <v>0</v>
      </c>
      <c r="L58" s="186">
        <v>0</v>
      </c>
      <c r="M58" s="186">
        <v>0</v>
      </c>
      <c r="N58" s="186">
        <v>0</v>
      </c>
      <c r="O58" s="186">
        <v>0</v>
      </c>
      <c r="P58" s="186">
        <v>0</v>
      </c>
      <c r="Q58" s="186">
        <v>0</v>
      </c>
      <c r="R58" s="186">
        <v>0</v>
      </c>
      <c r="S58" s="186">
        <v>0</v>
      </c>
      <c r="T58" s="186">
        <v>0</v>
      </c>
      <c r="U58" s="186"/>
    </row>
    <row r="59" spans="1:21" x14ac:dyDescent="0.25">
      <c r="A59" t="s">
        <v>28</v>
      </c>
      <c r="B59" t="s">
        <v>80</v>
      </c>
      <c r="C59" t="s">
        <v>81</v>
      </c>
      <c r="D59" t="s">
        <v>25</v>
      </c>
      <c r="E59" t="s">
        <v>79</v>
      </c>
      <c r="F59" s="186"/>
      <c r="G59" s="186">
        <v>54.646479278960797</v>
      </c>
      <c r="H59" s="186">
        <v>18.428815703192399</v>
      </c>
      <c r="I59" s="186">
        <v>5.9168853955375198</v>
      </c>
      <c r="J59" s="186">
        <v>7.2996080889111701</v>
      </c>
      <c r="K59" s="186">
        <v>1.1694462562396</v>
      </c>
      <c r="L59" s="186">
        <v>0.32843003693065198</v>
      </c>
      <c r="M59" s="186">
        <v>0.28899999999999998</v>
      </c>
      <c r="N59" s="186">
        <v>0.15282281059063199</v>
      </c>
      <c r="O59" s="186">
        <v>8.8381625441696698E-2</v>
      </c>
      <c r="P59" s="186">
        <v>0</v>
      </c>
      <c r="Q59" s="186">
        <v>0</v>
      </c>
      <c r="R59" s="186">
        <v>0</v>
      </c>
      <c r="S59" s="186">
        <v>0</v>
      </c>
      <c r="T59" s="186">
        <v>0</v>
      </c>
      <c r="U59" s="186"/>
    </row>
    <row r="60" spans="1:21" x14ac:dyDescent="0.25">
      <c r="A60" t="s">
        <v>28</v>
      </c>
      <c r="B60" t="s">
        <v>82</v>
      </c>
      <c r="C60" t="s">
        <v>83</v>
      </c>
      <c r="D60" t="s">
        <v>25</v>
      </c>
      <c r="E60" t="s">
        <v>79</v>
      </c>
      <c r="F60" s="186"/>
      <c r="G60" s="186">
        <v>0</v>
      </c>
      <c r="H60" s="186">
        <v>0</v>
      </c>
      <c r="I60" s="186">
        <v>0</v>
      </c>
      <c r="J60" s="186">
        <v>0</v>
      </c>
      <c r="K60" s="186">
        <v>0</v>
      </c>
      <c r="L60" s="186">
        <v>0</v>
      </c>
      <c r="M60" s="186">
        <v>0</v>
      </c>
      <c r="N60" s="186">
        <v>0</v>
      </c>
      <c r="O60" s="186">
        <v>0</v>
      </c>
      <c r="P60" s="186">
        <v>0</v>
      </c>
      <c r="Q60" s="186">
        <v>0</v>
      </c>
      <c r="R60" s="186">
        <v>0</v>
      </c>
      <c r="S60" s="186">
        <v>0</v>
      </c>
      <c r="T60" s="186">
        <v>0</v>
      </c>
      <c r="U60" s="186"/>
    </row>
    <row r="61" spans="1:21" x14ac:dyDescent="0.25">
      <c r="A61" t="s">
        <v>28</v>
      </c>
      <c r="B61" t="s">
        <v>84</v>
      </c>
      <c r="C61" t="s">
        <v>85</v>
      </c>
      <c r="D61" t="s">
        <v>25</v>
      </c>
      <c r="E61" t="s">
        <v>79</v>
      </c>
      <c r="F61" s="186"/>
      <c r="G61" s="186">
        <v>0.66745816028982896</v>
      </c>
      <c r="H61" s="186">
        <v>1.01644969801553</v>
      </c>
      <c r="I61" s="186">
        <v>1.2683569979716E-2</v>
      </c>
      <c r="J61" s="186">
        <v>0</v>
      </c>
      <c r="K61" s="186">
        <v>0</v>
      </c>
      <c r="L61" s="186">
        <v>0</v>
      </c>
      <c r="M61" s="186">
        <v>0</v>
      </c>
      <c r="N61" s="186">
        <v>0</v>
      </c>
      <c r="O61" s="186">
        <v>0</v>
      </c>
      <c r="P61" s="186">
        <v>0</v>
      </c>
      <c r="Q61" s="186">
        <v>0</v>
      </c>
      <c r="R61" s="186">
        <v>0</v>
      </c>
      <c r="S61" s="186">
        <v>0</v>
      </c>
      <c r="T61" s="186">
        <v>0</v>
      </c>
      <c r="U61" s="186"/>
    </row>
    <row r="62" spans="1:21" x14ac:dyDescent="0.25">
      <c r="A62" t="s">
        <v>28</v>
      </c>
      <c r="B62" t="s">
        <v>86</v>
      </c>
      <c r="C62" t="s">
        <v>87</v>
      </c>
      <c r="D62" t="s">
        <v>25</v>
      </c>
      <c r="E62" t="s">
        <v>79</v>
      </c>
      <c r="F62" s="186"/>
      <c r="G62" s="186">
        <v>334.73689776442501</v>
      </c>
      <c r="H62" s="186">
        <v>301.21224331320099</v>
      </c>
      <c r="I62" s="186">
        <v>287.30822718052701</v>
      </c>
      <c r="J62" s="186">
        <v>277.251347459199</v>
      </c>
      <c r="K62" s="186">
        <v>291.508409317803</v>
      </c>
      <c r="L62" s="186">
        <v>284.62568075502702</v>
      </c>
      <c r="M62" s="186">
        <v>344.34100000000001</v>
      </c>
      <c r="N62" s="186">
        <v>367.75143991853599</v>
      </c>
      <c r="O62" s="186">
        <v>334.52541296666402</v>
      </c>
      <c r="P62" s="186">
        <v>348.07799999999997</v>
      </c>
      <c r="Q62" s="186">
        <v>368.71699999999998</v>
      </c>
      <c r="R62" s="186">
        <v>360.49900000000002</v>
      </c>
      <c r="S62" s="186">
        <v>337.22899999999998</v>
      </c>
      <c r="T62" s="186">
        <v>311.733</v>
      </c>
      <c r="U62" s="186"/>
    </row>
    <row r="63" spans="1:21" x14ac:dyDescent="0.25">
      <c r="A63" t="s">
        <v>28</v>
      </c>
      <c r="B63" t="s">
        <v>44</v>
      </c>
      <c r="C63" t="s">
        <v>88</v>
      </c>
      <c r="D63" t="s">
        <v>25</v>
      </c>
      <c r="E63" t="s">
        <v>79</v>
      </c>
      <c r="F63" s="191"/>
      <c r="G63" s="191"/>
      <c r="H63" s="191"/>
      <c r="I63" s="191"/>
      <c r="J63" s="191"/>
      <c r="K63" s="191"/>
      <c r="L63" s="191"/>
      <c r="M63" s="191">
        <v>0</v>
      </c>
      <c r="N63" s="191">
        <v>0</v>
      </c>
      <c r="O63" s="191">
        <v>0</v>
      </c>
      <c r="P63" s="191">
        <v>0</v>
      </c>
      <c r="Q63" s="191">
        <v>0</v>
      </c>
      <c r="R63" s="191">
        <v>0</v>
      </c>
      <c r="S63" s="191">
        <v>0</v>
      </c>
      <c r="T63" s="191">
        <v>0</v>
      </c>
      <c r="U63" s="191"/>
    </row>
    <row r="64" spans="1:21" x14ac:dyDescent="0.25">
      <c r="A64" t="s">
        <v>28</v>
      </c>
      <c r="B64" t="s">
        <v>45</v>
      </c>
      <c r="C64" t="s">
        <v>89</v>
      </c>
      <c r="D64" t="s">
        <v>25</v>
      </c>
      <c r="E64" t="s">
        <v>79</v>
      </c>
      <c r="F64" s="191"/>
      <c r="G64" s="191"/>
      <c r="H64" s="191"/>
      <c r="I64" s="191"/>
      <c r="J64" s="191"/>
      <c r="K64" s="191"/>
      <c r="L64" s="191"/>
      <c r="M64" s="191">
        <v>0</v>
      </c>
      <c r="N64" s="191">
        <v>0</v>
      </c>
      <c r="O64" s="191">
        <v>0</v>
      </c>
      <c r="P64" s="191">
        <v>0</v>
      </c>
      <c r="Q64" s="191">
        <v>0</v>
      </c>
      <c r="R64" s="191">
        <v>0</v>
      </c>
      <c r="S64" s="191">
        <v>0</v>
      </c>
      <c r="T64" s="191">
        <v>0</v>
      </c>
      <c r="U64" s="191"/>
    </row>
    <row r="65" spans="1:21" x14ac:dyDescent="0.25">
      <c r="A65" t="s">
        <v>28</v>
      </c>
      <c r="B65" t="s">
        <v>46</v>
      </c>
      <c r="C65" t="s">
        <v>90</v>
      </c>
      <c r="D65" t="s">
        <v>25</v>
      </c>
      <c r="E65" t="s">
        <v>79</v>
      </c>
      <c r="F65" s="191"/>
      <c r="G65" s="191"/>
      <c r="H65" s="191"/>
      <c r="I65" s="191"/>
      <c r="J65" s="191"/>
      <c r="K65" s="191"/>
      <c r="L65" s="191"/>
      <c r="M65" s="191">
        <v>0</v>
      </c>
      <c r="N65" s="191">
        <v>0</v>
      </c>
      <c r="O65" s="191">
        <v>0</v>
      </c>
      <c r="P65" s="191">
        <v>0</v>
      </c>
      <c r="Q65" s="191">
        <v>0</v>
      </c>
      <c r="R65" s="191">
        <v>0</v>
      </c>
      <c r="S65" s="191">
        <v>0</v>
      </c>
      <c r="T65" s="191">
        <v>0</v>
      </c>
      <c r="U65" s="191"/>
    </row>
    <row r="66" spans="1:21" x14ac:dyDescent="0.25">
      <c r="A66" t="s">
        <v>28</v>
      </c>
      <c r="B66" t="s">
        <v>47</v>
      </c>
      <c r="C66" t="s">
        <v>91</v>
      </c>
      <c r="D66" t="s">
        <v>25</v>
      </c>
      <c r="E66" t="s">
        <v>79</v>
      </c>
      <c r="F66" s="191"/>
      <c r="G66" s="191"/>
      <c r="H66" s="191"/>
      <c r="I66" s="191"/>
      <c r="J66" s="191"/>
      <c r="K66" s="191"/>
      <c r="L66" s="191"/>
      <c r="M66" s="191">
        <v>0</v>
      </c>
      <c r="N66" s="191">
        <v>0</v>
      </c>
      <c r="O66" s="191">
        <v>0</v>
      </c>
      <c r="P66" s="191">
        <v>0</v>
      </c>
      <c r="Q66" s="191">
        <v>0</v>
      </c>
      <c r="R66" s="191">
        <v>0</v>
      </c>
      <c r="S66" s="191">
        <v>0</v>
      </c>
      <c r="T66" s="191">
        <v>0</v>
      </c>
      <c r="U66" s="191"/>
    </row>
    <row r="67" spans="1:21" x14ac:dyDescent="0.25">
      <c r="A67" t="s">
        <v>28</v>
      </c>
      <c r="B67" t="s">
        <v>15</v>
      </c>
      <c r="C67" t="s">
        <v>92</v>
      </c>
      <c r="D67" t="s">
        <v>93</v>
      </c>
      <c r="E67" t="s">
        <v>79</v>
      </c>
      <c r="F67" s="186"/>
      <c r="G67" s="186"/>
      <c r="H67" s="186"/>
      <c r="I67" s="186"/>
      <c r="J67" s="186"/>
      <c r="K67" s="186"/>
      <c r="L67" s="186"/>
      <c r="M67" s="186">
        <v>0</v>
      </c>
      <c r="N67" s="186">
        <v>0</v>
      </c>
      <c r="O67" s="186">
        <v>0</v>
      </c>
      <c r="P67" s="186">
        <v>0</v>
      </c>
      <c r="Q67" s="186">
        <v>0</v>
      </c>
      <c r="R67" s="186">
        <v>0</v>
      </c>
      <c r="S67" s="186">
        <v>0</v>
      </c>
      <c r="T67" s="186">
        <v>0</v>
      </c>
      <c r="U67" s="186"/>
    </row>
    <row r="68" spans="1:21" x14ac:dyDescent="0.25">
      <c r="A68" t="s">
        <v>28</v>
      </c>
      <c r="B68" t="s">
        <v>16</v>
      </c>
      <c r="C68" t="s">
        <v>94</v>
      </c>
      <c r="D68" t="s">
        <v>93</v>
      </c>
      <c r="E68" t="s">
        <v>79</v>
      </c>
      <c r="F68" s="186"/>
      <c r="G68" s="186"/>
      <c r="H68" s="186"/>
      <c r="I68" s="186"/>
      <c r="J68" s="186"/>
      <c r="K68" s="186"/>
      <c r="L68" s="186"/>
      <c r="M68" s="186">
        <v>0</v>
      </c>
      <c r="N68" s="186">
        <v>0</v>
      </c>
      <c r="O68" s="186">
        <v>0</v>
      </c>
      <c r="P68" s="186">
        <v>0</v>
      </c>
      <c r="Q68" s="186">
        <v>0</v>
      </c>
      <c r="R68" s="186">
        <v>0</v>
      </c>
      <c r="S68" s="186">
        <v>0</v>
      </c>
      <c r="T68" s="186">
        <v>0</v>
      </c>
      <c r="U68" s="186"/>
    </row>
    <row r="69" spans="1:21" x14ac:dyDescent="0.25">
      <c r="A69" t="s">
        <v>28</v>
      </c>
      <c r="B69" t="s">
        <v>17</v>
      </c>
      <c r="C69" t="s">
        <v>95</v>
      </c>
      <c r="D69" t="s">
        <v>93</v>
      </c>
      <c r="E69" t="s">
        <v>79</v>
      </c>
      <c r="F69" s="186"/>
      <c r="G69" s="186"/>
      <c r="H69" s="186"/>
      <c r="I69" s="186"/>
      <c r="J69" s="186"/>
      <c r="K69" s="186"/>
      <c r="L69" s="186"/>
      <c r="M69" s="186">
        <v>7.77</v>
      </c>
      <c r="N69" s="186">
        <v>7.44</v>
      </c>
      <c r="O69" s="186">
        <v>7.92</v>
      </c>
      <c r="P69" s="186">
        <v>16.25</v>
      </c>
      <c r="Q69" s="186">
        <v>30.9</v>
      </c>
      <c r="R69" s="186">
        <v>31.3</v>
      </c>
      <c r="S69" s="186">
        <v>30.78</v>
      </c>
      <c r="T69" s="186">
        <v>30.47</v>
      </c>
      <c r="U69" s="186"/>
    </row>
    <row r="70" spans="1:21" x14ac:dyDescent="0.25">
      <c r="A70" t="s">
        <v>28</v>
      </c>
      <c r="B70" t="s">
        <v>18</v>
      </c>
      <c r="C70" t="s">
        <v>96</v>
      </c>
      <c r="D70" t="s">
        <v>93</v>
      </c>
      <c r="E70" t="s">
        <v>79</v>
      </c>
      <c r="F70" s="186"/>
      <c r="G70" s="186"/>
      <c r="H70" s="186"/>
      <c r="I70" s="186"/>
      <c r="J70" s="186"/>
      <c r="K70" s="186"/>
      <c r="L70" s="186"/>
      <c r="M70" s="186">
        <v>7.77</v>
      </c>
      <c r="N70" s="186">
        <v>7.44</v>
      </c>
      <c r="O70" s="186">
        <v>7.92</v>
      </c>
      <c r="P70" s="186">
        <v>16.25</v>
      </c>
      <c r="Q70" s="186">
        <v>30.9</v>
      </c>
      <c r="R70" s="186">
        <v>31.3</v>
      </c>
      <c r="S70" s="186">
        <v>30.78</v>
      </c>
      <c r="T70" s="186">
        <v>30.47</v>
      </c>
      <c r="U70" s="186"/>
    </row>
    <row r="71" spans="1:21" x14ac:dyDescent="0.25">
      <c r="A71" t="s">
        <v>28</v>
      </c>
      <c r="B71" t="s">
        <v>23</v>
      </c>
      <c r="C71" t="s">
        <v>97</v>
      </c>
      <c r="D71" t="s">
        <v>93</v>
      </c>
      <c r="E71" t="s">
        <v>79</v>
      </c>
      <c r="F71" s="186"/>
      <c r="G71" s="186"/>
      <c r="H71" s="186"/>
      <c r="I71" s="186"/>
      <c r="J71" s="186"/>
      <c r="K71" s="186"/>
      <c r="L71" s="186"/>
      <c r="M71" s="186">
        <v>203.21</v>
      </c>
      <c r="N71" s="186">
        <v>201.11</v>
      </c>
      <c r="O71" s="186">
        <v>201.11</v>
      </c>
      <c r="P71" s="186">
        <v>194.76</v>
      </c>
      <c r="Q71" s="186">
        <v>188.42</v>
      </c>
      <c r="R71" s="186">
        <v>182.07</v>
      </c>
      <c r="S71" s="186">
        <v>175.72</v>
      </c>
      <c r="T71" s="186">
        <v>169.38</v>
      </c>
      <c r="U71" s="186"/>
    </row>
    <row r="72" spans="1:21" x14ac:dyDescent="0.25">
      <c r="A72" t="s">
        <v>28</v>
      </c>
      <c r="B72" t="s">
        <v>48</v>
      </c>
      <c r="C72" t="s">
        <v>98</v>
      </c>
      <c r="D72" t="s">
        <v>99</v>
      </c>
      <c r="E72" t="s">
        <v>79</v>
      </c>
      <c r="F72" s="186"/>
      <c r="G72" s="186"/>
      <c r="H72" s="186"/>
      <c r="I72" s="186"/>
      <c r="J72" s="186"/>
      <c r="K72" s="186"/>
      <c r="L72" s="186"/>
      <c r="M72" s="186">
        <v>25912</v>
      </c>
      <c r="N72" s="186">
        <v>26018</v>
      </c>
      <c r="O72" s="186">
        <v>26132</v>
      </c>
      <c r="P72" s="186">
        <v>26217</v>
      </c>
      <c r="Q72" s="186">
        <v>26367</v>
      </c>
      <c r="R72" s="186">
        <v>26509</v>
      </c>
      <c r="S72" s="186">
        <v>26662</v>
      </c>
      <c r="T72" s="186">
        <v>26821</v>
      </c>
      <c r="U72" s="186"/>
    </row>
    <row r="73" spans="1:21" x14ac:dyDescent="0.25">
      <c r="A73" t="s">
        <v>28</v>
      </c>
      <c r="B73" t="s">
        <v>100</v>
      </c>
      <c r="C73" t="s">
        <v>101</v>
      </c>
      <c r="D73">
        <v>0</v>
      </c>
      <c r="E73" t="s">
        <v>79</v>
      </c>
      <c r="F73" s="192"/>
      <c r="G73" s="192"/>
      <c r="H73" s="192"/>
      <c r="I73" s="192"/>
      <c r="J73" s="192"/>
      <c r="K73" s="192"/>
      <c r="L73" s="192"/>
      <c r="M73" s="192">
        <v>2018.673</v>
      </c>
      <c r="N73" s="192">
        <v>2044.0360000000001</v>
      </c>
      <c r="O73" s="192">
        <v>2061.067</v>
      </c>
      <c r="P73" s="192">
        <v>2078.6469999999999</v>
      </c>
      <c r="Q73" s="192">
        <v>2096.0149999999999</v>
      </c>
      <c r="R73" s="192">
        <v>2112.8389999999999</v>
      </c>
      <c r="S73" s="192">
        <v>2129.0250000000001</v>
      </c>
      <c r="T73" s="192">
        <v>2145.3789999999999</v>
      </c>
      <c r="U73" s="192"/>
    </row>
    <row r="74" spans="1:21" x14ac:dyDescent="0.25">
      <c r="A74" t="s">
        <v>28</v>
      </c>
      <c r="B74" t="s">
        <v>102</v>
      </c>
      <c r="C74" t="s">
        <v>103</v>
      </c>
      <c r="D74" t="s">
        <v>25</v>
      </c>
      <c r="E74" t="s">
        <v>79</v>
      </c>
      <c r="F74" s="191"/>
      <c r="G74" s="191"/>
      <c r="H74" s="191"/>
      <c r="I74" s="191"/>
      <c r="J74" s="191"/>
      <c r="K74" s="191"/>
      <c r="L74" s="191"/>
      <c r="M74" s="191"/>
      <c r="N74" s="191"/>
      <c r="O74" s="191"/>
      <c r="P74" s="191"/>
      <c r="Q74" s="191"/>
      <c r="R74" s="191"/>
      <c r="S74" s="191"/>
      <c r="T74" s="191"/>
      <c r="U74" s="191">
        <v>0</v>
      </c>
    </row>
    <row r="75" spans="1:21" x14ac:dyDescent="0.25">
      <c r="A75" t="s">
        <v>28</v>
      </c>
      <c r="B75" t="s">
        <v>104</v>
      </c>
      <c r="C75" t="s">
        <v>105</v>
      </c>
      <c r="D75" t="s">
        <v>25</v>
      </c>
      <c r="E75" t="s">
        <v>79</v>
      </c>
      <c r="F75" s="191"/>
      <c r="G75" s="191"/>
      <c r="H75" s="191"/>
      <c r="I75" s="191"/>
      <c r="J75" s="191"/>
      <c r="K75" s="191"/>
      <c r="L75" s="191"/>
      <c r="M75" s="191"/>
      <c r="N75" s="191"/>
      <c r="O75" s="191"/>
      <c r="P75" s="191"/>
      <c r="Q75" s="191"/>
      <c r="R75" s="191"/>
      <c r="S75" s="191"/>
      <c r="T75" s="191"/>
      <c r="U75" s="191">
        <v>0</v>
      </c>
    </row>
    <row r="76" spans="1:21" x14ac:dyDescent="0.25">
      <c r="A76" t="s">
        <v>29</v>
      </c>
      <c r="B76" t="s">
        <v>77</v>
      </c>
      <c r="C76" t="s">
        <v>78</v>
      </c>
      <c r="D76" t="s">
        <v>25</v>
      </c>
      <c r="E76" t="s">
        <v>79</v>
      </c>
      <c r="F76" s="186"/>
      <c r="G76" s="186"/>
      <c r="H76" s="186"/>
      <c r="I76" s="186"/>
      <c r="J76" s="186"/>
      <c r="K76" s="186"/>
      <c r="L76" s="186"/>
      <c r="M76" s="186">
        <v>0</v>
      </c>
      <c r="N76" s="186">
        <v>0</v>
      </c>
      <c r="O76" s="186">
        <v>0</v>
      </c>
      <c r="P76" s="186">
        <v>0</v>
      </c>
      <c r="Q76" s="186">
        <v>0</v>
      </c>
      <c r="R76" s="186">
        <v>0</v>
      </c>
      <c r="S76" s="186">
        <v>0</v>
      </c>
      <c r="T76" s="186">
        <v>0</v>
      </c>
      <c r="U76" s="186"/>
    </row>
    <row r="77" spans="1:21" x14ac:dyDescent="0.25">
      <c r="A77" t="s">
        <v>29</v>
      </c>
      <c r="B77" t="s">
        <v>80</v>
      </c>
      <c r="C77" t="s">
        <v>81</v>
      </c>
      <c r="D77" t="s">
        <v>25</v>
      </c>
      <c r="E77" t="s">
        <v>79</v>
      </c>
      <c r="F77" s="186"/>
      <c r="G77" s="186"/>
      <c r="H77" s="186"/>
      <c r="I77" s="186"/>
      <c r="J77" s="186"/>
      <c r="K77" s="186"/>
      <c r="L77" s="186"/>
      <c r="M77" s="186">
        <v>1.1299999999999999</v>
      </c>
      <c r="N77" s="186">
        <v>1.0620254564413301</v>
      </c>
      <c r="O77" s="186">
        <v>5.04294473994306</v>
      </c>
      <c r="P77" s="186">
        <v>11.523999999999999</v>
      </c>
      <c r="Q77" s="186">
        <v>17.172999999999998</v>
      </c>
      <c r="R77" s="186">
        <v>22.867000000000001</v>
      </c>
      <c r="S77" s="186">
        <v>29.83</v>
      </c>
      <c r="T77" s="186">
        <v>35.206000000000003</v>
      </c>
      <c r="U77" s="186"/>
    </row>
    <row r="78" spans="1:21" x14ac:dyDescent="0.25">
      <c r="A78" t="s">
        <v>29</v>
      </c>
      <c r="B78" t="s">
        <v>82</v>
      </c>
      <c r="C78" t="s">
        <v>83</v>
      </c>
      <c r="D78" t="s">
        <v>25</v>
      </c>
      <c r="E78" t="s">
        <v>79</v>
      </c>
      <c r="F78" s="186"/>
      <c r="G78" s="186"/>
      <c r="H78" s="186"/>
      <c r="I78" s="186"/>
      <c r="J78" s="186"/>
      <c r="K78" s="186"/>
      <c r="L78" s="186"/>
      <c r="M78" s="186">
        <v>0</v>
      </c>
      <c r="N78" s="186">
        <v>0</v>
      </c>
      <c r="O78" s="186">
        <v>0</v>
      </c>
      <c r="P78" s="186">
        <v>0</v>
      </c>
      <c r="Q78" s="186">
        <v>0</v>
      </c>
      <c r="R78" s="186">
        <v>0</v>
      </c>
      <c r="S78" s="186">
        <v>0</v>
      </c>
      <c r="T78" s="186">
        <v>0</v>
      </c>
      <c r="U78" s="186"/>
    </row>
    <row r="79" spans="1:21" x14ac:dyDescent="0.25">
      <c r="A79" t="s">
        <v>29</v>
      </c>
      <c r="B79" t="s">
        <v>84</v>
      </c>
      <c r="C79" t="s">
        <v>85</v>
      </c>
      <c r="D79" t="s">
        <v>25</v>
      </c>
      <c r="E79" t="s">
        <v>79</v>
      </c>
      <c r="F79" s="186"/>
      <c r="G79" s="186"/>
      <c r="H79" s="186"/>
      <c r="I79" s="186"/>
      <c r="J79" s="186"/>
      <c r="K79" s="186"/>
      <c r="L79" s="186"/>
      <c r="M79" s="186">
        <v>0</v>
      </c>
      <c r="N79" s="186">
        <v>8.6660099398526196</v>
      </c>
      <c r="O79" s="186">
        <v>10.738710361579299</v>
      </c>
      <c r="P79" s="186">
        <v>7.8470000000000004</v>
      </c>
      <c r="Q79" s="186">
        <v>7.8470000000000004</v>
      </c>
      <c r="R79" s="186">
        <v>4.9489999999999998</v>
      </c>
      <c r="S79" s="186">
        <v>4.9489999999999998</v>
      </c>
      <c r="T79" s="186">
        <v>6.3979999999999997</v>
      </c>
      <c r="U79" s="186"/>
    </row>
    <row r="80" spans="1:21" x14ac:dyDescent="0.25">
      <c r="A80" t="s">
        <v>29</v>
      </c>
      <c r="B80" t="s">
        <v>86</v>
      </c>
      <c r="C80" t="s">
        <v>87</v>
      </c>
      <c r="D80" t="s">
        <v>25</v>
      </c>
      <c r="E80" t="s">
        <v>79</v>
      </c>
      <c r="F80" s="186"/>
      <c r="G80" s="186"/>
      <c r="H80" s="186"/>
      <c r="I80" s="186"/>
      <c r="J80" s="186"/>
      <c r="K80" s="186"/>
      <c r="L80" s="186"/>
      <c r="M80" s="186">
        <v>687.972523421613</v>
      </c>
      <c r="N80" s="186">
        <v>757.23871777494298</v>
      </c>
      <c r="O80" s="186">
        <v>799.06846555770403</v>
      </c>
      <c r="P80" s="186">
        <v>575.06571742576398</v>
      </c>
      <c r="Q80" s="186">
        <v>631.12859132579104</v>
      </c>
      <c r="R80" s="186">
        <v>643.43469392974998</v>
      </c>
      <c r="S80" s="186">
        <v>635.41164547131598</v>
      </c>
      <c r="T80" s="186">
        <v>630.76354224170598</v>
      </c>
      <c r="U80" s="186"/>
    </row>
    <row r="81" spans="1:21" x14ac:dyDescent="0.25">
      <c r="A81" t="s">
        <v>29</v>
      </c>
      <c r="B81" t="s">
        <v>44</v>
      </c>
      <c r="C81" t="s">
        <v>88</v>
      </c>
      <c r="D81" t="s">
        <v>25</v>
      </c>
      <c r="E81" t="s">
        <v>79</v>
      </c>
      <c r="F81" s="191"/>
      <c r="G81" s="191"/>
      <c r="H81" s="191"/>
      <c r="I81" s="191"/>
      <c r="J81" s="191"/>
      <c r="K81" s="191"/>
      <c r="L81" s="191"/>
      <c r="M81" s="191">
        <v>0</v>
      </c>
      <c r="N81" s="191">
        <v>0</v>
      </c>
      <c r="O81" s="191">
        <v>0</v>
      </c>
      <c r="P81" s="191">
        <v>0</v>
      </c>
      <c r="Q81" s="191">
        <v>0</v>
      </c>
      <c r="R81" s="191">
        <v>0</v>
      </c>
      <c r="S81" s="191">
        <v>0</v>
      </c>
      <c r="T81" s="191">
        <v>0</v>
      </c>
      <c r="U81" s="191"/>
    </row>
    <row r="82" spans="1:21" x14ac:dyDescent="0.25">
      <c r="A82" t="s">
        <v>29</v>
      </c>
      <c r="B82" t="s">
        <v>45</v>
      </c>
      <c r="C82" t="s">
        <v>89</v>
      </c>
      <c r="D82" t="s">
        <v>25</v>
      </c>
      <c r="E82" t="s">
        <v>79</v>
      </c>
      <c r="F82" s="191"/>
      <c r="G82" s="191"/>
      <c r="H82" s="191"/>
      <c r="I82" s="191"/>
      <c r="J82" s="191"/>
      <c r="K82" s="191"/>
      <c r="L82" s="191"/>
      <c r="M82" s="191">
        <v>0</v>
      </c>
      <c r="N82" s="191">
        <v>0</v>
      </c>
      <c r="O82" s="191">
        <v>0</v>
      </c>
      <c r="P82" s="191">
        <v>0</v>
      </c>
      <c r="Q82" s="191">
        <v>0</v>
      </c>
      <c r="R82" s="191">
        <v>0</v>
      </c>
      <c r="S82" s="191">
        <v>0</v>
      </c>
      <c r="T82" s="191">
        <v>0</v>
      </c>
      <c r="U82" s="191"/>
    </row>
    <row r="83" spans="1:21" x14ac:dyDescent="0.25">
      <c r="A83" t="s">
        <v>29</v>
      </c>
      <c r="B83" t="s">
        <v>46</v>
      </c>
      <c r="C83" t="s">
        <v>90</v>
      </c>
      <c r="D83" t="s">
        <v>25</v>
      </c>
      <c r="E83" t="s">
        <v>79</v>
      </c>
      <c r="F83" s="191"/>
      <c r="G83" s="191"/>
      <c r="H83" s="191"/>
      <c r="I83" s="191"/>
      <c r="J83" s="191"/>
      <c r="K83" s="191"/>
      <c r="L83" s="191"/>
      <c r="M83" s="191">
        <v>0</v>
      </c>
      <c r="N83" s="191">
        <v>0</v>
      </c>
      <c r="O83" s="191">
        <v>0</v>
      </c>
      <c r="P83" s="191">
        <v>0</v>
      </c>
      <c r="Q83" s="191">
        <v>0</v>
      </c>
      <c r="R83" s="191">
        <v>0</v>
      </c>
      <c r="S83" s="191">
        <v>0</v>
      </c>
      <c r="T83" s="191">
        <v>0</v>
      </c>
      <c r="U83" s="191"/>
    </row>
    <row r="84" spans="1:21" x14ac:dyDescent="0.25">
      <c r="A84" t="s">
        <v>29</v>
      </c>
      <c r="B84" t="s">
        <v>47</v>
      </c>
      <c r="C84" t="s">
        <v>91</v>
      </c>
      <c r="D84" t="s">
        <v>25</v>
      </c>
      <c r="E84" t="s">
        <v>79</v>
      </c>
      <c r="F84" s="191"/>
      <c r="G84" s="191"/>
      <c r="H84" s="191"/>
      <c r="I84" s="191"/>
      <c r="J84" s="191"/>
      <c r="K84" s="191"/>
      <c r="L84" s="191"/>
      <c r="M84" s="191">
        <v>0</v>
      </c>
      <c r="N84" s="191">
        <v>0</v>
      </c>
      <c r="O84" s="191">
        <v>0</v>
      </c>
      <c r="P84" s="191">
        <v>0.92113</v>
      </c>
      <c r="Q84" s="191">
        <v>0.92113</v>
      </c>
      <c r="R84" s="191">
        <v>0.92113</v>
      </c>
      <c r="S84" s="191">
        <v>0.92113</v>
      </c>
      <c r="T84" s="191">
        <v>0.92113</v>
      </c>
      <c r="U84" s="191"/>
    </row>
    <row r="85" spans="1:21" x14ac:dyDescent="0.25">
      <c r="A85" t="s">
        <v>29</v>
      </c>
      <c r="B85" t="s">
        <v>15</v>
      </c>
      <c r="C85" t="s">
        <v>92</v>
      </c>
      <c r="D85" t="s">
        <v>93</v>
      </c>
      <c r="E85" t="s">
        <v>79</v>
      </c>
      <c r="F85" s="186"/>
      <c r="G85" s="186"/>
      <c r="H85" s="186"/>
      <c r="I85" s="186"/>
      <c r="J85" s="186"/>
      <c r="K85" s="186"/>
      <c r="L85" s="186"/>
      <c r="M85" s="186">
        <v>5.2060254107180102</v>
      </c>
      <c r="N85" s="186">
        <v>0</v>
      </c>
      <c r="O85" s="186">
        <v>0</v>
      </c>
      <c r="P85" s="186">
        <v>0</v>
      </c>
      <c r="Q85" s="186">
        <v>0</v>
      </c>
      <c r="R85" s="186">
        <v>0</v>
      </c>
      <c r="S85" s="186">
        <v>0</v>
      </c>
      <c r="T85" s="186">
        <v>0</v>
      </c>
      <c r="U85" s="186"/>
    </row>
    <row r="86" spans="1:21" x14ac:dyDescent="0.25">
      <c r="A86" t="s">
        <v>29</v>
      </c>
      <c r="B86" t="s">
        <v>16</v>
      </c>
      <c r="C86" t="s">
        <v>94</v>
      </c>
      <c r="D86" t="s">
        <v>93</v>
      </c>
      <c r="E86" t="s">
        <v>79</v>
      </c>
      <c r="F86" s="186"/>
      <c r="G86" s="186"/>
      <c r="H86" s="186"/>
      <c r="I86" s="186"/>
      <c r="J86" s="186"/>
      <c r="K86" s="186"/>
      <c r="L86" s="186"/>
      <c r="M86" s="186">
        <v>5.2060254107180102</v>
      </c>
      <c r="N86" s="186">
        <v>0</v>
      </c>
      <c r="O86" s="186">
        <v>0</v>
      </c>
      <c r="P86" s="186">
        <v>0</v>
      </c>
      <c r="Q86" s="186">
        <v>0</v>
      </c>
      <c r="R86" s="186">
        <v>0</v>
      </c>
      <c r="S86" s="186">
        <v>0</v>
      </c>
      <c r="T86" s="186">
        <v>0</v>
      </c>
      <c r="U86" s="186"/>
    </row>
    <row r="87" spans="1:21" x14ac:dyDescent="0.25">
      <c r="A87" t="s">
        <v>29</v>
      </c>
      <c r="B87" t="s">
        <v>17</v>
      </c>
      <c r="C87" t="s">
        <v>95</v>
      </c>
      <c r="D87" t="s">
        <v>93</v>
      </c>
      <c r="E87" t="s">
        <v>79</v>
      </c>
      <c r="F87" s="186"/>
      <c r="G87" s="186"/>
      <c r="H87" s="186"/>
      <c r="I87" s="186"/>
      <c r="J87" s="186"/>
      <c r="K87" s="186"/>
      <c r="L87" s="186"/>
      <c r="M87" s="186">
        <v>-0.213069414329524</v>
      </c>
      <c r="N87" s="186">
        <v>6.53000000000005</v>
      </c>
      <c r="O87" s="186">
        <v>6.3799999999999901</v>
      </c>
      <c r="P87" s="186">
        <v>2.06</v>
      </c>
      <c r="Q87" s="186">
        <v>19.57</v>
      </c>
      <c r="R87" s="186">
        <v>29.0004332033247</v>
      </c>
      <c r="S87" s="186">
        <v>35.060433203324699</v>
      </c>
      <c r="T87" s="186">
        <v>17.920435316341901</v>
      </c>
      <c r="U87" s="186"/>
    </row>
    <row r="88" spans="1:21" x14ac:dyDescent="0.25">
      <c r="A88" t="s">
        <v>29</v>
      </c>
      <c r="B88" t="s">
        <v>18</v>
      </c>
      <c r="C88" t="s">
        <v>96</v>
      </c>
      <c r="D88" t="s">
        <v>93</v>
      </c>
      <c r="E88" t="s">
        <v>79</v>
      </c>
      <c r="F88" s="186"/>
      <c r="G88" s="186"/>
      <c r="H88" s="186"/>
      <c r="I88" s="186"/>
      <c r="J88" s="186"/>
      <c r="K88" s="186"/>
      <c r="L88" s="186"/>
      <c r="M88" s="186">
        <v>-0.213069414329524</v>
      </c>
      <c r="N88" s="186">
        <v>6.53000000000005</v>
      </c>
      <c r="O88" s="186">
        <v>6.3799999999999901</v>
      </c>
      <c r="P88" s="186">
        <v>2.06</v>
      </c>
      <c r="Q88" s="186">
        <v>19.57</v>
      </c>
      <c r="R88" s="186">
        <v>29.0004332033247</v>
      </c>
      <c r="S88" s="186">
        <v>35.060433203324699</v>
      </c>
      <c r="T88" s="186">
        <v>17.920435316341901</v>
      </c>
      <c r="U88" s="186"/>
    </row>
    <row r="89" spans="1:21" x14ac:dyDescent="0.25">
      <c r="A89" t="s">
        <v>29</v>
      </c>
      <c r="B89" t="s">
        <v>23</v>
      </c>
      <c r="C89" t="s">
        <v>97</v>
      </c>
      <c r="D89" t="s">
        <v>93</v>
      </c>
      <c r="E89" t="s">
        <v>79</v>
      </c>
      <c r="F89" s="186"/>
      <c r="G89" s="186"/>
      <c r="H89" s="186"/>
      <c r="I89" s="186"/>
      <c r="J89" s="186"/>
      <c r="K89" s="186"/>
      <c r="L89" s="186"/>
      <c r="M89" s="186">
        <v>439.22</v>
      </c>
      <c r="N89" s="186">
        <v>425.63180359945801</v>
      </c>
      <c r="O89" s="186">
        <v>421.58735630655002</v>
      </c>
      <c r="P89" s="186">
        <v>421.58735630655002</v>
      </c>
      <c r="Q89" s="186">
        <v>406.56735630654998</v>
      </c>
      <c r="R89" s="186">
        <v>384.84692310322498</v>
      </c>
      <c r="S89" s="186">
        <v>359.9764898999</v>
      </c>
      <c r="T89" s="186">
        <v>357.25605458355801</v>
      </c>
      <c r="U89" s="186"/>
    </row>
    <row r="90" spans="1:21" x14ac:dyDescent="0.25">
      <c r="A90" t="s">
        <v>29</v>
      </c>
      <c r="B90" t="s">
        <v>48</v>
      </c>
      <c r="C90" t="s">
        <v>98</v>
      </c>
      <c r="D90" t="s">
        <v>99</v>
      </c>
      <c r="E90" t="s">
        <v>79</v>
      </c>
      <c r="F90" s="186"/>
      <c r="G90" s="186"/>
      <c r="H90" s="186"/>
      <c r="I90" s="186"/>
      <c r="J90" s="186"/>
      <c r="K90" s="186"/>
      <c r="L90" s="186"/>
      <c r="M90" s="186">
        <v>46539.848021003003</v>
      </c>
      <c r="N90" s="186">
        <v>46658.928021002997</v>
      </c>
      <c r="O90" s="186">
        <v>46778.008021002999</v>
      </c>
      <c r="P90" s="186">
        <v>46897.088021003001</v>
      </c>
      <c r="Q90" s="186">
        <v>47016.168021003003</v>
      </c>
      <c r="R90" s="186">
        <v>47135.248021002997</v>
      </c>
      <c r="S90" s="186">
        <v>47254.328021002999</v>
      </c>
      <c r="T90" s="186">
        <v>47373.408021003001</v>
      </c>
      <c r="U90" s="186"/>
    </row>
    <row r="91" spans="1:21" x14ac:dyDescent="0.25">
      <c r="A91" t="s">
        <v>29</v>
      </c>
      <c r="B91" t="s">
        <v>100</v>
      </c>
      <c r="C91" t="s">
        <v>101</v>
      </c>
      <c r="D91">
        <v>0</v>
      </c>
      <c r="E91" t="s">
        <v>79</v>
      </c>
      <c r="F91" s="192"/>
      <c r="G91" s="192"/>
      <c r="H91" s="192"/>
      <c r="I91" s="192"/>
      <c r="J91" s="192"/>
      <c r="K91" s="192"/>
      <c r="L91" s="192"/>
      <c r="M91" s="192">
        <v>3612.1930000000002</v>
      </c>
      <c r="N91" s="192">
        <v>3635.7182314246302</v>
      </c>
      <c r="O91" s="192">
        <v>3655.5675177160101</v>
      </c>
      <c r="P91" s="192">
        <v>3675.80777126678</v>
      </c>
      <c r="Q91" s="192">
        <v>3697.55658425194</v>
      </c>
      <c r="R91" s="192">
        <v>3720.7210692249701</v>
      </c>
      <c r="S91" s="192">
        <v>3744.30130964006</v>
      </c>
      <c r="T91" s="192">
        <v>3768.2953310395701</v>
      </c>
      <c r="U91" s="192"/>
    </row>
    <row r="92" spans="1:21" x14ac:dyDescent="0.25">
      <c r="A92" t="s">
        <v>29</v>
      </c>
      <c r="B92" t="s">
        <v>102</v>
      </c>
      <c r="C92" t="s">
        <v>103</v>
      </c>
      <c r="D92" t="s">
        <v>25</v>
      </c>
      <c r="E92" t="s">
        <v>79</v>
      </c>
      <c r="F92" s="191"/>
      <c r="G92" s="191"/>
      <c r="H92" s="191"/>
      <c r="I92" s="191"/>
      <c r="J92" s="191"/>
      <c r="K92" s="191"/>
      <c r="L92" s="191"/>
      <c r="M92" s="191"/>
      <c r="N92" s="191"/>
      <c r="O92" s="191"/>
      <c r="P92" s="191"/>
      <c r="Q92" s="191"/>
      <c r="R92" s="191"/>
      <c r="S92" s="191"/>
      <c r="T92" s="191"/>
      <c r="U92" s="191">
        <v>0</v>
      </c>
    </row>
    <row r="93" spans="1:21" x14ac:dyDescent="0.25">
      <c r="A93" t="s">
        <v>29</v>
      </c>
      <c r="B93" t="s">
        <v>104</v>
      </c>
      <c r="C93" t="s">
        <v>105</v>
      </c>
      <c r="D93" t="s">
        <v>25</v>
      </c>
      <c r="E93" t="s">
        <v>79</v>
      </c>
      <c r="F93" s="191"/>
      <c r="G93" s="191"/>
      <c r="H93" s="191"/>
      <c r="I93" s="191"/>
      <c r="J93" s="191"/>
      <c r="K93" s="191"/>
      <c r="L93" s="191"/>
      <c r="M93" s="191"/>
      <c r="N93" s="191"/>
      <c r="O93" s="191"/>
      <c r="P93" s="191"/>
      <c r="Q93" s="191"/>
      <c r="R93" s="191"/>
      <c r="S93" s="191"/>
      <c r="T93" s="191"/>
      <c r="U93" s="191">
        <v>0</v>
      </c>
    </row>
    <row r="94" spans="1:21" x14ac:dyDescent="0.25">
      <c r="A94" t="s">
        <v>107</v>
      </c>
      <c r="B94" t="s">
        <v>77</v>
      </c>
      <c r="C94" t="s">
        <v>78</v>
      </c>
      <c r="D94" t="s">
        <v>25</v>
      </c>
      <c r="E94" t="s">
        <v>79</v>
      </c>
      <c r="F94" s="186"/>
      <c r="G94" s="186">
        <v>0</v>
      </c>
      <c r="H94" s="186">
        <v>0</v>
      </c>
      <c r="I94" s="186">
        <v>0</v>
      </c>
      <c r="J94" s="186">
        <v>0</v>
      </c>
      <c r="K94" s="186">
        <v>0</v>
      </c>
      <c r="L94" s="186">
        <v>0</v>
      </c>
      <c r="M94" s="186">
        <v>0</v>
      </c>
      <c r="N94" s="186"/>
      <c r="O94" s="186"/>
      <c r="P94" s="186"/>
      <c r="Q94" s="186"/>
      <c r="R94" s="186"/>
      <c r="S94" s="186"/>
      <c r="T94" s="186"/>
      <c r="U94" s="186"/>
    </row>
    <row r="95" spans="1:21" x14ac:dyDescent="0.25">
      <c r="A95" t="s">
        <v>107</v>
      </c>
      <c r="B95" t="s">
        <v>80</v>
      </c>
      <c r="C95" t="s">
        <v>81</v>
      </c>
      <c r="D95" t="s">
        <v>25</v>
      </c>
      <c r="E95" t="s">
        <v>79</v>
      </c>
      <c r="F95" s="186"/>
      <c r="G95" s="186">
        <v>4.2488636314171799</v>
      </c>
      <c r="H95" s="186">
        <v>2.2452745096886502</v>
      </c>
      <c r="I95" s="186">
        <v>3.2748245851029298</v>
      </c>
      <c r="J95" s="186">
        <v>11.3390679317526</v>
      </c>
      <c r="K95" s="186">
        <v>5.0366302329450896</v>
      </c>
      <c r="L95" s="186">
        <v>5.2625781698809897</v>
      </c>
      <c r="M95" s="186">
        <v>1.1299999999999999</v>
      </c>
      <c r="N95" s="186"/>
      <c r="O95" s="186"/>
      <c r="P95" s="186"/>
      <c r="Q95" s="186"/>
      <c r="R95" s="186"/>
      <c r="S95" s="186"/>
      <c r="T95" s="186"/>
      <c r="U95" s="186"/>
    </row>
    <row r="96" spans="1:21" x14ac:dyDescent="0.25">
      <c r="A96" t="s">
        <v>107</v>
      </c>
      <c r="B96" t="s">
        <v>82</v>
      </c>
      <c r="C96" t="s">
        <v>83</v>
      </c>
      <c r="D96" t="s">
        <v>25</v>
      </c>
      <c r="E96" t="s">
        <v>79</v>
      </c>
      <c r="F96" s="186"/>
      <c r="G96" s="186">
        <v>0</v>
      </c>
      <c r="H96" s="186">
        <v>0</v>
      </c>
      <c r="I96" s="186">
        <v>0</v>
      </c>
      <c r="J96" s="186">
        <v>0</v>
      </c>
      <c r="K96" s="186">
        <v>0</v>
      </c>
      <c r="L96" s="186">
        <v>0</v>
      </c>
      <c r="M96" s="186">
        <v>0</v>
      </c>
      <c r="N96" s="186"/>
      <c r="O96" s="186"/>
      <c r="P96" s="186"/>
      <c r="Q96" s="186"/>
      <c r="R96" s="186"/>
      <c r="S96" s="186"/>
      <c r="T96" s="186"/>
      <c r="U96" s="186"/>
    </row>
    <row r="97" spans="1:21" x14ac:dyDescent="0.25">
      <c r="A97" t="s">
        <v>107</v>
      </c>
      <c r="B97" t="s">
        <v>84</v>
      </c>
      <c r="C97" t="s">
        <v>85</v>
      </c>
      <c r="D97" t="s">
        <v>25</v>
      </c>
      <c r="E97" t="s">
        <v>79</v>
      </c>
      <c r="F97" s="186"/>
      <c r="G97" s="186">
        <v>0</v>
      </c>
      <c r="H97" s="186">
        <v>0</v>
      </c>
      <c r="I97" s="186">
        <v>0</v>
      </c>
      <c r="J97" s="186">
        <v>0</v>
      </c>
      <c r="K97" s="186">
        <v>0</v>
      </c>
      <c r="L97" s="186">
        <v>0</v>
      </c>
      <c r="M97" s="186">
        <v>0</v>
      </c>
      <c r="N97" s="186"/>
      <c r="O97" s="186"/>
      <c r="P97" s="186"/>
      <c r="Q97" s="186"/>
      <c r="R97" s="186"/>
      <c r="S97" s="186"/>
      <c r="T97" s="186"/>
      <c r="U97" s="186"/>
    </row>
    <row r="98" spans="1:21" x14ac:dyDescent="0.25">
      <c r="A98" t="s">
        <v>107</v>
      </c>
      <c r="B98" t="s">
        <v>86</v>
      </c>
      <c r="C98" t="s">
        <v>87</v>
      </c>
      <c r="D98" t="s">
        <v>25</v>
      </c>
      <c r="E98" t="s">
        <v>79</v>
      </c>
      <c r="F98" s="186"/>
      <c r="G98" s="186">
        <v>518.00273540290698</v>
      </c>
      <c r="H98" s="186">
        <v>557.08687430292605</v>
      </c>
      <c r="I98" s="186">
        <v>583.14856946547002</v>
      </c>
      <c r="J98" s="186">
        <v>611.92452447891799</v>
      </c>
      <c r="K98" s="186">
        <v>587.18720381968706</v>
      </c>
      <c r="L98" s="186">
        <v>609.94506897156396</v>
      </c>
      <c r="M98" s="186">
        <v>683.78599999999994</v>
      </c>
      <c r="N98" s="186"/>
      <c r="O98" s="186"/>
      <c r="P98" s="186"/>
      <c r="Q98" s="186"/>
      <c r="R98" s="186"/>
      <c r="S98" s="186"/>
      <c r="T98" s="186"/>
      <c r="U98" s="186"/>
    </row>
    <row r="99" spans="1:21" x14ac:dyDescent="0.25">
      <c r="A99" t="s">
        <v>107</v>
      </c>
      <c r="B99" t="s">
        <v>44</v>
      </c>
      <c r="C99" t="s">
        <v>88</v>
      </c>
      <c r="D99" t="s">
        <v>25</v>
      </c>
      <c r="E99" t="s">
        <v>79</v>
      </c>
      <c r="F99" s="191"/>
      <c r="G99" s="191"/>
      <c r="H99" s="191"/>
      <c r="I99" s="191"/>
      <c r="J99" s="191"/>
      <c r="K99" s="191"/>
      <c r="L99" s="191"/>
      <c r="M99" s="191">
        <v>0</v>
      </c>
      <c r="N99" s="191">
        <v>0</v>
      </c>
      <c r="O99" s="191">
        <v>0</v>
      </c>
      <c r="P99" s="191">
        <v>0</v>
      </c>
      <c r="Q99" s="191">
        <v>0</v>
      </c>
      <c r="R99" s="191">
        <v>0</v>
      </c>
      <c r="S99" s="191">
        <v>0</v>
      </c>
      <c r="T99" s="191">
        <v>0</v>
      </c>
      <c r="U99" s="191"/>
    </row>
    <row r="100" spans="1:21" x14ac:dyDescent="0.25">
      <c r="A100" t="s">
        <v>107</v>
      </c>
      <c r="B100" t="s">
        <v>45</v>
      </c>
      <c r="C100" t="s">
        <v>89</v>
      </c>
      <c r="D100" t="s">
        <v>25</v>
      </c>
      <c r="E100" t="s">
        <v>79</v>
      </c>
      <c r="F100" s="191"/>
      <c r="G100" s="191"/>
      <c r="H100" s="191"/>
      <c r="I100" s="191"/>
      <c r="J100" s="191"/>
      <c r="K100" s="191"/>
      <c r="L100" s="191"/>
      <c r="M100" s="191">
        <v>0</v>
      </c>
      <c r="N100" s="191">
        <v>0</v>
      </c>
      <c r="O100" s="191">
        <v>0</v>
      </c>
      <c r="P100" s="191">
        <v>0</v>
      </c>
      <c r="Q100" s="191">
        <v>0</v>
      </c>
      <c r="R100" s="191">
        <v>0</v>
      </c>
      <c r="S100" s="191">
        <v>0</v>
      </c>
      <c r="T100" s="191">
        <v>0</v>
      </c>
      <c r="U100" s="191"/>
    </row>
    <row r="101" spans="1:21" x14ac:dyDescent="0.25">
      <c r="A101" t="s">
        <v>107</v>
      </c>
      <c r="B101" t="s">
        <v>46</v>
      </c>
      <c r="C101" t="s">
        <v>90</v>
      </c>
      <c r="D101" t="s">
        <v>25</v>
      </c>
      <c r="E101" t="s">
        <v>79</v>
      </c>
      <c r="F101" s="191"/>
      <c r="G101" s="191"/>
      <c r="H101" s="191"/>
      <c r="I101" s="191"/>
      <c r="J101" s="191"/>
      <c r="K101" s="191"/>
      <c r="L101" s="191"/>
      <c r="M101" s="191">
        <v>0</v>
      </c>
      <c r="N101" s="191">
        <v>0</v>
      </c>
      <c r="O101" s="191">
        <v>0</v>
      </c>
      <c r="P101" s="191">
        <v>0</v>
      </c>
      <c r="Q101" s="191">
        <v>0</v>
      </c>
      <c r="R101" s="191">
        <v>0</v>
      </c>
      <c r="S101" s="191">
        <v>0</v>
      </c>
      <c r="T101" s="191">
        <v>0</v>
      </c>
      <c r="U101" s="191"/>
    </row>
    <row r="102" spans="1:21" x14ac:dyDescent="0.25">
      <c r="A102" t="s">
        <v>107</v>
      </c>
      <c r="B102" t="s">
        <v>47</v>
      </c>
      <c r="C102" t="s">
        <v>91</v>
      </c>
      <c r="D102" t="s">
        <v>25</v>
      </c>
      <c r="E102" t="s">
        <v>79</v>
      </c>
      <c r="F102" s="191"/>
      <c r="G102" s="191"/>
      <c r="H102" s="191"/>
      <c r="I102" s="191"/>
      <c r="J102" s="191"/>
      <c r="K102" s="191"/>
      <c r="L102" s="191"/>
      <c r="M102" s="191">
        <v>0</v>
      </c>
      <c r="N102" s="191">
        <v>0</v>
      </c>
      <c r="O102" s="191">
        <v>0</v>
      </c>
      <c r="P102" s="191">
        <v>0</v>
      </c>
      <c r="Q102" s="191">
        <v>0</v>
      </c>
      <c r="R102" s="191">
        <v>0</v>
      </c>
      <c r="S102" s="191">
        <v>0</v>
      </c>
      <c r="T102" s="191">
        <v>0</v>
      </c>
      <c r="U102" s="191"/>
    </row>
    <row r="103" spans="1:21" x14ac:dyDescent="0.25">
      <c r="A103" t="s">
        <v>107</v>
      </c>
      <c r="B103" t="s">
        <v>15</v>
      </c>
      <c r="C103" t="s">
        <v>92</v>
      </c>
      <c r="D103" t="s">
        <v>93</v>
      </c>
      <c r="E103" t="s">
        <v>79</v>
      </c>
      <c r="F103" s="186"/>
      <c r="G103" s="186"/>
      <c r="H103" s="186"/>
      <c r="I103" s="186"/>
      <c r="J103" s="186"/>
      <c r="K103" s="186"/>
      <c r="L103" s="186"/>
      <c r="M103" s="186">
        <v>5.21</v>
      </c>
      <c r="N103" s="186"/>
      <c r="O103" s="186"/>
      <c r="P103" s="186"/>
      <c r="Q103" s="186"/>
      <c r="R103" s="186"/>
      <c r="S103" s="186"/>
      <c r="T103" s="186"/>
      <c r="U103" s="186"/>
    </row>
    <row r="104" spans="1:21" x14ac:dyDescent="0.25">
      <c r="A104" t="s">
        <v>107</v>
      </c>
      <c r="B104" t="s">
        <v>16</v>
      </c>
      <c r="C104" t="s">
        <v>94</v>
      </c>
      <c r="D104" t="s">
        <v>93</v>
      </c>
      <c r="E104" t="s">
        <v>79</v>
      </c>
      <c r="F104" s="186"/>
      <c r="G104" s="186"/>
      <c r="H104" s="186"/>
      <c r="I104" s="186"/>
      <c r="J104" s="186"/>
      <c r="K104" s="186"/>
      <c r="L104" s="186"/>
      <c r="M104" s="186">
        <v>5.21</v>
      </c>
      <c r="N104" s="186"/>
      <c r="O104" s="186"/>
      <c r="P104" s="186"/>
      <c r="Q104" s="186"/>
      <c r="R104" s="186"/>
      <c r="S104" s="186"/>
      <c r="T104" s="186"/>
      <c r="U104" s="186"/>
    </row>
    <row r="105" spans="1:21" x14ac:dyDescent="0.25">
      <c r="A105" t="s">
        <v>107</v>
      </c>
      <c r="B105" t="s">
        <v>17</v>
      </c>
      <c r="C105" t="s">
        <v>95</v>
      </c>
      <c r="D105" t="s">
        <v>93</v>
      </c>
      <c r="E105" t="s">
        <v>79</v>
      </c>
      <c r="F105" s="186"/>
      <c r="G105" s="186"/>
      <c r="H105" s="186"/>
      <c r="I105" s="186"/>
      <c r="J105" s="186"/>
      <c r="K105" s="186"/>
      <c r="L105" s="186"/>
      <c r="M105" s="186">
        <v>1.65</v>
      </c>
      <c r="N105" s="186"/>
      <c r="O105" s="186"/>
      <c r="P105" s="186"/>
      <c r="Q105" s="186"/>
      <c r="R105" s="186"/>
      <c r="S105" s="186"/>
      <c r="T105" s="186"/>
      <c r="U105" s="186"/>
    </row>
    <row r="106" spans="1:21" x14ac:dyDescent="0.25">
      <c r="A106" t="s">
        <v>107</v>
      </c>
      <c r="B106" t="s">
        <v>18</v>
      </c>
      <c r="C106" t="s">
        <v>96</v>
      </c>
      <c r="D106" t="s">
        <v>93</v>
      </c>
      <c r="E106" t="s">
        <v>79</v>
      </c>
      <c r="F106" s="186"/>
      <c r="G106" s="186"/>
      <c r="H106" s="186"/>
      <c r="I106" s="186"/>
      <c r="J106" s="186"/>
      <c r="K106" s="186"/>
      <c r="L106" s="186"/>
      <c r="M106" s="186">
        <v>1.65</v>
      </c>
      <c r="N106" s="186"/>
      <c r="O106" s="186"/>
      <c r="P106" s="186"/>
      <c r="Q106" s="186"/>
      <c r="R106" s="186"/>
      <c r="S106" s="186"/>
      <c r="T106" s="186"/>
      <c r="U106" s="186"/>
    </row>
    <row r="107" spans="1:21" x14ac:dyDescent="0.25">
      <c r="A107" t="s">
        <v>107</v>
      </c>
      <c r="B107" t="s">
        <v>23</v>
      </c>
      <c r="C107" t="s">
        <v>97</v>
      </c>
      <c r="D107" t="s">
        <v>93</v>
      </c>
      <c r="E107" t="s">
        <v>79</v>
      </c>
      <c r="F107" s="186"/>
      <c r="G107" s="186"/>
      <c r="H107" s="186"/>
      <c r="I107" s="186"/>
      <c r="J107" s="186"/>
      <c r="K107" s="186"/>
      <c r="L107" s="186"/>
      <c r="M107" s="186">
        <v>442.52</v>
      </c>
      <c r="N107" s="186"/>
      <c r="O107" s="186"/>
      <c r="P107" s="186"/>
      <c r="Q107" s="186"/>
      <c r="R107" s="186"/>
      <c r="S107" s="186"/>
      <c r="T107" s="186"/>
      <c r="U107" s="186"/>
    </row>
    <row r="108" spans="1:21" x14ac:dyDescent="0.25">
      <c r="A108" t="s">
        <v>107</v>
      </c>
      <c r="B108" t="s">
        <v>48</v>
      </c>
      <c r="C108" t="s">
        <v>98</v>
      </c>
      <c r="D108" t="s">
        <v>99</v>
      </c>
      <c r="E108" t="s">
        <v>79</v>
      </c>
      <c r="F108" s="186"/>
      <c r="G108" s="186"/>
      <c r="H108" s="186"/>
      <c r="I108" s="186"/>
      <c r="J108" s="186"/>
      <c r="K108" s="186"/>
      <c r="L108" s="186"/>
      <c r="M108" s="186">
        <v>47151.4</v>
      </c>
      <c r="N108" s="186"/>
      <c r="O108" s="186"/>
      <c r="P108" s="186"/>
      <c r="Q108" s="186"/>
      <c r="R108" s="186"/>
      <c r="S108" s="186"/>
      <c r="T108" s="186"/>
      <c r="U108" s="186"/>
    </row>
    <row r="109" spans="1:21" x14ac:dyDescent="0.25">
      <c r="A109" t="s">
        <v>107</v>
      </c>
      <c r="B109" t="s">
        <v>100</v>
      </c>
      <c r="C109" t="s">
        <v>101</v>
      </c>
      <c r="D109">
        <v>0</v>
      </c>
      <c r="E109" t="s">
        <v>79</v>
      </c>
      <c r="F109" s="192"/>
      <c r="G109" s="192"/>
      <c r="H109" s="192"/>
      <c r="I109" s="192"/>
      <c r="J109" s="192"/>
      <c r="K109" s="192"/>
      <c r="L109" s="192"/>
      <c r="M109" s="192">
        <v>3588.7159999999999</v>
      </c>
      <c r="N109" s="192">
        <v>0</v>
      </c>
      <c r="O109" s="192">
        <v>0</v>
      </c>
      <c r="P109" s="192">
        <v>0</v>
      </c>
      <c r="Q109" s="192">
        <v>0</v>
      </c>
      <c r="R109" s="192">
        <v>0</v>
      </c>
      <c r="S109" s="192">
        <v>0</v>
      </c>
      <c r="T109" s="192">
        <v>0</v>
      </c>
      <c r="U109" s="192"/>
    </row>
    <row r="110" spans="1:21" x14ac:dyDescent="0.25">
      <c r="A110" t="s">
        <v>107</v>
      </c>
      <c r="B110" t="s">
        <v>102</v>
      </c>
      <c r="C110" t="s">
        <v>103</v>
      </c>
      <c r="D110" t="s">
        <v>25</v>
      </c>
      <c r="E110" t="s">
        <v>79</v>
      </c>
      <c r="F110" s="191"/>
      <c r="G110" s="191"/>
      <c r="H110" s="191"/>
      <c r="I110" s="191"/>
      <c r="J110" s="191"/>
      <c r="K110" s="191"/>
      <c r="L110" s="191"/>
      <c r="M110" s="191"/>
      <c r="N110" s="191"/>
      <c r="O110" s="191"/>
      <c r="P110" s="191"/>
      <c r="Q110" s="191"/>
      <c r="R110" s="191"/>
      <c r="S110" s="191"/>
      <c r="T110" s="191"/>
      <c r="U110" s="191"/>
    </row>
    <row r="111" spans="1:21" x14ac:dyDescent="0.25">
      <c r="A111" t="s">
        <v>107</v>
      </c>
      <c r="B111" t="s">
        <v>104</v>
      </c>
      <c r="C111" t="s">
        <v>105</v>
      </c>
      <c r="D111" t="s">
        <v>25</v>
      </c>
      <c r="E111" t="s">
        <v>79</v>
      </c>
      <c r="F111" s="191"/>
      <c r="G111" s="191"/>
      <c r="H111" s="191"/>
      <c r="I111" s="191"/>
      <c r="J111" s="191"/>
      <c r="K111" s="191"/>
      <c r="L111" s="191"/>
      <c r="M111" s="191"/>
      <c r="N111" s="191"/>
      <c r="O111" s="191"/>
      <c r="P111" s="191"/>
      <c r="Q111" s="191"/>
      <c r="R111" s="191"/>
      <c r="S111" s="191"/>
      <c r="T111" s="191"/>
      <c r="U111" s="191"/>
    </row>
    <row r="112" spans="1:21" x14ac:dyDescent="0.25">
      <c r="A112" t="s">
        <v>108</v>
      </c>
      <c r="B112" t="s">
        <v>77</v>
      </c>
      <c r="C112" t="s">
        <v>78</v>
      </c>
      <c r="D112" t="s">
        <v>25</v>
      </c>
      <c r="E112" t="s">
        <v>79</v>
      </c>
      <c r="F112" s="186"/>
      <c r="G112" s="186">
        <v>0</v>
      </c>
      <c r="H112" s="186">
        <v>0</v>
      </c>
      <c r="I112" s="186">
        <v>0</v>
      </c>
      <c r="J112" s="186">
        <v>0</v>
      </c>
      <c r="K112" s="186">
        <v>0</v>
      </c>
      <c r="L112" s="186">
        <v>0</v>
      </c>
      <c r="M112" s="186">
        <v>0</v>
      </c>
      <c r="N112" s="186">
        <v>0</v>
      </c>
      <c r="O112" s="186">
        <v>0</v>
      </c>
      <c r="P112" s="186">
        <v>0</v>
      </c>
      <c r="Q112" s="186">
        <v>0</v>
      </c>
      <c r="R112" s="186">
        <v>0</v>
      </c>
      <c r="S112" s="186">
        <v>0</v>
      </c>
      <c r="T112" s="186">
        <v>0</v>
      </c>
      <c r="U112" s="186"/>
    </row>
    <row r="113" spans="1:21" x14ac:dyDescent="0.25">
      <c r="A113" t="s">
        <v>108</v>
      </c>
      <c r="B113" t="s">
        <v>80</v>
      </c>
      <c r="C113" t="s">
        <v>81</v>
      </c>
      <c r="D113" t="s">
        <v>25</v>
      </c>
      <c r="E113" t="s">
        <v>79</v>
      </c>
      <c r="F113" s="186"/>
      <c r="G113" s="186">
        <v>5.3043032605814201E-2</v>
      </c>
      <c r="H113" s="186">
        <v>3.1291975841242298E-2</v>
      </c>
      <c r="I113" s="186">
        <v>2.1139283299526699E-3</v>
      </c>
      <c r="J113" s="186">
        <v>0</v>
      </c>
      <c r="K113" s="186">
        <v>0</v>
      </c>
      <c r="L113" s="186">
        <v>0</v>
      </c>
      <c r="M113" s="186">
        <v>5.8999999999999997E-2</v>
      </c>
      <c r="N113" s="186">
        <v>0</v>
      </c>
      <c r="O113" s="186">
        <v>0</v>
      </c>
      <c r="P113" s="186">
        <v>0</v>
      </c>
      <c r="Q113" s="186">
        <v>0</v>
      </c>
      <c r="R113" s="186">
        <v>0</v>
      </c>
      <c r="S113" s="186">
        <v>0</v>
      </c>
      <c r="T113" s="186">
        <v>0</v>
      </c>
      <c r="U113" s="186"/>
    </row>
    <row r="114" spans="1:21" x14ac:dyDescent="0.25">
      <c r="A114" t="s">
        <v>108</v>
      </c>
      <c r="B114" t="s">
        <v>82</v>
      </c>
      <c r="C114" t="s">
        <v>83</v>
      </c>
      <c r="D114" t="s">
        <v>25</v>
      </c>
      <c r="E114" t="s">
        <v>79</v>
      </c>
      <c r="F114" s="186"/>
      <c r="G114" s="186">
        <v>0</v>
      </c>
      <c r="H114" s="186">
        <v>0</v>
      </c>
      <c r="I114" s="186">
        <v>0</v>
      </c>
      <c r="J114" s="186">
        <v>0</v>
      </c>
      <c r="K114" s="186">
        <v>0</v>
      </c>
      <c r="L114" s="186">
        <v>0</v>
      </c>
      <c r="M114" s="186">
        <v>0</v>
      </c>
      <c r="N114" s="186">
        <v>0</v>
      </c>
      <c r="O114" s="186">
        <v>0</v>
      </c>
      <c r="P114" s="186">
        <v>0</v>
      </c>
      <c r="Q114" s="186">
        <v>0</v>
      </c>
      <c r="R114" s="186">
        <v>0</v>
      </c>
      <c r="S114" s="186">
        <v>0</v>
      </c>
      <c r="T114" s="186">
        <v>0</v>
      </c>
      <c r="U114" s="186"/>
    </row>
    <row r="115" spans="1:21" x14ac:dyDescent="0.25">
      <c r="A115" t="s">
        <v>108</v>
      </c>
      <c r="B115" t="s">
        <v>84</v>
      </c>
      <c r="C115" t="s">
        <v>85</v>
      </c>
      <c r="D115" t="s">
        <v>25</v>
      </c>
      <c r="E115" t="s">
        <v>79</v>
      </c>
      <c r="F115" s="186"/>
      <c r="G115" s="186">
        <v>0</v>
      </c>
      <c r="H115" s="186">
        <v>0</v>
      </c>
      <c r="I115" s="186">
        <v>0</v>
      </c>
      <c r="J115" s="186">
        <v>0</v>
      </c>
      <c r="K115" s="186">
        <v>5.2021630615640604E-3</v>
      </c>
      <c r="L115" s="186">
        <v>0</v>
      </c>
      <c r="M115" s="186">
        <v>0</v>
      </c>
      <c r="N115" s="186">
        <v>0</v>
      </c>
      <c r="O115" s="186">
        <v>0</v>
      </c>
      <c r="P115" s="186">
        <v>0.9</v>
      </c>
      <c r="Q115" s="186">
        <v>0.9</v>
      </c>
      <c r="R115" s="186">
        <v>0.64400000000000002</v>
      </c>
      <c r="S115" s="186">
        <v>0.64400000000000002</v>
      </c>
      <c r="T115" s="186">
        <v>0.64400000000000002</v>
      </c>
      <c r="U115" s="186"/>
    </row>
    <row r="116" spans="1:21" x14ac:dyDescent="0.25">
      <c r="A116" t="s">
        <v>108</v>
      </c>
      <c r="B116" t="s">
        <v>86</v>
      </c>
      <c r="C116" t="s">
        <v>87</v>
      </c>
      <c r="D116" t="s">
        <v>25</v>
      </c>
      <c r="E116" t="s">
        <v>79</v>
      </c>
      <c r="F116" s="186"/>
      <c r="G116" s="186">
        <v>168.54644623133299</v>
      </c>
      <c r="H116" s="186">
        <v>139.537502381363</v>
      </c>
      <c r="I116" s="186">
        <v>159.75696264367801</v>
      </c>
      <c r="J116" s="186">
        <v>158.56399933149501</v>
      </c>
      <c r="K116" s="186">
        <v>154.966195008319</v>
      </c>
      <c r="L116" s="186">
        <v>171.92593992613899</v>
      </c>
      <c r="M116" s="186">
        <v>175.102</v>
      </c>
      <c r="N116" s="186">
        <v>146.79622348987999</v>
      </c>
      <c r="O116" s="186">
        <v>138.72747678160999</v>
      </c>
      <c r="P116" s="186">
        <v>164.92599999999999</v>
      </c>
      <c r="Q116" s="186">
        <v>179.66900000000001</v>
      </c>
      <c r="R116" s="186">
        <v>192.19399999999999</v>
      </c>
      <c r="S116" s="186">
        <v>181.702</v>
      </c>
      <c r="T116" s="186">
        <v>175.761</v>
      </c>
      <c r="U116" s="186"/>
    </row>
    <row r="117" spans="1:21" x14ac:dyDescent="0.25">
      <c r="A117" t="s">
        <v>108</v>
      </c>
      <c r="B117" t="s">
        <v>44</v>
      </c>
      <c r="C117" t="s">
        <v>88</v>
      </c>
      <c r="D117" t="s">
        <v>25</v>
      </c>
      <c r="E117" t="s">
        <v>79</v>
      </c>
      <c r="F117" s="191"/>
      <c r="G117" s="191"/>
      <c r="H117" s="191"/>
      <c r="I117" s="191"/>
      <c r="J117" s="191"/>
      <c r="K117" s="191"/>
      <c r="L117" s="191"/>
      <c r="M117" s="191">
        <v>0</v>
      </c>
      <c r="N117" s="191">
        <v>0</v>
      </c>
      <c r="O117" s="191">
        <v>0</v>
      </c>
      <c r="P117" s="191">
        <v>0</v>
      </c>
      <c r="Q117" s="191">
        <v>0</v>
      </c>
      <c r="R117" s="191">
        <v>0</v>
      </c>
      <c r="S117" s="191">
        <v>0</v>
      </c>
      <c r="T117" s="191">
        <v>0</v>
      </c>
      <c r="U117" s="191"/>
    </row>
    <row r="118" spans="1:21" x14ac:dyDescent="0.25">
      <c r="A118" t="s">
        <v>108</v>
      </c>
      <c r="B118" t="s">
        <v>45</v>
      </c>
      <c r="C118" t="s">
        <v>89</v>
      </c>
      <c r="D118" t="s">
        <v>25</v>
      </c>
      <c r="E118" t="s">
        <v>79</v>
      </c>
      <c r="F118" s="191"/>
      <c r="G118" s="191"/>
      <c r="H118" s="191"/>
      <c r="I118" s="191"/>
      <c r="J118" s="191"/>
      <c r="K118" s="191"/>
      <c r="L118" s="191"/>
      <c r="M118" s="191">
        <v>0</v>
      </c>
      <c r="N118" s="191">
        <v>0</v>
      </c>
      <c r="O118" s="191">
        <v>0</v>
      </c>
      <c r="P118" s="191">
        <v>0</v>
      </c>
      <c r="Q118" s="191">
        <v>0</v>
      </c>
      <c r="R118" s="191">
        <v>0</v>
      </c>
      <c r="S118" s="191">
        <v>0</v>
      </c>
      <c r="T118" s="191">
        <v>0</v>
      </c>
      <c r="U118" s="191"/>
    </row>
    <row r="119" spans="1:21" x14ac:dyDescent="0.25">
      <c r="A119" t="s">
        <v>108</v>
      </c>
      <c r="B119" t="s">
        <v>46</v>
      </c>
      <c r="C119" t="s">
        <v>90</v>
      </c>
      <c r="D119" t="s">
        <v>25</v>
      </c>
      <c r="E119" t="s">
        <v>79</v>
      </c>
      <c r="F119" s="191"/>
      <c r="G119" s="191"/>
      <c r="H119" s="191"/>
      <c r="I119" s="191"/>
      <c r="J119" s="191"/>
      <c r="K119" s="191"/>
      <c r="L119" s="191"/>
      <c r="M119" s="191">
        <v>0</v>
      </c>
      <c r="N119" s="191">
        <v>0</v>
      </c>
      <c r="O119" s="191">
        <v>0</v>
      </c>
      <c r="P119" s="191">
        <v>0</v>
      </c>
      <c r="Q119" s="191">
        <v>0</v>
      </c>
      <c r="R119" s="191">
        <v>0</v>
      </c>
      <c r="S119" s="191">
        <v>0</v>
      </c>
      <c r="T119" s="191">
        <v>0</v>
      </c>
      <c r="U119" s="191"/>
    </row>
    <row r="120" spans="1:21" x14ac:dyDescent="0.25">
      <c r="A120" t="s">
        <v>108</v>
      </c>
      <c r="B120" t="s">
        <v>47</v>
      </c>
      <c r="C120" t="s">
        <v>91</v>
      </c>
      <c r="D120" t="s">
        <v>25</v>
      </c>
      <c r="E120" t="s">
        <v>79</v>
      </c>
      <c r="F120" s="191"/>
      <c r="G120" s="191"/>
      <c r="H120" s="191"/>
      <c r="I120" s="191"/>
      <c r="J120" s="191"/>
      <c r="K120" s="191"/>
      <c r="L120" s="191"/>
      <c r="M120" s="191">
        <v>0</v>
      </c>
      <c r="N120" s="191">
        <v>0</v>
      </c>
      <c r="O120" s="191">
        <v>0</v>
      </c>
      <c r="P120" s="191">
        <v>0.04</v>
      </c>
      <c r="Q120" s="191">
        <v>0.04</v>
      </c>
      <c r="R120" s="191">
        <v>0.04</v>
      </c>
      <c r="S120" s="191">
        <v>0.04</v>
      </c>
      <c r="T120" s="191">
        <v>0.04</v>
      </c>
      <c r="U120" s="191"/>
    </row>
    <row r="121" spans="1:21" x14ac:dyDescent="0.25">
      <c r="A121" t="s">
        <v>108</v>
      </c>
      <c r="B121" t="s">
        <v>15</v>
      </c>
      <c r="C121" t="s">
        <v>92</v>
      </c>
      <c r="D121" t="s">
        <v>93</v>
      </c>
      <c r="E121" t="s">
        <v>79</v>
      </c>
      <c r="F121" s="186"/>
      <c r="G121" s="186"/>
      <c r="H121" s="186"/>
      <c r="I121" s="186"/>
      <c r="J121" s="186"/>
      <c r="K121" s="186"/>
      <c r="L121" s="186"/>
      <c r="M121" s="186">
        <v>0</v>
      </c>
      <c r="N121" s="186">
        <v>0</v>
      </c>
      <c r="O121" s="186">
        <v>0</v>
      </c>
      <c r="P121" s="186">
        <v>0</v>
      </c>
      <c r="Q121" s="186">
        <v>0</v>
      </c>
      <c r="R121" s="186">
        <v>0</v>
      </c>
      <c r="S121" s="186">
        <v>0</v>
      </c>
      <c r="T121" s="186">
        <v>0</v>
      </c>
      <c r="U121" s="186"/>
    </row>
    <row r="122" spans="1:21" x14ac:dyDescent="0.25">
      <c r="A122" t="s">
        <v>108</v>
      </c>
      <c r="B122" t="s">
        <v>16</v>
      </c>
      <c r="C122" t="s">
        <v>94</v>
      </c>
      <c r="D122" t="s">
        <v>93</v>
      </c>
      <c r="E122" t="s">
        <v>79</v>
      </c>
      <c r="F122" s="186"/>
      <c r="G122" s="186"/>
      <c r="H122" s="186"/>
      <c r="I122" s="186"/>
      <c r="J122" s="186"/>
      <c r="K122" s="186"/>
      <c r="L122" s="186"/>
      <c r="M122" s="186">
        <v>0</v>
      </c>
      <c r="N122" s="186">
        <v>0</v>
      </c>
      <c r="O122" s="186">
        <v>0</v>
      </c>
      <c r="P122" s="186">
        <v>0</v>
      </c>
      <c r="Q122" s="186">
        <v>0</v>
      </c>
      <c r="R122" s="186">
        <v>0</v>
      </c>
      <c r="S122" s="186">
        <v>0</v>
      </c>
      <c r="T122" s="186">
        <v>0</v>
      </c>
      <c r="U122" s="186"/>
    </row>
    <row r="123" spans="1:21" x14ac:dyDescent="0.25">
      <c r="A123" t="s">
        <v>108</v>
      </c>
      <c r="B123" t="s">
        <v>17</v>
      </c>
      <c r="C123" t="s">
        <v>95</v>
      </c>
      <c r="D123" t="s">
        <v>93</v>
      </c>
      <c r="E123" t="s">
        <v>79</v>
      </c>
      <c r="F123" s="186"/>
      <c r="G123" s="186"/>
      <c r="H123" s="186"/>
      <c r="I123" s="186"/>
      <c r="J123" s="186"/>
      <c r="K123" s="186"/>
      <c r="L123" s="186"/>
      <c r="M123" s="186">
        <v>0</v>
      </c>
      <c r="N123" s="186">
        <v>7.06</v>
      </c>
      <c r="O123" s="186">
        <v>1.33</v>
      </c>
      <c r="P123" s="186">
        <v>7.6</v>
      </c>
      <c r="Q123" s="186">
        <v>5.63</v>
      </c>
      <c r="R123" s="186">
        <v>5.54</v>
      </c>
      <c r="S123" s="186">
        <v>5.66</v>
      </c>
      <c r="T123" s="186">
        <v>5.51</v>
      </c>
      <c r="U123" s="186"/>
    </row>
    <row r="124" spans="1:21" x14ac:dyDescent="0.25">
      <c r="A124" t="s">
        <v>108</v>
      </c>
      <c r="B124" t="s">
        <v>18</v>
      </c>
      <c r="C124" t="s">
        <v>96</v>
      </c>
      <c r="D124" t="s">
        <v>93</v>
      </c>
      <c r="E124" t="s">
        <v>79</v>
      </c>
      <c r="F124" s="186"/>
      <c r="G124" s="186"/>
      <c r="H124" s="186"/>
      <c r="I124" s="186"/>
      <c r="J124" s="186"/>
      <c r="K124" s="186"/>
      <c r="L124" s="186"/>
      <c r="M124" s="186">
        <v>0</v>
      </c>
      <c r="N124" s="186">
        <v>7.06</v>
      </c>
      <c r="O124" s="186">
        <v>1.33</v>
      </c>
      <c r="P124" s="186">
        <v>7.6</v>
      </c>
      <c r="Q124" s="186">
        <v>5.63</v>
      </c>
      <c r="R124" s="186">
        <v>5.54</v>
      </c>
      <c r="S124" s="186">
        <v>5.66</v>
      </c>
      <c r="T124" s="186">
        <v>5.51</v>
      </c>
      <c r="U124" s="186"/>
    </row>
    <row r="125" spans="1:21" x14ac:dyDescent="0.25">
      <c r="A125" t="s">
        <v>108</v>
      </c>
      <c r="B125" t="s">
        <v>23</v>
      </c>
      <c r="C125" t="s">
        <v>97</v>
      </c>
      <c r="D125" t="s">
        <v>93</v>
      </c>
      <c r="E125" t="s">
        <v>79</v>
      </c>
      <c r="F125" s="186"/>
      <c r="G125" s="186"/>
      <c r="H125" s="186"/>
      <c r="I125" s="186"/>
      <c r="J125" s="186"/>
      <c r="K125" s="186"/>
      <c r="L125" s="186"/>
      <c r="M125" s="186">
        <v>102.46</v>
      </c>
      <c r="N125" s="186">
        <v>117.53</v>
      </c>
      <c r="O125" s="186">
        <v>116.2</v>
      </c>
      <c r="P125" s="186">
        <v>114.3</v>
      </c>
      <c r="Q125" s="186">
        <v>110.77</v>
      </c>
      <c r="R125" s="186">
        <v>107.23</v>
      </c>
      <c r="S125" s="186">
        <v>103.7</v>
      </c>
      <c r="T125" s="186">
        <v>100.16</v>
      </c>
      <c r="U125" s="186"/>
    </row>
    <row r="126" spans="1:21" x14ac:dyDescent="0.25">
      <c r="A126" t="s">
        <v>108</v>
      </c>
      <c r="B126" t="s">
        <v>48</v>
      </c>
      <c r="C126" t="s">
        <v>98</v>
      </c>
      <c r="D126" t="s">
        <v>99</v>
      </c>
      <c r="E126" t="s">
        <v>79</v>
      </c>
      <c r="F126" s="186"/>
      <c r="G126" s="186"/>
      <c r="H126" s="186"/>
      <c r="I126" s="186"/>
      <c r="J126" s="186"/>
      <c r="K126" s="186"/>
      <c r="L126" s="186"/>
      <c r="M126" s="186">
        <v>18233</v>
      </c>
      <c r="N126" s="186">
        <v>18288</v>
      </c>
      <c r="O126" s="186">
        <v>18337</v>
      </c>
      <c r="P126" s="186">
        <v>18386</v>
      </c>
      <c r="Q126" s="186">
        <v>18435</v>
      </c>
      <c r="R126" s="186">
        <v>18492</v>
      </c>
      <c r="S126" s="186">
        <v>18543</v>
      </c>
      <c r="T126" s="186">
        <v>18592</v>
      </c>
      <c r="U126" s="186"/>
    </row>
    <row r="127" spans="1:21" x14ac:dyDescent="0.25">
      <c r="A127" t="s">
        <v>108</v>
      </c>
      <c r="B127" t="s">
        <v>100</v>
      </c>
      <c r="C127" t="s">
        <v>101</v>
      </c>
      <c r="D127">
        <v>0</v>
      </c>
      <c r="E127" t="s">
        <v>79</v>
      </c>
      <c r="F127" s="192"/>
      <c r="G127" s="192"/>
      <c r="H127" s="192"/>
      <c r="I127" s="192"/>
      <c r="J127" s="192"/>
      <c r="K127" s="192"/>
      <c r="L127" s="192"/>
      <c r="M127" s="192">
        <v>1044.365</v>
      </c>
      <c r="N127" s="192">
        <v>1054.403</v>
      </c>
      <c r="O127" s="192">
        <v>1063.8109999999999</v>
      </c>
      <c r="P127" s="192">
        <v>1073.17</v>
      </c>
      <c r="Q127" s="192">
        <v>1082.443</v>
      </c>
      <c r="R127" s="192">
        <v>1091.662</v>
      </c>
      <c r="S127" s="192">
        <v>1100.864</v>
      </c>
      <c r="T127" s="192">
        <v>1109.943</v>
      </c>
      <c r="U127" s="192"/>
    </row>
    <row r="128" spans="1:21" x14ac:dyDescent="0.25">
      <c r="A128" t="s">
        <v>108</v>
      </c>
      <c r="B128" t="s">
        <v>102</v>
      </c>
      <c r="C128" t="s">
        <v>103</v>
      </c>
      <c r="D128" t="s">
        <v>25</v>
      </c>
      <c r="E128" t="s">
        <v>79</v>
      </c>
      <c r="F128" s="191"/>
      <c r="G128" s="191"/>
      <c r="H128" s="191"/>
      <c r="I128" s="191"/>
      <c r="J128" s="191"/>
      <c r="K128" s="191"/>
      <c r="L128" s="191"/>
      <c r="M128" s="191"/>
      <c r="N128" s="191"/>
      <c r="O128" s="191"/>
      <c r="P128" s="191"/>
      <c r="Q128" s="191"/>
      <c r="R128" s="191"/>
      <c r="S128" s="191"/>
      <c r="T128" s="191"/>
      <c r="U128" s="191">
        <v>0</v>
      </c>
    </row>
    <row r="129" spans="1:21" x14ac:dyDescent="0.25">
      <c r="A129" t="s">
        <v>108</v>
      </c>
      <c r="B129" t="s">
        <v>104</v>
      </c>
      <c r="C129" t="s">
        <v>105</v>
      </c>
      <c r="D129" t="s">
        <v>25</v>
      </c>
      <c r="E129" t="s">
        <v>79</v>
      </c>
      <c r="F129" s="191"/>
      <c r="G129" s="191"/>
      <c r="H129" s="191"/>
      <c r="I129" s="191"/>
      <c r="J129" s="191"/>
      <c r="K129" s="191"/>
      <c r="L129" s="191"/>
      <c r="M129" s="191"/>
      <c r="N129" s="191"/>
      <c r="O129" s="191"/>
      <c r="P129" s="191"/>
      <c r="Q129" s="191"/>
      <c r="R129" s="191"/>
      <c r="S129" s="191"/>
      <c r="T129" s="191"/>
      <c r="U129" s="191">
        <v>0</v>
      </c>
    </row>
    <row r="130" spans="1:21" x14ac:dyDescent="0.25">
      <c r="A130" t="s">
        <v>109</v>
      </c>
      <c r="B130" t="s">
        <v>77</v>
      </c>
      <c r="C130" t="s">
        <v>78</v>
      </c>
      <c r="D130" t="s">
        <v>25</v>
      </c>
      <c r="E130" t="s">
        <v>79</v>
      </c>
      <c r="F130" s="186"/>
      <c r="G130" s="186">
        <v>0</v>
      </c>
      <c r="H130" s="186">
        <v>0</v>
      </c>
      <c r="I130" s="186">
        <v>0</v>
      </c>
      <c r="J130" s="186">
        <v>0</v>
      </c>
      <c r="K130" s="186">
        <v>0</v>
      </c>
      <c r="L130" s="186"/>
      <c r="M130" s="186"/>
      <c r="N130" s="186"/>
      <c r="O130" s="186"/>
      <c r="P130" s="186"/>
      <c r="Q130" s="186"/>
      <c r="R130" s="186"/>
      <c r="S130" s="186"/>
      <c r="T130" s="186"/>
      <c r="U130" s="186"/>
    </row>
    <row r="131" spans="1:21" x14ac:dyDescent="0.25">
      <c r="A131" t="s">
        <v>109</v>
      </c>
      <c r="B131" t="s">
        <v>80</v>
      </c>
      <c r="C131" t="s">
        <v>81</v>
      </c>
      <c r="D131" t="s">
        <v>25</v>
      </c>
      <c r="E131" t="s">
        <v>79</v>
      </c>
      <c r="F131" s="186"/>
      <c r="G131" s="186">
        <v>5.3043032605814201E-2</v>
      </c>
      <c r="H131" s="186">
        <v>3.1291975841242298E-2</v>
      </c>
      <c r="I131" s="186">
        <v>2.1139283299526699E-3</v>
      </c>
      <c r="J131" s="186">
        <v>0</v>
      </c>
      <c r="K131" s="186">
        <v>0</v>
      </c>
      <c r="L131" s="186"/>
      <c r="M131" s="186"/>
      <c r="N131" s="186"/>
      <c r="O131" s="186"/>
      <c r="P131" s="186"/>
      <c r="Q131" s="186"/>
      <c r="R131" s="186"/>
      <c r="S131" s="186"/>
      <c r="T131" s="186"/>
      <c r="U131" s="186"/>
    </row>
    <row r="132" spans="1:21" x14ac:dyDescent="0.25">
      <c r="A132" t="s">
        <v>109</v>
      </c>
      <c r="B132" t="s">
        <v>82</v>
      </c>
      <c r="C132" t="s">
        <v>83</v>
      </c>
      <c r="D132" t="s">
        <v>25</v>
      </c>
      <c r="E132" t="s">
        <v>79</v>
      </c>
      <c r="F132" s="186"/>
      <c r="G132" s="186">
        <v>0</v>
      </c>
      <c r="H132" s="186">
        <v>0</v>
      </c>
      <c r="I132" s="186">
        <v>0</v>
      </c>
      <c r="J132" s="186">
        <v>0</v>
      </c>
      <c r="K132" s="186">
        <v>0</v>
      </c>
      <c r="L132" s="186"/>
      <c r="M132" s="186"/>
      <c r="N132" s="186"/>
      <c r="O132" s="186"/>
      <c r="P132" s="186"/>
      <c r="Q132" s="186"/>
      <c r="R132" s="186"/>
      <c r="S132" s="186"/>
      <c r="T132" s="186"/>
      <c r="U132" s="186"/>
    </row>
    <row r="133" spans="1:21" x14ac:dyDescent="0.25">
      <c r="A133" t="s">
        <v>109</v>
      </c>
      <c r="B133" t="s">
        <v>84</v>
      </c>
      <c r="C133" t="s">
        <v>85</v>
      </c>
      <c r="D133" t="s">
        <v>25</v>
      </c>
      <c r="E133" t="s">
        <v>79</v>
      </c>
      <c r="F133" s="186"/>
      <c r="G133" s="186">
        <v>0</v>
      </c>
      <c r="H133" s="186">
        <v>0</v>
      </c>
      <c r="I133" s="186">
        <v>0</v>
      </c>
      <c r="J133" s="186">
        <v>0</v>
      </c>
      <c r="K133" s="186">
        <v>0</v>
      </c>
      <c r="L133" s="186"/>
      <c r="M133" s="186"/>
      <c r="N133" s="186"/>
      <c r="O133" s="186"/>
      <c r="P133" s="186"/>
      <c r="Q133" s="186"/>
      <c r="R133" s="186"/>
      <c r="S133" s="186"/>
      <c r="T133" s="186"/>
      <c r="U133" s="186"/>
    </row>
    <row r="134" spans="1:21" x14ac:dyDescent="0.25">
      <c r="A134" t="s">
        <v>109</v>
      </c>
      <c r="B134" t="s">
        <v>86</v>
      </c>
      <c r="C134" t="s">
        <v>87</v>
      </c>
      <c r="D134" t="s">
        <v>25</v>
      </c>
      <c r="E134" t="s">
        <v>79</v>
      </c>
      <c r="F134" s="186"/>
      <c r="G134" s="186">
        <v>140.70106423963901</v>
      </c>
      <c r="H134" s="186">
        <v>113.375252510785</v>
      </c>
      <c r="I134" s="186">
        <v>129.491850743746</v>
      </c>
      <c r="J134" s="186">
        <v>130.175473385142</v>
      </c>
      <c r="K134" s="186">
        <v>128.93040931780399</v>
      </c>
      <c r="L134" s="186"/>
      <c r="M134" s="186"/>
      <c r="N134" s="186"/>
      <c r="O134" s="186"/>
      <c r="P134" s="186"/>
      <c r="Q134" s="186"/>
      <c r="R134" s="186"/>
      <c r="S134" s="186"/>
      <c r="T134" s="186"/>
      <c r="U134" s="186"/>
    </row>
    <row r="135" spans="1:21" x14ac:dyDescent="0.25">
      <c r="A135" t="s">
        <v>109</v>
      </c>
      <c r="B135" t="s">
        <v>44</v>
      </c>
      <c r="C135" t="s">
        <v>88</v>
      </c>
      <c r="D135" t="s">
        <v>25</v>
      </c>
      <c r="E135" t="s">
        <v>79</v>
      </c>
      <c r="F135" s="191"/>
      <c r="G135" s="191"/>
      <c r="H135" s="191"/>
      <c r="I135" s="191"/>
      <c r="J135" s="191"/>
      <c r="K135" s="191"/>
      <c r="L135" s="191"/>
      <c r="M135" s="191">
        <v>0</v>
      </c>
      <c r="N135" s="191">
        <v>0</v>
      </c>
      <c r="O135" s="191">
        <v>0</v>
      </c>
      <c r="P135" s="191">
        <v>0</v>
      </c>
      <c r="Q135" s="191">
        <v>0</v>
      </c>
      <c r="R135" s="191">
        <v>0</v>
      </c>
      <c r="S135" s="191">
        <v>0</v>
      </c>
      <c r="T135" s="191">
        <v>0</v>
      </c>
      <c r="U135" s="191"/>
    </row>
    <row r="136" spans="1:21" x14ac:dyDescent="0.25">
      <c r="A136" t="s">
        <v>109</v>
      </c>
      <c r="B136" t="s">
        <v>45</v>
      </c>
      <c r="C136" t="s">
        <v>89</v>
      </c>
      <c r="D136" t="s">
        <v>25</v>
      </c>
      <c r="E136" t="s">
        <v>79</v>
      </c>
      <c r="F136" s="191"/>
      <c r="G136" s="191"/>
      <c r="H136" s="191"/>
      <c r="I136" s="191"/>
      <c r="J136" s="191"/>
      <c r="K136" s="191"/>
      <c r="L136" s="191"/>
      <c r="M136" s="191">
        <v>0</v>
      </c>
      <c r="N136" s="191">
        <v>0</v>
      </c>
      <c r="O136" s="191">
        <v>0</v>
      </c>
      <c r="P136" s="191">
        <v>0</v>
      </c>
      <c r="Q136" s="191">
        <v>0</v>
      </c>
      <c r="R136" s="191">
        <v>0</v>
      </c>
      <c r="S136" s="191">
        <v>0</v>
      </c>
      <c r="T136" s="191">
        <v>0</v>
      </c>
      <c r="U136" s="191"/>
    </row>
    <row r="137" spans="1:21" x14ac:dyDescent="0.25">
      <c r="A137" t="s">
        <v>109</v>
      </c>
      <c r="B137" t="s">
        <v>46</v>
      </c>
      <c r="C137" t="s">
        <v>90</v>
      </c>
      <c r="D137" t="s">
        <v>25</v>
      </c>
      <c r="E137" t="s">
        <v>79</v>
      </c>
      <c r="F137" s="191"/>
      <c r="G137" s="191"/>
      <c r="H137" s="191"/>
      <c r="I137" s="191"/>
      <c r="J137" s="191"/>
      <c r="K137" s="191"/>
      <c r="L137" s="191"/>
      <c r="M137" s="191">
        <v>0</v>
      </c>
      <c r="N137" s="191">
        <v>0</v>
      </c>
      <c r="O137" s="191">
        <v>0</v>
      </c>
      <c r="P137" s="191">
        <v>0</v>
      </c>
      <c r="Q137" s="191">
        <v>0</v>
      </c>
      <c r="R137" s="191">
        <v>0</v>
      </c>
      <c r="S137" s="191">
        <v>0</v>
      </c>
      <c r="T137" s="191">
        <v>0</v>
      </c>
      <c r="U137" s="191"/>
    </row>
    <row r="138" spans="1:21" x14ac:dyDescent="0.25">
      <c r="A138" t="s">
        <v>109</v>
      </c>
      <c r="B138" t="s">
        <v>47</v>
      </c>
      <c r="C138" t="s">
        <v>91</v>
      </c>
      <c r="D138" t="s">
        <v>25</v>
      </c>
      <c r="E138" t="s">
        <v>79</v>
      </c>
      <c r="F138" s="191"/>
      <c r="G138" s="191"/>
      <c r="H138" s="191"/>
      <c r="I138" s="191"/>
      <c r="J138" s="191"/>
      <c r="K138" s="191"/>
      <c r="L138" s="191"/>
      <c r="M138" s="191">
        <v>0</v>
      </c>
      <c r="N138" s="191">
        <v>0</v>
      </c>
      <c r="O138" s="191">
        <v>0</v>
      </c>
      <c r="P138" s="191">
        <v>0</v>
      </c>
      <c r="Q138" s="191">
        <v>0</v>
      </c>
      <c r="R138" s="191">
        <v>0</v>
      </c>
      <c r="S138" s="191">
        <v>0</v>
      </c>
      <c r="T138" s="191">
        <v>0</v>
      </c>
      <c r="U138" s="191"/>
    </row>
    <row r="139" spans="1:21" x14ac:dyDescent="0.25">
      <c r="A139" t="s">
        <v>109</v>
      </c>
      <c r="B139" t="s">
        <v>15</v>
      </c>
      <c r="C139" t="s">
        <v>92</v>
      </c>
      <c r="D139" t="s">
        <v>93</v>
      </c>
      <c r="E139" t="s">
        <v>79</v>
      </c>
      <c r="F139" s="186"/>
      <c r="G139" s="186"/>
      <c r="H139" s="186"/>
      <c r="I139" s="186"/>
      <c r="J139" s="186"/>
      <c r="K139" s="186"/>
      <c r="L139" s="186"/>
      <c r="M139" s="186"/>
      <c r="N139" s="186"/>
      <c r="O139" s="186"/>
      <c r="P139" s="186"/>
      <c r="Q139" s="186"/>
      <c r="R139" s="186"/>
      <c r="S139" s="186"/>
      <c r="T139" s="186"/>
      <c r="U139" s="186"/>
    </row>
    <row r="140" spans="1:21" x14ac:dyDescent="0.25">
      <c r="A140" t="s">
        <v>109</v>
      </c>
      <c r="B140" t="s">
        <v>16</v>
      </c>
      <c r="C140" t="s">
        <v>94</v>
      </c>
      <c r="D140" t="s">
        <v>93</v>
      </c>
      <c r="E140" t="s">
        <v>79</v>
      </c>
      <c r="F140" s="186"/>
      <c r="G140" s="186"/>
      <c r="H140" s="186"/>
      <c r="I140" s="186"/>
      <c r="J140" s="186"/>
      <c r="K140" s="186"/>
      <c r="L140" s="186"/>
      <c r="M140" s="186"/>
      <c r="N140" s="186"/>
      <c r="O140" s="186"/>
      <c r="P140" s="186"/>
      <c r="Q140" s="186"/>
      <c r="R140" s="186"/>
      <c r="S140" s="186"/>
      <c r="T140" s="186"/>
      <c r="U140" s="186"/>
    </row>
    <row r="141" spans="1:21" x14ac:dyDescent="0.25">
      <c r="A141" t="s">
        <v>109</v>
      </c>
      <c r="B141" t="s">
        <v>17</v>
      </c>
      <c r="C141" t="s">
        <v>95</v>
      </c>
      <c r="D141" t="s">
        <v>93</v>
      </c>
      <c r="E141" t="s">
        <v>79</v>
      </c>
      <c r="F141" s="186"/>
      <c r="G141" s="186"/>
      <c r="H141" s="186"/>
      <c r="I141" s="186"/>
      <c r="J141" s="186"/>
      <c r="K141" s="186"/>
      <c r="L141" s="186"/>
      <c r="M141" s="186"/>
      <c r="N141" s="186"/>
      <c r="O141" s="186"/>
      <c r="P141" s="186"/>
      <c r="Q141" s="186"/>
      <c r="R141" s="186"/>
      <c r="S141" s="186"/>
      <c r="T141" s="186"/>
      <c r="U141" s="186"/>
    </row>
    <row r="142" spans="1:21" x14ac:dyDescent="0.25">
      <c r="A142" t="s">
        <v>109</v>
      </c>
      <c r="B142" t="s">
        <v>18</v>
      </c>
      <c r="C142" t="s">
        <v>96</v>
      </c>
      <c r="D142" t="s">
        <v>93</v>
      </c>
      <c r="E142" t="s">
        <v>79</v>
      </c>
      <c r="F142" s="186"/>
      <c r="G142" s="186"/>
      <c r="H142" s="186"/>
      <c r="I142" s="186"/>
      <c r="J142" s="186"/>
      <c r="K142" s="186"/>
      <c r="L142" s="186"/>
      <c r="M142" s="186"/>
      <c r="N142" s="186"/>
      <c r="O142" s="186"/>
      <c r="P142" s="186"/>
      <c r="Q142" s="186"/>
      <c r="R142" s="186"/>
      <c r="S142" s="186"/>
      <c r="T142" s="186"/>
      <c r="U142" s="186"/>
    </row>
    <row r="143" spans="1:21" x14ac:dyDescent="0.25">
      <c r="A143" t="s">
        <v>109</v>
      </c>
      <c r="B143" t="s">
        <v>23</v>
      </c>
      <c r="C143" t="s">
        <v>97</v>
      </c>
      <c r="D143" t="s">
        <v>93</v>
      </c>
      <c r="E143" t="s">
        <v>79</v>
      </c>
      <c r="F143" s="186"/>
      <c r="G143" s="186"/>
      <c r="H143" s="186"/>
      <c r="I143" s="186"/>
      <c r="J143" s="186"/>
      <c r="K143" s="186"/>
      <c r="L143" s="186"/>
      <c r="M143" s="186"/>
      <c r="N143" s="186"/>
      <c r="O143" s="186"/>
      <c r="P143" s="186"/>
      <c r="Q143" s="186"/>
      <c r="R143" s="186"/>
      <c r="S143" s="186"/>
      <c r="T143" s="186"/>
      <c r="U143" s="186"/>
    </row>
    <row r="144" spans="1:21" x14ac:dyDescent="0.25">
      <c r="A144" t="s">
        <v>109</v>
      </c>
      <c r="B144" t="s">
        <v>48</v>
      </c>
      <c r="C144" t="s">
        <v>98</v>
      </c>
      <c r="D144" t="s">
        <v>99</v>
      </c>
      <c r="E144" t="s">
        <v>79</v>
      </c>
      <c r="F144" s="186"/>
      <c r="G144" s="186"/>
      <c r="H144" s="186"/>
      <c r="I144" s="186"/>
      <c r="J144" s="186"/>
      <c r="K144" s="186"/>
      <c r="L144" s="186"/>
      <c r="M144" s="186"/>
      <c r="N144" s="186"/>
      <c r="O144" s="186"/>
      <c r="P144" s="186"/>
      <c r="Q144" s="186"/>
      <c r="R144" s="186"/>
      <c r="S144" s="186"/>
      <c r="T144" s="186"/>
      <c r="U144" s="186"/>
    </row>
    <row r="145" spans="1:21" x14ac:dyDescent="0.25">
      <c r="A145" t="s">
        <v>109</v>
      </c>
      <c r="B145" t="s">
        <v>100</v>
      </c>
      <c r="C145" t="s">
        <v>101</v>
      </c>
      <c r="D145">
        <v>0</v>
      </c>
      <c r="E145" t="s">
        <v>79</v>
      </c>
      <c r="F145" s="192"/>
      <c r="G145" s="192"/>
      <c r="H145" s="192"/>
      <c r="I145" s="192"/>
      <c r="J145" s="192"/>
      <c r="K145" s="192"/>
      <c r="L145" s="192"/>
      <c r="M145" s="192">
        <v>0</v>
      </c>
      <c r="N145" s="192">
        <v>0</v>
      </c>
      <c r="O145" s="192">
        <v>0</v>
      </c>
      <c r="P145" s="192">
        <v>0</v>
      </c>
      <c r="Q145" s="192">
        <v>0</v>
      </c>
      <c r="R145" s="192">
        <v>0</v>
      </c>
      <c r="S145" s="192">
        <v>0</v>
      </c>
      <c r="T145" s="192">
        <v>0</v>
      </c>
      <c r="U145" s="192"/>
    </row>
    <row r="146" spans="1:21" x14ac:dyDescent="0.25">
      <c r="A146" t="s">
        <v>109</v>
      </c>
      <c r="B146" t="s">
        <v>102</v>
      </c>
      <c r="C146" t="s">
        <v>103</v>
      </c>
      <c r="D146" t="s">
        <v>25</v>
      </c>
      <c r="E146" t="s">
        <v>79</v>
      </c>
      <c r="F146" s="191"/>
      <c r="G146" s="191"/>
      <c r="H146" s="191"/>
      <c r="I146" s="191"/>
      <c r="J146" s="191"/>
      <c r="K146" s="191"/>
      <c r="L146" s="191"/>
      <c r="M146" s="191"/>
      <c r="N146" s="191"/>
      <c r="O146" s="191"/>
      <c r="P146" s="191"/>
      <c r="Q146" s="191"/>
      <c r="R146" s="191"/>
      <c r="S146" s="191"/>
      <c r="T146" s="191"/>
      <c r="U146" s="191"/>
    </row>
    <row r="147" spans="1:21" x14ac:dyDescent="0.25">
      <c r="A147" t="s">
        <v>109</v>
      </c>
      <c r="B147" t="s">
        <v>104</v>
      </c>
      <c r="C147" t="s">
        <v>105</v>
      </c>
      <c r="D147" t="s">
        <v>25</v>
      </c>
      <c r="E147" t="s">
        <v>79</v>
      </c>
      <c r="F147" s="191"/>
      <c r="G147" s="191"/>
      <c r="H147" s="191"/>
      <c r="I147" s="191"/>
      <c r="J147" s="191"/>
      <c r="K147" s="191"/>
      <c r="L147" s="191"/>
      <c r="M147" s="191"/>
      <c r="N147" s="191"/>
      <c r="O147" s="191"/>
      <c r="P147" s="191"/>
      <c r="Q147" s="191"/>
      <c r="R147" s="191"/>
      <c r="S147" s="191"/>
      <c r="T147" s="191"/>
      <c r="U147" s="191"/>
    </row>
    <row r="148" spans="1:21" x14ac:dyDescent="0.25">
      <c r="A148" t="s">
        <v>30</v>
      </c>
      <c r="B148" t="s">
        <v>77</v>
      </c>
      <c r="C148" t="s">
        <v>78</v>
      </c>
      <c r="D148" t="s">
        <v>25</v>
      </c>
      <c r="E148" t="s">
        <v>79</v>
      </c>
      <c r="F148" s="186"/>
      <c r="G148" s="186">
        <v>0</v>
      </c>
      <c r="H148" s="186">
        <v>0</v>
      </c>
      <c r="I148" s="186">
        <v>0</v>
      </c>
      <c r="J148" s="186">
        <v>0</v>
      </c>
      <c r="K148" s="186">
        <v>0.75639450915141404</v>
      </c>
      <c r="L148" s="186">
        <v>4.3814619614279904</v>
      </c>
      <c r="M148" s="186">
        <v>2.1280000000000001</v>
      </c>
      <c r="N148" s="186">
        <v>-8.7974050336095001E-3</v>
      </c>
      <c r="O148" s="186">
        <v>0</v>
      </c>
      <c r="P148" s="186">
        <v>4.0990000000000002</v>
      </c>
      <c r="Q148" s="186">
        <v>3.7989999999999999</v>
      </c>
      <c r="R148" s="186">
        <v>4.7210000000000001</v>
      </c>
      <c r="S148" s="186">
        <v>7.8520000000000003</v>
      </c>
      <c r="T148" s="186">
        <v>11.367000000000001</v>
      </c>
      <c r="U148" s="186"/>
    </row>
    <row r="149" spans="1:21" x14ac:dyDescent="0.25">
      <c r="A149" t="s">
        <v>30</v>
      </c>
      <c r="B149" t="s">
        <v>80</v>
      </c>
      <c r="C149" t="s">
        <v>81</v>
      </c>
      <c r="D149" t="s">
        <v>25</v>
      </c>
      <c r="E149" t="s">
        <v>79</v>
      </c>
      <c r="F149" s="186"/>
      <c r="G149" s="186">
        <v>0.50722399929309803</v>
      </c>
      <c r="H149" s="186">
        <v>1.48798740293356</v>
      </c>
      <c r="I149" s="186">
        <v>0.80646365787694396</v>
      </c>
      <c r="J149" s="186">
        <v>0.28529606417648501</v>
      </c>
      <c r="K149" s="186">
        <v>0.190399168053245</v>
      </c>
      <c r="L149" s="186">
        <v>0.99760623717685704</v>
      </c>
      <c r="M149" s="186">
        <v>1.764</v>
      </c>
      <c r="N149" s="186">
        <v>0.73409457558230395</v>
      </c>
      <c r="O149" s="186">
        <v>2.1730419473361899</v>
      </c>
      <c r="P149" s="186">
        <v>13.492000000000001</v>
      </c>
      <c r="Q149" s="186">
        <v>12.164</v>
      </c>
      <c r="R149" s="186">
        <v>16.593</v>
      </c>
      <c r="S149" s="186">
        <v>32.426000000000002</v>
      </c>
      <c r="T149" s="186">
        <v>50.09</v>
      </c>
      <c r="U149" s="186"/>
    </row>
    <row r="150" spans="1:21" x14ac:dyDescent="0.25">
      <c r="A150" t="s">
        <v>30</v>
      </c>
      <c r="B150" t="s">
        <v>82</v>
      </c>
      <c r="C150" t="s">
        <v>83</v>
      </c>
      <c r="D150" t="s">
        <v>25</v>
      </c>
      <c r="E150" t="s">
        <v>79</v>
      </c>
      <c r="F150" s="186"/>
      <c r="G150" s="186">
        <v>0</v>
      </c>
      <c r="H150" s="186">
        <v>0</v>
      </c>
      <c r="I150" s="186">
        <v>0</v>
      </c>
      <c r="J150" s="186">
        <v>0</v>
      </c>
      <c r="K150" s="186">
        <v>0</v>
      </c>
      <c r="L150" s="186">
        <v>0</v>
      </c>
      <c r="M150" s="186">
        <v>0</v>
      </c>
      <c r="N150" s="186">
        <v>0</v>
      </c>
      <c r="O150" s="186">
        <v>0</v>
      </c>
      <c r="P150" s="186">
        <v>0</v>
      </c>
      <c r="Q150" s="186">
        <v>0</v>
      </c>
      <c r="R150" s="186">
        <v>0</v>
      </c>
      <c r="S150" s="186">
        <v>0</v>
      </c>
      <c r="T150" s="186">
        <v>0</v>
      </c>
      <c r="U150" s="186"/>
    </row>
    <row r="151" spans="1:21" x14ac:dyDescent="0.25">
      <c r="A151" t="s">
        <v>30</v>
      </c>
      <c r="B151" t="s">
        <v>84</v>
      </c>
      <c r="C151" t="s">
        <v>85</v>
      </c>
      <c r="D151" t="s">
        <v>25</v>
      </c>
      <c r="E151" t="s">
        <v>79</v>
      </c>
      <c r="F151" s="186"/>
      <c r="G151" s="186">
        <v>32.628095431651502</v>
      </c>
      <c r="H151" s="186">
        <v>33.964742191544403</v>
      </c>
      <c r="I151" s="186">
        <v>30.085427991886402</v>
      </c>
      <c r="J151" s="186">
        <v>25.7748795855269</v>
      </c>
      <c r="K151" s="186">
        <v>16.801946256239599</v>
      </c>
      <c r="L151" s="186">
        <v>3.2945638079606101</v>
      </c>
      <c r="M151" s="186">
        <v>0</v>
      </c>
      <c r="N151" s="186">
        <v>2.7164431764889798</v>
      </c>
      <c r="O151" s="186">
        <v>3.4567640845070402</v>
      </c>
      <c r="P151" s="186">
        <v>5.0839999999999996</v>
      </c>
      <c r="Q151" s="186">
        <v>5.4690000000000003</v>
      </c>
      <c r="R151" s="186">
        <v>6.2380000000000004</v>
      </c>
      <c r="S151" s="186">
        <v>7.9710000000000001</v>
      </c>
      <c r="T151" s="186">
        <v>8.3559999999999999</v>
      </c>
      <c r="U151" s="186"/>
    </row>
    <row r="152" spans="1:21" x14ac:dyDescent="0.25">
      <c r="A152" t="s">
        <v>30</v>
      </c>
      <c r="B152" t="s">
        <v>86</v>
      </c>
      <c r="C152" t="s">
        <v>87</v>
      </c>
      <c r="D152" t="s">
        <v>25</v>
      </c>
      <c r="E152" t="s">
        <v>79</v>
      </c>
      <c r="F152" s="186"/>
      <c r="G152" s="186">
        <v>208.08524522100399</v>
      </c>
      <c r="H152" s="186">
        <v>162.44073223190401</v>
      </c>
      <c r="I152" s="186">
        <v>158.099920010912</v>
      </c>
      <c r="J152" s="186">
        <v>150.636645015553</v>
      </c>
      <c r="K152" s="186">
        <v>132.008285396757</v>
      </c>
      <c r="L152" s="186">
        <v>165.529807714399</v>
      </c>
      <c r="M152" s="186">
        <v>227.072</v>
      </c>
      <c r="N152" s="186">
        <v>212.64891949351301</v>
      </c>
      <c r="O152" s="186">
        <v>211.297217544397</v>
      </c>
      <c r="P152" s="186">
        <v>238.96899999999999</v>
      </c>
      <c r="Q152" s="186">
        <v>240.00800000000001</v>
      </c>
      <c r="R152" s="186">
        <v>219.66</v>
      </c>
      <c r="S152" s="186">
        <v>201.80199999999999</v>
      </c>
      <c r="T152" s="186">
        <v>217.626</v>
      </c>
      <c r="U152" s="186"/>
    </row>
    <row r="153" spans="1:21" x14ac:dyDescent="0.25">
      <c r="A153" t="s">
        <v>30</v>
      </c>
      <c r="B153" t="s">
        <v>44</v>
      </c>
      <c r="C153" t="s">
        <v>88</v>
      </c>
      <c r="D153" t="s">
        <v>25</v>
      </c>
      <c r="E153" t="s">
        <v>79</v>
      </c>
      <c r="F153" s="191"/>
      <c r="G153" s="191"/>
      <c r="H153" s="191"/>
      <c r="I153" s="191"/>
      <c r="J153" s="191"/>
      <c r="K153" s="191"/>
      <c r="L153" s="191"/>
      <c r="M153" s="191">
        <v>6.0000000000000001E-3</v>
      </c>
      <c r="N153" s="191">
        <v>0.18</v>
      </c>
      <c r="O153" s="191">
        <v>0.27900000000000003</v>
      </c>
      <c r="P153" s="191">
        <v>0.2</v>
      </c>
      <c r="Q153" s="191">
        <v>0.2</v>
      </c>
      <c r="R153" s="191">
        <v>0.2</v>
      </c>
      <c r="S153" s="191">
        <v>0.2</v>
      </c>
      <c r="T153" s="191">
        <v>0.2</v>
      </c>
      <c r="U153" s="191"/>
    </row>
    <row r="154" spans="1:21" x14ac:dyDescent="0.25">
      <c r="A154" t="s">
        <v>30</v>
      </c>
      <c r="B154" t="s">
        <v>45</v>
      </c>
      <c r="C154" t="s">
        <v>89</v>
      </c>
      <c r="D154" t="s">
        <v>25</v>
      </c>
      <c r="E154" t="s">
        <v>79</v>
      </c>
      <c r="F154" s="191"/>
      <c r="G154" s="191"/>
      <c r="H154" s="191"/>
      <c r="I154" s="191"/>
      <c r="J154" s="191"/>
      <c r="K154" s="191"/>
      <c r="L154" s="191"/>
      <c r="M154" s="191">
        <v>0</v>
      </c>
      <c r="N154" s="191">
        <v>0</v>
      </c>
      <c r="O154" s="191">
        <v>0</v>
      </c>
      <c r="P154" s="191">
        <v>0</v>
      </c>
      <c r="Q154" s="191">
        <v>0</v>
      </c>
      <c r="R154" s="191">
        <v>0</v>
      </c>
      <c r="S154" s="191">
        <v>0</v>
      </c>
      <c r="T154" s="191">
        <v>0</v>
      </c>
      <c r="U154" s="191"/>
    </row>
    <row r="155" spans="1:21" x14ac:dyDescent="0.25">
      <c r="A155" t="s">
        <v>30</v>
      </c>
      <c r="B155" t="s">
        <v>46</v>
      </c>
      <c r="C155" t="s">
        <v>90</v>
      </c>
      <c r="D155" t="s">
        <v>25</v>
      </c>
      <c r="E155" t="s">
        <v>79</v>
      </c>
      <c r="F155" s="191"/>
      <c r="G155" s="191"/>
      <c r="H155" s="191"/>
      <c r="I155" s="191"/>
      <c r="J155" s="191"/>
      <c r="K155" s="191"/>
      <c r="L155" s="191"/>
      <c r="M155" s="191">
        <v>0</v>
      </c>
      <c r="N155" s="191">
        <v>0</v>
      </c>
      <c r="O155" s="191">
        <v>0</v>
      </c>
      <c r="P155" s="191">
        <v>0</v>
      </c>
      <c r="Q155" s="191">
        <v>0</v>
      </c>
      <c r="R155" s="191">
        <v>0</v>
      </c>
      <c r="S155" s="191">
        <v>0</v>
      </c>
      <c r="T155" s="191">
        <v>0</v>
      </c>
      <c r="U155" s="191"/>
    </row>
    <row r="156" spans="1:21" x14ac:dyDescent="0.25">
      <c r="A156" t="s">
        <v>30</v>
      </c>
      <c r="B156" t="s">
        <v>47</v>
      </c>
      <c r="C156" t="s">
        <v>91</v>
      </c>
      <c r="D156" t="s">
        <v>25</v>
      </c>
      <c r="E156" t="s">
        <v>79</v>
      </c>
      <c r="F156" s="191"/>
      <c r="G156" s="191"/>
      <c r="H156" s="191"/>
      <c r="I156" s="191"/>
      <c r="J156" s="191"/>
      <c r="K156" s="191"/>
      <c r="L156" s="191"/>
      <c r="M156" s="191">
        <v>0</v>
      </c>
      <c r="N156" s="191">
        <v>0</v>
      </c>
      <c r="O156" s="191">
        <v>0</v>
      </c>
      <c r="P156" s="191">
        <v>7.282</v>
      </c>
      <c r="Q156" s="191">
        <v>7.282</v>
      </c>
      <c r="R156" s="191">
        <v>7.282</v>
      </c>
      <c r="S156" s="191">
        <v>7.282</v>
      </c>
      <c r="T156" s="191">
        <v>7.282</v>
      </c>
      <c r="U156" s="191"/>
    </row>
    <row r="157" spans="1:21" x14ac:dyDescent="0.25">
      <c r="A157" t="s">
        <v>30</v>
      </c>
      <c r="B157" t="s">
        <v>15</v>
      </c>
      <c r="C157" t="s">
        <v>92</v>
      </c>
      <c r="D157" t="s">
        <v>93</v>
      </c>
      <c r="E157" t="s">
        <v>79</v>
      </c>
      <c r="F157" s="186"/>
      <c r="G157" s="186"/>
      <c r="H157" s="186"/>
      <c r="I157" s="186"/>
      <c r="J157" s="186"/>
      <c r="K157" s="186"/>
      <c r="L157" s="186"/>
      <c r="M157" s="186">
        <v>4.7</v>
      </c>
      <c r="N157" s="186">
        <v>31</v>
      </c>
      <c r="O157" s="186">
        <v>7</v>
      </c>
      <c r="P157" s="186">
        <v>0</v>
      </c>
      <c r="Q157" s="186">
        <v>23</v>
      </c>
      <c r="R157" s="186">
        <v>33.68</v>
      </c>
      <c r="S157" s="186">
        <v>15</v>
      </c>
      <c r="T157" s="186">
        <v>12.12</v>
      </c>
      <c r="U157" s="186"/>
    </row>
    <row r="158" spans="1:21" x14ac:dyDescent="0.25">
      <c r="A158" t="s">
        <v>30</v>
      </c>
      <c r="B158" t="s">
        <v>16</v>
      </c>
      <c r="C158" t="s">
        <v>94</v>
      </c>
      <c r="D158" t="s">
        <v>93</v>
      </c>
      <c r="E158" t="s">
        <v>79</v>
      </c>
      <c r="F158" s="186"/>
      <c r="G158" s="186"/>
      <c r="H158" s="186"/>
      <c r="I158" s="186"/>
      <c r="J158" s="186"/>
      <c r="K158" s="186"/>
      <c r="L158" s="186"/>
      <c r="M158" s="186">
        <v>4.7</v>
      </c>
      <c r="N158" s="186">
        <v>22</v>
      </c>
      <c r="O158" s="186">
        <v>8</v>
      </c>
      <c r="P158" s="186">
        <v>0</v>
      </c>
      <c r="Q158" s="186">
        <v>20.100000000000001</v>
      </c>
      <c r="R158" s="186">
        <v>31.62</v>
      </c>
      <c r="S158" s="186">
        <v>8.6999999999999993</v>
      </c>
      <c r="T158" s="186">
        <v>12.12</v>
      </c>
      <c r="U158" s="186"/>
    </row>
    <row r="159" spans="1:21" x14ac:dyDescent="0.25">
      <c r="A159" t="s">
        <v>30</v>
      </c>
      <c r="B159" t="s">
        <v>17</v>
      </c>
      <c r="C159" t="s">
        <v>95</v>
      </c>
      <c r="D159" t="s">
        <v>93</v>
      </c>
      <c r="E159" t="s">
        <v>79</v>
      </c>
      <c r="F159" s="186"/>
      <c r="G159" s="186"/>
      <c r="H159" s="186"/>
      <c r="I159" s="186"/>
      <c r="J159" s="186"/>
      <c r="K159" s="186"/>
      <c r="L159" s="186"/>
      <c r="M159" s="186">
        <v>0.24</v>
      </c>
      <c r="N159" s="186">
        <v>0.24</v>
      </c>
      <c r="O159" s="186">
        <v>1.97</v>
      </c>
      <c r="P159" s="186">
        <v>15.28</v>
      </c>
      <c r="Q159" s="186">
        <v>5.68</v>
      </c>
      <c r="R159" s="186">
        <v>4.51</v>
      </c>
      <c r="S159" s="186">
        <v>6.67</v>
      </c>
      <c r="T159" s="186">
        <v>5.54</v>
      </c>
      <c r="U159" s="186"/>
    </row>
    <row r="160" spans="1:21" x14ac:dyDescent="0.25">
      <c r="A160" t="s">
        <v>30</v>
      </c>
      <c r="B160" t="s">
        <v>18</v>
      </c>
      <c r="C160" t="s">
        <v>96</v>
      </c>
      <c r="D160" t="s">
        <v>93</v>
      </c>
      <c r="E160" t="s">
        <v>79</v>
      </c>
      <c r="F160" s="186"/>
      <c r="G160" s="186"/>
      <c r="H160" s="186"/>
      <c r="I160" s="186"/>
      <c r="J160" s="186"/>
      <c r="K160" s="186"/>
      <c r="L160" s="186"/>
      <c r="M160" s="186">
        <v>0.24</v>
      </c>
      <c r="N160" s="186">
        <v>0.24</v>
      </c>
      <c r="O160" s="186">
        <v>1.97</v>
      </c>
      <c r="P160" s="186">
        <v>10.15</v>
      </c>
      <c r="Q160" s="186">
        <v>5.29</v>
      </c>
      <c r="R160" s="186">
        <v>4.13</v>
      </c>
      <c r="S160" s="186">
        <v>6.19</v>
      </c>
      <c r="T160" s="186">
        <v>5.14</v>
      </c>
      <c r="U160" s="186"/>
    </row>
    <row r="161" spans="1:21" x14ac:dyDescent="0.25">
      <c r="A161" t="s">
        <v>30</v>
      </c>
      <c r="B161" t="s">
        <v>23</v>
      </c>
      <c r="C161" t="s">
        <v>97</v>
      </c>
      <c r="D161" t="s">
        <v>93</v>
      </c>
      <c r="E161" t="s">
        <v>79</v>
      </c>
      <c r="F161" s="186"/>
      <c r="G161" s="186"/>
      <c r="H161" s="186"/>
      <c r="I161" s="186"/>
      <c r="J161" s="186"/>
      <c r="K161" s="186"/>
      <c r="L161" s="186"/>
      <c r="M161" s="186">
        <v>102.64</v>
      </c>
      <c r="N161" s="186">
        <v>107.2</v>
      </c>
      <c r="O161" s="186">
        <v>105.4</v>
      </c>
      <c r="P161" s="186">
        <v>102.3</v>
      </c>
      <c r="Q161" s="186">
        <v>99.1</v>
      </c>
      <c r="R161" s="186">
        <v>95.9</v>
      </c>
      <c r="S161" s="186">
        <v>92.7</v>
      </c>
      <c r="T161" s="186">
        <v>89.6</v>
      </c>
      <c r="U161" s="186"/>
    </row>
    <row r="162" spans="1:21" x14ac:dyDescent="0.25">
      <c r="A162" t="s">
        <v>30</v>
      </c>
      <c r="B162" t="s">
        <v>48</v>
      </c>
      <c r="C162" t="s">
        <v>98</v>
      </c>
      <c r="D162" t="s">
        <v>99</v>
      </c>
      <c r="E162" t="s">
        <v>79</v>
      </c>
      <c r="F162" s="186"/>
      <c r="G162" s="186"/>
      <c r="H162" s="186"/>
      <c r="I162" s="186"/>
      <c r="J162" s="186"/>
      <c r="K162" s="186"/>
      <c r="L162" s="186"/>
      <c r="M162" s="186">
        <v>13905</v>
      </c>
      <c r="N162" s="186">
        <v>13940</v>
      </c>
      <c r="O162" s="186">
        <v>13975</v>
      </c>
      <c r="P162" s="186">
        <v>14017</v>
      </c>
      <c r="Q162" s="186">
        <v>14059</v>
      </c>
      <c r="R162" s="186">
        <v>14101</v>
      </c>
      <c r="S162" s="186">
        <v>14143</v>
      </c>
      <c r="T162" s="186">
        <v>14185</v>
      </c>
      <c r="U162" s="186"/>
    </row>
    <row r="163" spans="1:21" x14ac:dyDescent="0.25">
      <c r="A163" t="s">
        <v>30</v>
      </c>
      <c r="B163" t="s">
        <v>100</v>
      </c>
      <c r="C163" t="s">
        <v>101</v>
      </c>
      <c r="D163">
        <v>0</v>
      </c>
      <c r="E163" t="s">
        <v>79</v>
      </c>
      <c r="F163" s="192"/>
      <c r="G163" s="192"/>
      <c r="H163" s="192"/>
      <c r="I163" s="192"/>
      <c r="J163" s="192"/>
      <c r="K163" s="192"/>
      <c r="L163" s="192"/>
      <c r="M163" s="192">
        <v>1114.1600000000001</v>
      </c>
      <c r="N163" s="192">
        <v>1121.8889999999999</v>
      </c>
      <c r="O163" s="192">
        <v>1129.319</v>
      </c>
      <c r="P163" s="192">
        <v>1143.2149999999999</v>
      </c>
      <c r="Q163" s="192">
        <v>1156.473</v>
      </c>
      <c r="R163" s="192">
        <v>1169.3689999999999</v>
      </c>
      <c r="S163" s="192">
        <v>1182.1510000000001</v>
      </c>
      <c r="T163" s="192">
        <v>1194.2829999999999</v>
      </c>
      <c r="U163" s="192"/>
    </row>
    <row r="164" spans="1:21" x14ac:dyDescent="0.25">
      <c r="A164" t="s">
        <v>30</v>
      </c>
      <c r="B164" t="s">
        <v>102</v>
      </c>
      <c r="C164" t="s">
        <v>103</v>
      </c>
      <c r="D164" t="s">
        <v>25</v>
      </c>
      <c r="E164" t="s">
        <v>79</v>
      </c>
      <c r="F164" s="191"/>
      <c r="G164" s="191"/>
      <c r="H164" s="191"/>
      <c r="I164" s="191"/>
      <c r="J164" s="191"/>
      <c r="K164" s="191"/>
      <c r="L164" s="191"/>
      <c r="M164" s="191"/>
      <c r="N164" s="191"/>
      <c r="O164" s="191"/>
      <c r="P164" s="191"/>
      <c r="Q164" s="191"/>
      <c r="R164" s="191"/>
      <c r="S164" s="191"/>
      <c r="T164" s="191"/>
      <c r="U164" s="191">
        <v>0</v>
      </c>
    </row>
    <row r="165" spans="1:21" x14ac:dyDescent="0.25">
      <c r="A165" t="s">
        <v>30</v>
      </c>
      <c r="B165" t="s">
        <v>104</v>
      </c>
      <c r="C165" t="s">
        <v>105</v>
      </c>
      <c r="D165" t="s">
        <v>25</v>
      </c>
      <c r="E165" t="s">
        <v>79</v>
      </c>
      <c r="F165" s="191"/>
      <c r="G165" s="191"/>
      <c r="H165" s="191"/>
      <c r="I165" s="191"/>
      <c r="J165" s="191"/>
      <c r="K165" s="191"/>
      <c r="L165" s="191"/>
      <c r="M165" s="191"/>
      <c r="N165" s="191"/>
      <c r="O165" s="191"/>
      <c r="P165" s="191"/>
      <c r="Q165" s="191"/>
      <c r="R165" s="191"/>
      <c r="S165" s="191"/>
      <c r="T165" s="191"/>
      <c r="U165" s="191">
        <v>0</v>
      </c>
    </row>
    <row r="166" spans="1:21" x14ac:dyDescent="0.25">
      <c r="A166" t="s">
        <v>31</v>
      </c>
      <c r="B166" t="s">
        <v>77</v>
      </c>
      <c r="C166" t="s">
        <v>78</v>
      </c>
      <c r="D166" t="s">
        <v>25</v>
      </c>
      <c r="E166" t="s">
        <v>79</v>
      </c>
      <c r="F166" s="186"/>
      <c r="G166" s="186">
        <v>0.10973158023504501</v>
      </c>
      <c r="H166" s="186">
        <v>0.57009514259239202</v>
      </c>
      <c r="I166" s="186">
        <v>1.8094080290527501</v>
      </c>
      <c r="J166" s="186">
        <v>-9.1319873206601801E-3</v>
      </c>
      <c r="K166" s="186">
        <v>0.142489349286234</v>
      </c>
      <c r="L166" s="186">
        <v>8.89949817885307E-2</v>
      </c>
      <c r="M166" s="186">
        <v>1.5493765533030701E-2</v>
      </c>
      <c r="N166" s="186">
        <v>-0.13295869349554701</v>
      </c>
      <c r="O166" s="186">
        <v>7.1407787584343201E-3</v>
      </c>
      <c r="P166" s="186">
        <v>0</v>
      </c>
      <c r="Q166" s="186">
        <v>0</v>
      </c>
      <c r="R166" s="186">
        <v>0</v>
      </c>
      <c r="S166" s="186">
        <v>0.60226412559999998</v>
      </c>
      <c r="T166" s="186">
        <v>1.8245059764</v>
      </c>
      <c r="U166" s="186"/>
    </row>
    <row r="167" spans="1:21" x14ac:dyDescent="0.25">
      <c r="A167" t="s">
        <v>31</v>
      </c>
      <c r="B167" t="s">
        <v>80</v>
      </c>
      <c r="C167" t="s">
        <v>81</v>
      </c>
      <c r="D167" t="s">
        <v>25</v>
      </c>
      <c r="E167" t="s">
        <v>79</v>
      </c>
      <c r="F167" s="186"/>
      <c r="G167" s="186">
        <v>0.64209711962621896</v>
      </c>
      <c r="H167" s="186">
        <v>0.41454828969083102</v>
      </c>
      <c r="I167" s="186">
        <v>1.8269542102674201</v>
      </c>
      <c r="J167" s="186">
        <v>1.9874723052760499</v>
      </c>
      <c r="K167" s="186">
        <v>0.537990796046808</v>
      </c>
      <c r="L167" s="186">
        <v>3.71495197651317</v>
      </c>
      <c r="M167" s="186">
        <v>1.4568550634347099</v>
      </c>
      <c r="N167" s="186">
        <v>-0.18881416398846301</v>
      </c>
      <c r="O167" s="186">
        <v>0</v>
      </c>
      <c r="P167" s="186">
        <v>0.1421656499</v>
      </c>
      <c r="Q167" s="186">
        <v>2.8540393028</v>
      </c>
      <c r="R167" s="186">
        <v>12.2789301427</v>
      </c>
      <c r="S167" s="186">
        <v>18.6841234784</v>
      </c>
      <c r="T167" s="186">
        <v>23.1560716563</v>
      </c>
      <c r="U167" s="186"/>
    </row>
    <row r="168" spans="1:21" x14ac:dyDescent="0.25">
      <c r="A168" t="s">
        <v>31</v>
      </c>
      <c r="B168" t="s">
        <v>82</v>
      </c>
      <c r="C168" t="s">
        <v>83</v>
      </c>
      <c r="D168" t="s">
        <v>25</v>
      </c>
      <c r="E168" t="s">
        <v>79</v>
      </c>
      <c r="F168" s="186"/>
      <c r="G168" s="186">
        <v>4.0477168522765297</v>
      </c>
      <c r="H168" s="186">
        <v>3.4282415443668</v>
      </c>
      <c r="I168" s="186">
        <v>12.0049384235312</v>
      </c>
      <c r="J168" s="186">
        <v>12.9028701350706</v>
      </c>
      <c r="K168" s="186">
        <v>19.300390577544</v>
      </c>
      <c r="L168" s="186">
        <v>11.0385523342954</v>
      </c>
      <c r="M168" s="186">
        <v>11.353809583866999</v>
      </c>
      <c r="N168" s="186">
        <v>1.2365408275265201E-2</v>
      </c>
      <c r="O168" s="186">
        <v>26.814682363262801</v>
      </c>
      <c r="P168" s="186">
        <v>0.94418110399999999</v>
      </c>
      <c r="Q168" s="186">
        <v>0.88950617620000005</v>
      </c>
      <c r="R168" s="186">
        <v>0.82389366720000001</v>
      </c>
      <c r="S168" s="186">
        <v>0.82389439149999999</v>
      </c>
      <c r="T168" s="186">
        <v>0.82936454169999996</v>
      </c>
      <c r="U168" s="186"/>
    </row>
    <row r="169" spans="1:21" x14ac:dyDescent="0.25">
      <c r="A169" t="s">
        <v>31</v>
      </c>
      <c r="B169" t="s">
        <v>84</v>
      </c>
      <c r="C169" t="s">
        <v>85</v>
      </c>
      <c r="D169" t="s">
        <v>25</v>
      </c>
      <c r="E169" t="s">
        <v>79</v>
      </c>
      <c r="F169" s="186"/>
      <c r="G169" s="186">
        <v>1.1854033865061999</v>
      </c>
      <c r="H169" s="186">
        <v>1.24586887258033</v>
      </c>
      <c r="I169" s="186">
        <v>7.0316261551997101</v>
      </c>
      <c r="J169" s="186">
        <v>14.739834561770399</v>
      </c>
      <c r="K169" s="186">
        <v>23.063822938722701</v>
      </c>
      <c r="L169" s="186">
        <v>5.7074033119252698</v>
      </c>
      <c r="M169" s="186">
        <v>5.5408066693459901</v>
      </c>
      <c r="N169" s="186">
        <v>1.19840104088708</v>
      </c>
      <c r="O169" s="186">
        <v>38.719241492226701</v>
      </c>
      <c r="P169" s="186">
        <v>13.7394504799</v>
      </c>
      <c r="Q169" s="186">
        <v>23.439389701</v>
      </c>
      <c r="R169" s="186">
        <v>30.031057241100001</v>
      </c>
      <c r="S169" s="186">
        <v>26.971485735800002</v>
      </c>
      <c r="T169" s="186">
        <v>23.860393176999999</v>
      </c>
      <c r="U169" s="186"/>
    </row>
    <row r="170" spans="1:21" x14ac:dyDescent="0.25">
      <c r="A170" t="s">
        <v>31</v>
      </c>
      <c r="B170" t="s">
        <v>86</v>
      </c>
      <c r="C170" t="s">
        <v>87</v>
      </c>
      <c r="D170" t="s">
        <v>25</v>
      </c>
      <c r="E170" t="s">
        <v>79</v>
      </c>
      <c r="F170" s="186"/>
      <c r="G170" s="186">
        <v>655.65719059821504</v>
      </c>
      <c r="H170" s="186">
        <v>618.38878947368403</v>
      </c>
      <c r="I170" s="186">
        <v>634.97227907369802</v>
      </c>
      <c r="J170" s="186">
        <v>682.760508398095</v>
      </c>
      <c r="K170" s="186">
        <v>747.528982861896</v>
      </c>
      <c r="L170" s="186">
        <v>849.16099220352896</v>
      </c>
      <c r="M170" s="186">
        <v>895.28202717387603</v>
      </c>
      <c r="N170" s="186">
        <v>960.42430632176695</v>
      </c>
      <c r="O170" s="186">
        <v>1024.59450303019</v>
      </c>
      <c r="P170" s="186">
        <v>1009.83778747926</v>
      </c>
      <c r="Q170" s="186">
        <v>1101.9035525818099</v>
      </c>
      <c r="R170" s="186">
        <v>1077.4233264437501</v>
      </c>
      <c r="S170" s="186">
        <v>1033.96949039486</v>
      </c>
      <c r="T170" s="186">
        <v>997.91877911500603</v>
      </c>
      <c r="U170" s="186"/>
    </row>
    <row r="171" spans="1:21" x14ac:dyDescent="0.25">
      <c r="A171" t="s">
        <v>31</v>
      </c>
      <c r="B171" t="s">
        <v>44</v>
      </c>
      <c r="C171" t="s">
        <v>88</v>
      </c>
      <c r="D171" t="s">
        <v>25</v>
      </c>
      <c r="E171" t="s">
        <v>79</v>
      </c>
      <c r="F171" s="191"/>
      <c r="G171" s="191"/>
      <c r="H171" s="191"/>
      <c r="I171" s="191"/>
      <c r="J171" s="191"/>
      <c r="K171" s="191"/>
      <c r="L171" s="191"/>
      <c r="M171" s="191">
        <v>0.57205258179999996</v>
      </c>
      <c r="N171" s="191">
        <v>0.15729546990000001</v>
      </c>
      <c r="O171" s="191">
        <v>0.20524999999999999</v>
      </c>
      <c r="P171" s="191">
        <v>0</v>
      </c>
      <c r="Q171" s="191">
        <v>0</v>
      </c>
      <c r="R171" s="191">
        <v>0</v>
      </c>
      <c r="S171" s="191">
        <v>0</v>
      </c>
      <c r="T171" s="191">
        <v>0</v>
      </c>
      <c r="U171" s="191"/>
    </row>
    <row r="172" spans="1:21" x14ac:dyDescent="0.25">
      <c r="A172" t="s">
        <v>31</v>
      </c>
      <c r="B172" t="s">
        <v>45</v>
      </c>
      <c r="C172" t="s">
        <v>89</v>
      </c>
      <c r="D172" t="s">
        <v>25</v>
      </c>
      <c r="E172" t="s">
        <v>79</v>
      </c>
      <c r="F172" s="191"/>
      <c r="G172" s="191"/>
      <c r="H172" s="191"/>
      <c r="I172" s="191"/>
      <c r="J172" s="191"/>
      <c r="K172" s="191"/>
      <c r="L172" s="191"/>
      <c r="M172" s="191">
        <v>4.3945541994156203</v>
      </c>
      <c r="N172" s="191">
        <v>4.8934653577146197</v>
      </c>
      <c r="O172" s="191">
        <v>4.6146846344136598</v>
      </c>
      <c r="P172" s="191">
        <v>2.6499992147000002</v>
      </c>
      <c r="Q172" s="191">
        <v>3.0979260051000002</v>
      </c>
      <c r="R172" s="191">
        <v>3.7529784263999999</v>
      </c>
      <c r="S172" s="191">
        <v>1.5100922797</v>
      </c>
      <c r="T172" s="191">
        <v>1.7229922402</v>
      </c>
      <c r="U172" s="191"/>
    </row>
    <row r="173" spans="1:21" x14ac:dyDescent="0.25">
      <c r="A173" t="s">
        <v>31</v>
      </c>
      <c r="B173" t="s">
        <v>46</v>
      </c>
      <c r="C173" t="s">
        <v>90</v>
      </c>
      <c r="D173" t="s">
        <v>25</v>
      </c>
      <c r="E173" t="s">
        <v>79</v>
      </c>
      <c r="F173" s="191"/>
      <c r="G173" s="191"/>
      <c r="H173" s="191"/>
      <c r="I173" s="191"/>
      <c r="J173" s="191"/>
      <c r="K173" s="191"/>
      <c r="L173" s="191"/>
      <c r="M173" s="191">
        <v>0.37578809965396398</v>
      </c>
      <c r="N173" s="191">
        <v>0.19590372401798201</v>
      </c>
      <c r="O173" s="191">
        <v>0.284507923606306</v>
      </c>
      <c r="P173" s="191">
        <v>3.5835683024999998</v>
      </c>
      <c r="Q173" s="191">
        <v>3.5835685813000002</v>
      </c>
      <c r="R173" s="191">
        <v>3.5835679623000001</v>
      </c>
      <c r="S173" s="191">
        <v>3.5835680532</v>
      </c>
      <c r="T173" s="191">
        <v>3.5835681082000002</v>
      </c>
      <c r="U173" s="191"/>
    </row>
    <row r="174" spans="1:21" x14ac:dyDescent="0.25">
      <c r="A174" t="s">
        <v>31</v>
      </c>
      <c r="B174" t="s">
        <v>47</v>
      </c>
      <c r="C174" t="s">
        <v>91</v>
      </c>
      <c r="D174" t="s">
        <v>25</v>
      </c>
      <c r="E174" t="s">
        <v>79</v>
      </c>
      <c r="F174" s="191"/>
      <c r="G174" s="191"/>
      <c r="H174" s="191"/>
      <c r="I174" s="191"/>
      <c r="J174" s="191"/>
      <c r="K174" s="191"/>
      <c r="L174" s="191"/>
      <c r="M174" s="191">
        <v>10.163495692916801</v>
      </c>
      <c r="N174" s="191">
        <v>8.3149861428502199</v>
      </c>
      <c r="O174" s="191">
        <v>9.1772861702097703</v>
      </c>
      <c r="P174" s="191">
        <v>11.692029552299999</v>
      </c>
      <c r="Q174" s="191">
        <v>11.692030462</v>
      </c>
      <c r="R174" s="191">
        <v>11.6920284433</v>
      </c>
      <c r="S174" s="191">
        <v>11.6920287395</v>
      </c>
      <c r="T174" s="191">
        <v>11.692028919</v>
      </c>
      <c r="U174" s="191"/>
    </row>
    <row r="175" spans="1:21" x14ac:dyDescent="0.25">
      <c r="A175" t="s">
        <v>31</v>
      </c>
      <c r="B175" t="s">
        <v>15</v>
      </c>
      <c r="C175" t="s">
        <v>92</v>
      </c>
      <c r="D175" t="s">
        <v>93</v>
      </c>
      <c r="E175" t="s">
        <v>79</v>
      </c>
      <c r="F175" s="186"/>
      <c r="G175" s="186"/>
      <c r="H175" s="186"/>
      <c r="I175" s="186"/>
      <c r="J175" s="186"/>
      <c r="K175" s="186"/>
      <c r="L175" s="186"/>
      <c r="M175" s="186">
        <v>0</v>
      </c>
      <c r="N175" s="186">
        <v>0</v>
      </c>
      <c r="O175" s="186">
        <v>0</v>
      </c>
      <c r="P175" s="186">
        <v>21</v>
      </c>
      <c r="Q175" s="186">
        <v>0</v>
      </c>
      <c r="R175" s="186">
        <v>0</v>
      </c>
      <c r="S175" s="186">
        <v>0</v>
      </c>
      <c r="T175" s="186">
        <v>17.600000000000001</v>
      </c>
      <c r="U175" s="186"/>
    </row>
    <row r="176" spans="1:21" x14ac:dyDescent="0.25">
      <c r="A176" t="s">
        <v>31</v>
      </c>
      <c r="B176" t="s">
        <v>16</v>
      </c>
      <c r="C176" t="s">
        <v>94</v>
      </c>
      <c r="D176" t="s">
        <v>93</v>
      </c>
      <c r="E176" t="s">
        <v>79</v>
      </c>
      <c r="F176" s="186"/>
      <c r="G176" s="186"/>
      <c r="H176" s="186"/>
      <c r="I176" s="186"/>
      <c r="J176" s="186"/>
      <c r="K176" s="186"/>
      <c r="L176" s="186"/>
      <c r="M176" s="186">
        <v>0</v>
      </c>
      <c r="N176" s="186">
        <v>0</v>
      </c>
      <c r="O176" s="186">
        <v>0</v>
      </c>
      <c r="P176" s="186">
        <v>21</v>
      </c>
      <c r="Q176" s="186">
        <v>0</v>
      </c>
      <c r="R176" s="186">
        <v>0</v>
      </c>
      <c r="S176" s="186">
        <v>0</v>
      </c>
      <c r="T176" s="186">
        <v>17.600000000000001</v>
      </c>
      <c r="U176" s="186"/>
    </row>
    <row r="177" spans="1:21" x14ac:dyDescent="0.25">
      <c r="A177" t="s">
        <v>31</v>
      </c>
      <c r="B177" t="s">
        <v>17</v>
      </c>
      <c r="C177" t="s">
        <v>95</v>
      </c>
      <c r="D177" t="s">
        <v>93</v>
      </c>
      <c r="E177" t="s">
        <v>79</v>
      </c>
      <c r="F177" s="186"/>
      <c r="G177" s="186"/>
      <c r="H177" s="186"/>
      <c r="I177" s="186"/>
      <c r="J177" s="186"/>
      <c r="K177" s="186"/>
      <c r="L177" s="186"/>
      <c r="M177" s="186">
        <v>8.7100000000000009</v>
      </c>
      <c r="N177" s="186">
        <v>-5.37</v>
      </c>
      <c r="O177" s="186">
        <v>103.88</v>
      </c>
      <c r="P177" s="186">
        <v>56.506875798207098</v>
      </c>
      <c r="Q177" s="186">
        <v>35.125278853539399</v>
      </c>
      <c r="R177" s="186">
        <v>39.348355730924602</v>
      </c>
      <c r="S177" s="186">
        <v>38.810216073662097</v>
      </c>
      <c r="T177" s="186">
        <v>32.987767725622199</v>
      </c>
      <c r="U177" s="186"/>
    </row>
    <row r="178" spans="1:21" x14ac:dyDescent="0.25">
      <c r="A178" t="s">
        <v>31</v>
      </c>
      <c r="B178" t="s">
        <v>18</v>
      </c>
      <c r="C178" t="s">
        <v>96</v>
      </c>
      <c r="D178" t="s">
        <v>93</v>
      </c>
      <c r="E178" t="s">
        <v>79</v>
      </c>
      <c r="F178" s="186"/>
      <c r="G178" s="186"/>
      <c r="H178" s="186"/>
      <c r="I178" s="186"/>
      <c r="J178" s="186"/>
      <c r="K178" s="186"/>
      <c r="L178" s="186"/>
      <c r="M178" s="186">
        <v>4.25</v>
      </c>
      <c r="N178" s="186">
        <v>-5.47</v>
      </c>
      <c r="O178" s="186">
        <v>103.78</v>
      </c>
      <c r="P178" s="186">
        <v>56.119001222519699</v>
      </c>
      <c r="Q178" s="186">
        <v>34.204767780392103</v>
      </c>
      <c r="R178" s="186">
        <v>38.372019725159099</v>
      </c>
      <c r="S178" s="186">
        <v>37.889406057377101</v>
      </c>
      <c r="T178" s="186">
        <v>32.093985777143601</v>
      </c>
      <c r="U178" s="186"/>
    </row>
    <row r="179" spans="1:21" x14ac:dyDescent="0.25">
      <c r="A179" t="s">
        <v>31</v>
      </c>
      <c r="B179" t="s">
        <v>23</v>
      </c>
      <c r="C179" t="s">
        <v>97</v>
      </c>
      <c r="D179" t="s">
        <v>93</v>
      </c>
      <c r="E179" t="s">
        <v>79</v>
      </c>
      <c r="F179" s="186"/>
      <c r="G179" s="186"/>
      <c r="H179" s="186"/>
      <c r="I179" s="186"/>
      <c r="J179" s="186"/>
      <c r="K179" s="186"/>
      <c r="L179" s="186"/>
      <c r="M179" s="186">
        <v>694.65</v>
      </c>
      <c r="N179" s="186">
        <v>760.8</v>
      </c>
      <c r="O179" s="186">
        <v>674.6</v>
      </c>
      <c r="P179" s="186">
        <v>623.12</v>
      </c>
      <c r="Q179" s="186">
        <v>603.51</v>
      </c>
      <c r="R179" s="186">
        <v>580.85530702518599</v>
      </c>
      <c r="S179" s="186">
        <v>558.21530702518601</v>
      </c>
      <c r="T179" s="186">
        <v>540.2997284777</v>
      </c>
      <c r="U179" s="186"/>
    </row>
    <row r="180" spans="1:21" x14ac:dyDescent="0.25">
      <c r="A180" t="s">
        <v>31</v>
      </c>
      <c r="B180" t="s">
        <v>48</v>
      </c>
      <c r="C180" t="s">
        <v>98</v>
      </c>
      <c r="D180" t="s">
        <v>99</v>
      </c>
      <c r="E180" t="s">
        <v>79</v>
      </c>
      <c r="F180" s="186"/>
      <c r="G180" s="186"/>
      <c r="H180" s="186"/>
      <c r="I180" s="186"/>
      <c r="J180" s="186"/>
      <c r="K180" s="186"/>
      <c r="L180" s="186"/>
      <c r="M180" s="186">
        <v>31460.6</v>
      </c>
      <c r="N180" s="186">
        <v>31623.817999999999</v>
      </c>
      <c r="O180" s="186">
        <v>31772.290272491002</v>
      </c>
      <c r="P180" s="186">
        <v>31915.879953453699</v>
      </c>
      <c r="Q180" s="186">
        <v>32051.748949952402</v>
      </c>
      <c r="R180" s="186">
        <v>32182.069083696999</v>
      </c>
      <c r="S180" s="186">
        <v>32304.7813114659</v>
      </c>
      <c r="T180" s="186">
        <v>32467.154538499301</v>
      </c>
      <c r="U180" s="186"/>
    </row>
    <row r="181" spans="1:21" x14ac:dyDescent="0.25">
      <c r="A181" t="s">
        <v>31</v>
      </c>
      <c r="B181" t="s">
        <v>100</v>
      </c>
      <c r="C181" t="s">
        <v>101</v>
      </c>
      <c r="D181">
        <v>0</v>
      </c>
      <c r="E181" t="s">
        <v>79</v>
      </c>
      <c r="F181" s="192"/>
      <c r="G181" s="192"/>
      <c r="H181" s="192"/>
      <c r="I181" s="192"/>
      <c r="J181" s="192"/>
      <c r="K181" s="192"/>
      <c r="L181" s="192"/>
      <c r="M181" s="192">
        <v>3826.422</v>
      </c>
      <c r="N181" s="192">
        <v>3998.4685708761399</v>
      </c>
      <c r="O181" s="192">
        <v>4047.0309935697201</v>
      </c>
      <c r="P181" s="192">
        <v>4094.7350357331202</v>
      </c>
      <c r="Q181" s="192">
        <v>4139.8742539067598</v>
      </c>
      <c r="R181" s="192">
        <v>4181.8305665547696</v>
      </c>
      <c r="S181" s="192">
        <v>4222.5988756330398</v>
      </c>
      <c r="T181" s="192">
        <v>4262.5682979499497</v>
      </c>
      <c r="U181" s="192"/>
    </row>
    <row r="182" spans="1:21" x14ac:dyDescent="0.25">
      <c r="A182" t="s">
        <v>31</v>
      </c>
      <c r="B182" t="s">
        <v>102</v>
      </c>
      <c r="C182" t="s">
        <v>103</v>
      </c>
      <c r="D182" t="s">
        <v>25</v>
      </c>
      <c r="E182" t="s">
        <v>79</v>
      </c>
      <c r="F182" s="191"/>
      <c r="G182" s="191"/>
      <c r="H182" s="191"/>
      <c r="I182" s="191"/>
      <c r="J182" s="191"/>
      <c r="K182" s="191"/>
      <c r="L182" s="191"/>
      <c r="M182" s="191"/>
      <c r="N182" s="191"/>
      <c r="O182" s="191"/>
      <c r="P182" s="191"/>
      <c r="Q182" s="191"/>
      <c r="R182" s="191"/>
      <c r="S182" s="191"/>
      <c r="T182" s="191"/>
      <c r="U182" s="191">
        <v>0</v>
      </c>
    </row>
    <row r="183" spans="1:21" x14ac:dyDescent="0.25">
      <c r="A183" t="s">
        <v>31</v>
      </c>
      <c r="B183" t="s">
        <v>104</v>
      </c>
      <c r="C183" t="s">
        <v>105</v>
      </c>
      <c r="D183" t="s">
        <v>25</v>
      </c>
      <c r="E183" t="s">
        <v>79</v>
      </c>
      <c r="F183" s="191"/>
      <c r="G183" s="191"/>
      <c r="H183" s="191"/>
      <c r="I183" s="191"/>
      <c r="J183" s="191"/>
      <c r="K183" s="191"/>
      <c r="L183" s="191"/>
      <c r="M183" s="191"/>
      <c r="N183" s="191"/>
      <c r="O183" s="191"/>
      <c r="P183" s="191"/>
      <c r="Q183" s="191"/>
      <c r="R183" s="191"/>
      <c r="S183" s="191"/>
      <c r="T183" s="191"/>
      <c r="U183" s="191">
        <v>0</v>
      </c>
    </row>
    <row r="184" spans="1:21" x14ac:dyDescent="0.25">
      <c r="A184" t="s">
        <v>32</v>
      </c>
      <c r="B184" t="s">
        <v>77</v>
      </c>
      <c r="C184" t="s">
        <v>78</v>
      </c>
      <c r="D184" t="s">
        <v>25</v>
      </c>
      <c r="E184" t="s">
        <v>79</v>
      </c>
      <c r="F184" s="186"/>
      <c r="G184" s="186">
        <v>3.9837368638627302</v>
      </c>
      <c r="H184" s="186">
        <v>0.40804596913852997</v>
      </c>
      <c r="I184" s="186">
        <v>1.3872362629082</v>
      </c>
      <c r="J184" s="186">
        <v>5.6390525741188604</v>
      </c>
      <c r="K184" s="186">
        <v>22.404109534860101</v>
      </c>
      <c r="L184" s="186">
        <v>1.9210217673186201</v>
      </c>
      <c r="M184" s="186">
        <v>0.80757541674</v>
      </c>
      <c r="N184" s="186">
        <v>0.35548024774610198</v>
      </c>
      <c r="O184" s="186">
        <v>0</v>
      </c>
      <c r="P184" s="186">
        <v>0</v>
      </c>
      <c r="Q184" s="186">
        <v>0</v>
      </c>
      <c r="R184" s="186">
        <v>0</v>
      </c>
      <c r="S184" s="186">
        <v>0</v>
      </c>
      <c r="T184" s="186">
        <v>0</v>
      </c>
      <c r="U184" s="186"/>
    </row>
    <row r="185" spans="1:21" x14ac:dyDescent="0.25">
      <c r="A185" t="s">
        <v>32</v>
      </c>
      <c r="B185" t="s">
        <v>80</v>
      </c>
      <c r="C185" t="s">
        <v>81</v>
      </c>
      <c r="D185" t="s">
        <v>25</v>
      </c>
      <c r="E185" t="s">
        <v>79</v>
      </c>
      <c r="F185" s="186"/>
      <c r="G185" s="186">
        <v>0</v>
      </c>
      <c r="H185" s="186">
        <v>0</v>
      </c>
      <c r="I185" s="186">
        <v>0</v>
      </c>
      <c r="J185" s="186">
        <v>0</v>
      </c>
      <c r="K185" s="186">
        <v>0</v>
      </c>
      <c r="L185" s="186">
        <v>0</v>
      </c>
      <c r="M185" s="186">
        <v>0</v>
      </c>
      <c r="N185" s="186">
        <v>0</v>
      </c>
      <c r="O185" s="186">
        <v>0</v>
      </c>
      <c r="P185" s="186">
        <v>0</v>
      </c>
      <c r="Q185" s="186">
        <v>0</v>
      </c>
      <c r="R185" s="186">
        <v>0</v>
      </c>
      <c r="S185" s="186">
        <v>0</v>
      </c>
      <c r="T185" s="186">
        <v>0</v>
      </c>
      <c r="U185" s="186"/>
    </row>
    <row r="186" spans="1:21" x14ac:dyDescent="0.25">
      <c r="A186" t="s">
        <v>32</v>
      </c>
      <c r="B186" t="s">
        <v>82</v>
      </c>
      <c r="C186" t="s">
        <v>83</v>
      </c>
      <c r="D186" t="s">
        <v>25</v>
      </c>
      <c r="E186" t="s">
        <v>79</v>
      </c>
      <c r="F186" s="186"/>
      <c r="G186" s="186">
        <v>6.6308581986449298</v>
      </c>
      <c r="H186" s="186">
        <v>12.768281741420999</v>
      </c>
      <c r="I186" s="186">
        <v>4.8185751848526097</v>
      </c>
      <c r="J186" s="186">
        <v>3.3850244246005801</v>
      </c>
      <c r="K186" s="186">
        <v>13.128178702163099</v>
      </c>
      <c r="L186" s="186">
        <v>47.9966904545931</v>
      </c>
      <c r="M186" s="186">
        <v>80.262070156463395</v>
      </c>
      <c r="N186" s="186">
        <v>94.367314206244302</v>
      </c>
      <c r="O186" s="186">
        <v>47.5335069226577</v>
      </c>
      <c r="P186" s="186">
        <v>27.240200000000002</v>
      </c>
      <c r="Q186" s="186">
        <v>22.2804</v>
      </c>
      <c r="R186" s="186">
        <v>0.48</v>
      </c>
      <c r="S186" s="186">
        <v>0</v>
      </c>
      <c r="T186" s="186">
        <v>0</v>
      </c>
      <c r="U186" s="186"/>
    </row>
    <row r="187" spans="1:21" x14ac:dyDescent="0.25">
      <c r="A187" t="s">
        <v>32</v>
      </c>
      <c r="B187" t="s">
        <v>84</v>
      </c>
      <c r="C187" t="s">
        <v>85</v>
      </c>
      <c r="D187" t="s">
        <v>25</v>
      </c>
      <c r="E187" t="s">
        <v>79</v>
      </c>
      <c r="F187" s="186"/>
      <c r="G187" s="186">
        <v>0</v>
      </c>
      <c r="H187" s="186">
        <v>0</v>
      </c>
      <c r="I187" s="186">
        <v>0</v>
      </c>
      <c r="J187" s="186">
        <v>0</v>
      </c>
      <c r="K187" s="186">
        <v>0</v>
      </c>
      <c r="L187" s="186">
        <v>0</v>
      </c>
      <c r="M187" s="186">
        <v>0</v>
      </c>
      <c r="N187" s="186">
        <v>0</v>
      </c>
      <c r="O187" s="186">
        <v>0</v>
      </c>
      <c r="P187" s="186">
        <v>0</v>
      </c>
      <c r="Q187" s="186">
        <v>0</v>
      </c>
      <c r="R187" s="186">
        <v>0</v>
      </c>
      <c r="S187" s="186">
        <v>0</v>
      </c>
      <c r="T187" s="186">
        <v>0</v>
      </c>
      <c r="U187" s="186"/>
    </row>
    <row r="188" spans="1:21" x14ac:dyDescent="0.25">
      <c r="A188" t="s">
        <v>32</v>
      </c>
      <c r="B188" t="s">
        <v>86</v>
      </c>
      <c r="C188" t="s">
        <v>87</v>
      </c>
      <c r="D188" t="s">
        <v>25</v>
      </c>
      <c r="E188" t="s">
        <v>79</v>
      </c>
      <c r="F188" s="186"/>
      <c r="G188" s="186">
        <v>531.29721876834401</v>
      </c>
      <c r="H188" s="186">
        <v>554.365810094106</v>
      </c>
      <c r="I188" s="186">
        <v>550.98658258033299</v>
      </c>
      <c r="J188" s="186">
        <v>545.10877467810997</v>
      </c>
      <c r="K188" s="186">
        <v>549.52491572140104</v>
      </c>
      <c r="L188" s="186">
        <v>612.83711295080104</v>
      </c>
      <c r="M188" s="186">
        <v>601.49757264262496</v>
      </c>
      <c r="N188" s="186">
        <v>621.85288548097799</v>
      </c>
      <c r="O188" s="186">
        <v>528.17222096499495</v>
      </c>
      <c r="P188" s="186">
        <v>546.91416406629901</v>
      </c>
      <c r="Q188" s="186">
        <v>511.02602983742503</v>
      </c>
      <c r="R188" s="186">
        <v>491.88321983896702</v>
      </c>
      <c r="S188" s="186">
        <v>466.261810421863</v>
      </c>
      <c r="T188" s="186">
        <v>461.41828629616703</v>
      </c>
      <c r="U188" s="186"/>
    </row>
    <row r="189" spans="1:21" x14ac:dyDescent="0.25">
      <c r="A189" t="s">
        <v>32</v>
      </c>
      <c r="B189" t="s">
        <v>44</v>
      </c>
      <c r="C189" t="s">
        <v>88</v>
      </c>
      <c r="D189" t="s">
        <v>25</v>
      </c>
      <c r="E189" t="s">
        <v>79</v>
      </c>
      <c r="F189" s="191"/>
      <c r="G189" s="191"/>
      <c r="H189" s="191"/>
      <c r="I189" s="191"/>
      <c r="J189" s="191"/>
      <c r="K189" s="191"/>
      <c r="L189" s="191"/>
      <c r="M189" s="191">
        <v>0.87565898616515803</v>
      </c>
      <c r="N189" s="191">
        <v>0.90742003881129096</v>
      </c>
      <c r="O189" s="191">
        <v>0.94892594311883904</v>
      </c>
      <c r="P189" s="191">
        <v>0.93465521951226904</v>
      </c>
      <c r="Q189" s="191">
        <v>0.93596497949003199</v>
      </c>
      <c r="R189" s="191">
        <v>0.94189485447443499</v>
      </c>
      <c r="S189" s="191">
        <v>0.94814964823746495</v>
      </c>
      <c r="T189" s="191">
        <v>0.95430676146105797</v>
      </c>
      <c r="U189" s="191"/>
    </row>
    <row r="190" spans="1:21" x14ac:dyDescent="0.25">
      <c r="A190" t="s">
        <v>32</v>
      </c>
      <c r="B190" t="s">
        <v>45</v>
      </c>
      <c r="C190" t="s">
        <v>89</v>
      </c>
      <c r="D190" t="s">
        <v>25</v>
      </c>
      <c r="E190" t="s">
        <v>79</v>
      </c>
      <c r="F190" s="191"/>
      <c r="G190" s="191"/>
      <c r="H190" s="191"/>
      <c r="I190" s="191"/>
      <c r="J190" s="191"/>
      <c r="K190" s="191"/>
      <c r="L190" s="191"/>
      <c r="M190" s="191">
        <v>0</v>
      </c>
      <c r="N190" s="191">
        <v>0</v>
      </c>
      <c r="O190" s="191">
        <v>0</v>
      </c>
      <c r="P190" s="191">
        <v>0</v>
      </c>
      <c r="Q190" s="191">
        <v>0</v>
      </c>
      <c r="R190" s="191">
        <v>0</v>
      </c>
      <c r="S190" s="191">
        <v>0</v>
      </c>
      <c r="T190" s="191">
        <v>0</v>
      </c>
      <c r="U190" s="191"/>
    </row>
    <row r="191" spans="1:21" x14ac:dyDescent="0.25">
      <c r="A191" t="s">
        <v>32</v>
      </c>
      <c r="B191" t="s">
        <v>46</v>
      </c>
      <c r="C191" t="s">
        <v>90</v>
      </c>
      <c r="D191" t="s">
        <v>25</v>
      </c>
      <c r="E191" t="s">
        <v>79</v>
      </c>
      <c r="F191" s="191"/>
      <c r="G191" s="191"/>
      <c r="H191" s="191"/>
      <c r="I191" s="191"/>
      <c r="J191" s="191"/>
      <c r="K191" s="191"/>
      <c r="L191" s="191"/>
      <c r="M191" s="191">
        <v>0</v>
      </c>
      <c r="N191" s="191">
        <v>0</v>
      </c>
      <c r="O191" s="191">
        <v>0</v>
      </c>
      <c r="P191" s="191">
        <v>0</v>
      </c>
      <c r="Q191" s="191">
        <v>0</v>
      </c>
      <c r="R191" s="191">
        <v>0</v>
      </c>
      <c r="S191" s="191">
        <v>0</v>
      </c>
      <c r="T191" s="191">
        <v>0</v>
      </c>
      <c r="U191" s="191"/>
    </row>
    <row r="192" spans="1:21" x14ac:dyDescent="0.25">
      <c r="A192" t="s">
        <v>32</v>
      </c>
      <c r="B192" t="s">
        <v>47</v>
      </c>
      <c r="C192" t="s">
        <v>91</v>
      </c>
      <c r="D192" t="s">
        <v>25</v>
      </c>
      <c r="E192" t="s">
        <v>79</v>
      </c>
      <c r="F192" s="191"/>
      <c r="G192" s="191"/>
      <c r="H192" s="191"/>
      <c r="I192" s="191"/>
      <c r="J192" s="191"/>
      <c r="K192" s="191"/>
      <c r="L192" s="191"/>
      <c r="M192" s="191">
        <v>0</v>
      </c>
      <c r="N192" s="191">
        <v>0</v>
      </c>
      <c r="O192" s="191">
        <v>0</v>
      </c>
      <c r="P192" s="191">
        <v>0.20580277314335399</v>
      </c>
      <c r="Q192" s="191">
        <v>0.20681161026660499</v>
      </c>
      <c r="R192" s="191">
        <v>0.20731850146823899</v>
      </c>
      <c r="S192" s="191">
        <v>0.20731850146823899</v>
      </c>
      <c r="T192" s="191">
        <v>0.20731850146823899</v>
      </c>
      <c r="U192" s="191"/>
    </row>
    <row r="193" spans="1:21" x14ac:dyDescent="0.25">
      <c r="A193" t="s">
        <v>32</v>
      </c>
      <c r="B193" t="s">
        <v>15</v>
      </c>
      <c r="C193" t="s">
        <v>92</v>
      </c>
      <c r="D193" t="s">
        <v>93</v>
      </c>
      <c r="E193" t="s">
        <v>79</v>
      </c>
      <c r="F193" s="186"/>
      <c r="G193" s="186"/>
      <c r="H193" s="186"/>
      <c r="I193" s="186"/>
      <c r="J193" s="186"/>
      <c r="K193" s="186"/>
      <c r="L193" s="186"/>
      <c r="M193" s="186">
        <v>3</v>
      </c>
      <c r="N193" s="186">
        <v>0</v>
      </c>
      <c r="O193" s="186">
        <v>0</v>
      </c>
      <c r="P193" s="186">
        <v>0</v>
      </c>
      <c r="Q193" s="186">
        <v>0</v>
      </c>
      <c r="R193" s="186">
        <v>0</v>
      </c>
      <c r="S193" s="186">
        <v>0</v>
      </c>
      <c r="T193" s="186">
        <v>0</v>
      </c>
      <c r="U193" s="186"/>
    </row>
    <row r="194" spans="1:21" x14ac:dyDescent="0.25">
      <c r="A194" t="s">
        <v>32</v>
      </c>
      <c r="B194" t="s">
        <v>16</v>
      </c>
      <c r="C194" t="s">
        <v>94</v>
      </c>
      <c r="D194" t="s">
        <v>93</v>
      </c>
      <c r="E194" t="s">
        <v>79</v>
      </c>
      <c r="F194" s="186"/>
      <c r="G194" s="186"/>
      <c r="H194" s="186"/>
      <c r="I194" s="186"/>
      <c r="J194" s="186"/>
      <c r="K194" s="186"/>
      <c r="L194" s="186"/>
      <c r="M194" s="186">
        <v>3</v>
      </c>
      <c r="N194" s="186">
        <v>0</v>
      </c>
      <c r="O194" s="186">
        <v>0</v>
      </c>
      <c r="P194" s="186">
        <v>0</v>
      </c>
      <c r="Q194" s="186">
        <v>0</v>
      </c>
      <c r="R194" s="186">
        <v>0</v>
      </c>
      <c r="S194" s="186">
        <v>0</v>
      </c>
      <c r="T194" s="186">
        <v>0</v>
      </c>
      <c r="U194" s="186"/>
    </row>
    <row r="195" spans="1:21" x14ac:dyDescent="0.25">
      <c r="A195" t="s">
        <v>32</v>
      </c>
      <c r="B195" t="s">
        <v>17</v>
      </c>
      <c r="C195" t="s">
        <v>95</v>
      </c>
      <c r="D195" t="s">
        <v>93</v>
      </c>
      <c r="E195" t="s">
        <v>79</v>
      </c>
      <c r="F195" s="186"/>
      <c r="G195" s="186"/>
      <c r="H195" s="186"/>
      <c r="I195" s="186"/>
      <c r="J195" s="186"/>
      <c r="K195" s="186"/>
      <c r="L195" s="186"/>
      <c r="M195" s="186">
        <v>0</v>
      </c>
      <c r="N195" s="186">
        <v>0</v>
      </c>
      <c r="O195" s="186">
        <v>0</v>
      </c>
      <c r="P195" s="186">
        <v>0</v>
      </c>
      <c r="Q195" s="186">
        <v>8.93454535198663</v>
      </c>
      <c r="R195" s="186">
        <v>8.9700000000000006</v>
      </c>
      <c r="S195" s="186">
        <v>13.45</v>
      </c>
      <c r="T195" s="186">
        <v>35.85</v>
      </c>
      <c r="U195" s="186"/>
    </row>
    <row r="196" spans="1:21" x14ac:dyDescent="0.25">
      <c r="A196" t="s">
        <v>32</v>
      </c>
      <c r="B196" t="s">
        <v>18</v>
      </c>
      <c r="C196" t="s">
        <v>96</v>
      </c>
      <c r="D196" t="s">
        <v>93</v>
      </c>
      <c r="E196" t="s">
        <v>79</v>
      </c>
      <c r="F196" s="186"/>
      <c r="G196" s="186"/>
      <c r="H196" s="186"/>
      <c r="I196" s="186"/>
      <c r="J196" s="186"/>
      <c r="K196" s="186"/>
      <c r="L196" s="186"/>
      <c r="M196" s="186">
        <v>0</v>
      </c>
      <c r="N196" s="186">
        <v>0</v>
      </c>
      <c r="O196" s="186">
        <v>0</v>
      </c>
      <c r="P196" s="186">
        <v>0</v>
      </c>
      <c r="Q196" s="186">
        <v>8.93454535198663</v>
      </c>
      <c r="R196" s="186">
        <v>8.9700000000000006</v>
      </c>
      <c r="S196" s="186">
        <v>13.45</v>
      </c>
      <c r="T196" s="186">
        <v>35.85</v>
      </c>
      <c r="U196" s="186"/>
    </row>
    <row r="197" spans="1:21" x14ac:dyDescent="0.25">
      <c r="A197" t="s">
        <v>32</v>
      </c>
      <c r="B197" t="s">
        <v>23</v>
      </c>
      <c r="C197" t="s">
        <v>97</v>
      </c>
      <c r="D197" t="s">
        <v>93</v>
      </c>
      <c r="E197" t="s">
        <v>79</v>
      </c>
      <c r="F197" s="186"/>
      <c r="G197" s="186"/>
      <c r="H197" s="186"/>
      <c r="I197" s="186"/>
      <c r="J197" s="186"/>
      <c r="K197" s="186"/>
      <c r="L197" s="186"/>
      <c r="M197" s="186">
        <v>453.52</v>
      </c>
      <c r="N197" s="186">
        <v>448.23</v>
      </c>
      <c r="O197" s="186">
        <v>448.23</v>
      </c>
      <c r="P197" s="186">
        <v>448.23</v>
      </c>
      <c r="Q197" s="186">
        <v>439.27</v>
      </c>
      <c r="R197" s="186">
        <v>430.3</v>
      </c>
      <c r="S197" s="186">
        <v>416.85</v>
      </c>
      <c r="T197" s="186">
        <v>381</v>
      </c>
      <c r="U197" s="186"/>
    </row>
    <row r="198" spans="1:21" x14ac:dyDescent="0.25">
      <c r="A198" t="s">
        <v>32</v>
      </c>
      <c r="B198" t="s">
        <v>48</v>
      </c>
      <c r="C198" t="s">
        <v>98</v>
      </c>
      <c r="D198" t="s">
        <v>99</v>
      </c>
      <c r="E198" t="s">
        <v>79</v>
      </c>
      <c r="F198" s="186"/>
      <c r="G198" s="186"/>
      <c r="H198" s="186"/>
      <c r="I198" s="186"/>
      <c r="J198" s="186"/>
      <c r="K198" s="186"/>
      <c r="L198" s="186"/>
      <c r="M198" s="186">
        <v>42102.877915341996</v>
      </c>
      <c r="N198" s="186">
        <v>42261.9570552</v>
      </c>
      <c r="O198" s="186">
        <v>42376.019600599997</v>
      </c>
      <c r="P198" s="186">
        <v>42481.143851399996</v>
      </c>
      <c r="Q198" s="186">
        <v>42549.292057958002</v>
      </c>
      <c r="R198" s="186">
        <v>42646.892057958001</v>
      </c>
      <c r="S198" s="186">
        <v>42744.592057957998</v>
      </c>
      <c r="T198" s="186">
        <v>42842.292057958002</v>
      </c>
      <c r="U198" s="186"/>
    </row>
    <row r="199" spans="1:21" x14ac:dyDescent="0.25">
      <c r="A199" t="s">
        <v>32</v>
      </c>
      <c r="B199" t="s">
        <v>100</v>
      </c>
      <c r="C199" t="s">
        <v>101</v>
      </c>
      <c r="D199">
        <v>0</v>
      </c>
      <c r="E199" t="s">
        <v>79</v>
      </c>
      <c r="F199" s="192"/>
      <c r="G199" s="192"/>
      <c r="H199" s="192"/>
      <c r="I199" s="192"/>
      <c r="J199" s="192"/>
      <c r="K199" s="192"/>
      <c r="L199" s="192"/>
      <c r="M199" s="192">
        <v>3313.1869999999999</v>
      </c>
      <c r="N199" s="192">
        <v>3333.5829862270598</v>
      </c>
      <c r="O199" s="192">
        <v>3353.7589060355399</v>
      </c>
      <c r="P199" s="192">
        <v>3375.88271194356</v>
      </c>
      <c r="Q199" s="192">
        <v>3399.56608462738</v>
      </c>
      <c r="R199" s="192">
        <v>3423.7950089276501</v>
      </c>
      <c r="S199" s="192">
        <v>3449.11040733761</v>
      </c>
      <c r="T199" s="192">
        <v>3475.50235997355</v>
      </c>
      <c r="U199" s="192"/>
    </row>
    <row r="200" spans="1:21" x14ac:dyDescent="0.25">
      <c r="A200" t="s">
        <v>32</v>
      </c>
      <c r="B200" t="s">
        <v>102</v>
      </c>
      <c r="C200" t="s">
        <v>103</v>
      </c>
      <c r="D200" t="s">
        <v>25</v>
      </c>
      <c r="E200" t="s">
        <v>79</v>
      </c>
      <c r="F200" s="191"/>
      <c r="G200" s="191"/>
      <c r="H200" s="191"/>
      <c r="I200" s="191"/>
      <c r="J200" s="191"/>
      <c r="K200" s="191"/>
      <c r="L200" s="191"/>
      <c r="M200" s="191"/>
      <c r="N200" s="191"/>
      <c r="O200" s="191"/>
      <c r="P200" s="191"/>
      <c r="Q200" s="191"/>
      <c r="R200" s="191"/>
      <c r="S200" s="191"/>
      <c r="T200" s="191"/>
      <c r="U200" s="191">
        <v>0</v>
      </c>
    </row>
    <row r="201" spans="1:21" x14ac:dyDescent="0.25">
      <c r="A201" t="s">
        <v>32</v>
      </c>
      <c r="B201" t="s">
        <v>104</v>
      </c>
      <c r="C201" t="s">
        <v>105</v>
      </c>
      <c r="D201" t="s">
        <v>25</v>
      </c>
      <c r="E201" t="s">
        <v>79</v>
      </c>
      <c r="F201" s="191"/>
      <c r="G201" s="191"/>
      <c r="H201" s="191"/>
      <c r="I201" s="191"/>
      <c r="J201" s="191"/>
      <c r="K201" s="191"/>
      <c r="L201" s="191"/>
      <c r="M201" s="191"/>
      <c r="N201" s="191"/>
      <c r="O201" s="191"/>
      <c r="P201" s="191"/>
      <c r="Q201" s="191"/>
      <c r="R201" s="191"/>
      <c r="S201" s="191"/>
      <c r="T201" s="191"/>
      <c r="U201" s="191">
        <v>0</v>
      </c>
    </row>
    <row r="202" spans="1:21" x14ac:dyDescent="0.25">
      <c r="A202" t="s">
        <v>33</v>
      </c>
      <c r="B202" t="s">
        <v>77</v>
      </c>
      <c r="C202" t="s">
        <v>78</v>
      </c>
      <c r="D202" t="s">
        <v>25</v>
      </c>
      <c r="E202" t="s">
        <v>79</v>
      </c>
      <c r="F202" s="186"/>
      <c r="G202" s="186">
        <v>4.4202527171511904E-3</v>
      </c>
      <c r="H202" s="186">
        <v>2.0501639344262301E-2</v>
      </c>
      <c r="I202" s="186">
        <v>7.3987491548343498E-3</v>
      </c>
      <c r="J202" s="186">
        <v>0</v>
      </c>
      <c r="K202" s="186">
        <v>0</v>
      </c>
      <c r="L202" s="186">
        <v>0</v>
      </c>
      <c r="M202" s="186">
        <v>0</v>
      </c>
      <c r="N202" s="186">
        <v>0</v>
      </c>
      <c r="O202" s="186">
        <v>0</v>
      </c>
      <c r="P202" s="186">
        <v>0</v>
      </c>
      <c r="Q202" s="186">
        <v>0</v>
      </c>
      <c r="R202" s="186">
        <v>0</v>
      </c>
      <c r="S202" s="186">
        <v>0</v>
      </c>
      <c r="T202" s="186">
        <v>0</v>
      </c>
      <c r="U202" s="186"/>
    </row>
    <row r="203" spans="1:21" x14ac:dyDescent="0.25">
      <c r="A203" t="s">
        <v>33</v>
      </c>
      <c r="B203" t="s">
        <v>80</v>
      </c>
      <c r="C203" t="s">
        <v>81</v>
      </c>
      <c r="D203" t="s">
        <v>25</v>
      </c>
      <c r="E203" t="s">
        <v>79</v>
      </c>
      <c r="F203" s="186"/>
      <c r="G203" s="186">
        <v>0</v>
      </c>
      <c r="H203" s="186">
        <v>0</v>
      </c>
      <c r="I203" s="186">
        <v>0</v>
      </c>
      <c r="J203" s="186">
        <v>0</v>
      </c>
      <c r="K203" s="186">
        <v>0</v>
      </c>
      <c r="L203" s="186">
        <v>0</v>
      </c>
      <c r="M203" s="186">
        <v>0</v>
      </c>
      <c r="N203" s="186">
        <v>0</v>
      </c>
      <c r="O203" s="186">
        <v>0</v>
      </c>
      <c r="P203" s="186">
        <v>3.9696923076923101</v>
      </c>
      <c r="Q203" s="186">
        <v>3.9696923076923101</v>
      </c>
      <c r="R203" s="186">
        <v>3.9696923076923101</v>
      </c>
      <c r="S203" s="186">
        <v>3.9696923076923101</v>
      </c>
      <c r="T203" s="186">
        <v>3.9696923076923101</v>
      </c>
      <c r="U203" s="186"/>
    </row>
    <row r="204" spans="1:21" x14ac:dyDescent="0.25">
      <c r="A204" t="s">
        <v>33</v>
      </c>
      <c r="B204" t="s">
        <v>82</v>
      </c>
      <c r="C204" t="s">
        <v>83</v>
      </c>
      <c r="D204" t="s">
        <v>25</v>
      </c>
      <c r="E204" t="s">
        <v>79</v>
      </c>
      <c r="F204" s="186"/>
      <c r="G204" s="186">
        <v>0</v>
      </c>
      <c r="H204" s="186">
        <v>0</v>
      </c>
      <c r="I204" s="186">
        <v>0</v>
      </c>
      <c r="J204" s="186">
        <v>0</v>
      </c>
      <c r="K204" s="186">
        <v>0</v>
      </c>
      <c r="L204" s="186">
        <v>0</v>
      </c>
      <c r="M204" s="186">
        <v>-2.04749999999694E-6</v>
      </c>
      <c r="N204" s="186">
        <v>0</v>
      </c>
      <c r="O204" s="186">
        <v>0</v>
      </c>
      <c r="P204" s="186">
        <v>0</v>
      </c>
      <c r="Q204" s="186">
        <v>0</v>
      </c>
      <c r="R204" s="186">
        <v>0</v>
      </c>
      <c r="S204" s="186">
        <v>0</v>
      </c>
      <c r="T204" s="186">
        <v>0</v>
      </c>
      <c r="U204" s="186"/>
    </row>
    <row r="205" spans="1:21" x14ac:dyDescent="0.25">
      <c r="A205" t="s">
        <v>33</v>
      </c>
      <c r="B205" t="s">
        <v>84</v>
      </c>
      <c r="C205" t="s">
        <v>85</v>
      </c>
      <c r="D205" t="s">
        <v>25</v>
      </c>
      <c r="E205" t="s">
        <v>79</v>
      </c>
      <c r="F205" s="186"/>
      <c r="G205" s="186">
        <v>0</v>
      </c>
      <c r="H205" s="186">
        <v>0</v>
      </c>
      <c r="I205" s="186">
        <v>0</v>
      </c>
      <c r="J205" s="186">
        <v>0</v>
      </c>
      <c r="K205" s="186">
        <v>0</v>
      </c>
      <c r="L205" s="186">
        <v>0</v>
      </c>
      <c r="M205" s="186">
        <v>5.7547500000000003E-3</v>
      </c>
      <c r="N205" s="186">
        <v>5.7309919974745403E-2</v>
      </c>
      <c r="O205" s="186">
        <v>5.59954553173918E-2</v>
      </c>
      <c r="P205" s="186">
        <v>0.57011538461538502</v>
      </c>
      <c r="Q205" s="186">
        <v>0.57011538461538502</v>
      </c>
      <c r="R205" s="186">
        <v>0.57011538461538502</v>
      </c>
      <c r="S205" s="186">
        <v>0.57011538461538502</v>
      </c>
      <c r="T205" s="186">
        <v>0.57011538461538502</v>
      </c>
      <c r="U205" s="186"/>
    </row>
    <row r="206" spans="1:21" x14ac:dyDescent="0.25">
      <c r="A206" t="s">
        <v>33</v>
      </c>
      <c r="B206" t="s">
        <v>86</v>
      </c>
      <c r="C206" t="s">
        <v>87</v>
      </c>
      <c r="D206" t="s">
        <v>25</v>
      </c>
      <c r="E206" t="s">
        <v>79</v>
      </c>
      <c r="F206" s="186"/>
      <c r="G206" s="186">
        <v>160.111498983828</v>
      </c>
      <c r="H206" s="186">
        <v>176.20727402933599</v>
      </c>
      <c r="I206" s="186">
        <v>161.72502991886401</v>
      </c>
      <c r="J206" s="186">
        <v>155.76956095930501</v>
      </c>
      <c r="K206" s="186">
        <v>161.797675540765</v>
      </c>
      <c r="L206" s="186">
        <v>157.54378334017201</v>
      </c>
      <c r="M206" s="186">
        <v>135.18250211091799</v>
      </c>
      <c r="N206" s="186">
        <v>135.547767820351</v>
      </c>
      <c r="O206" s="186">
        <v>145.638681570416</v>
      </c>
      <c r="P206" s="186">
        <v>134.26551401578601</v>
      </c>
      <c r="Q206" s="186">
        <v>125.598794060228</v>
      </c>
      <c r="R206" s="186">
        <v>144.289496667121</v>
      </c>
      <c r="S206" s="186">
        <v>125.344844223275</v>
      </c>
      <c r="T206" s="186">
        <v>120.554308843439</v>
      </c>
      <c r="U206" s="186"/>
    </row>
    <row r="207" spans="1:21" x14ac:dyDescent="0.25">
      <c r="A207" t="s">
        <v>33</v>
      </c>
      <c r="B207" t="s">
        <v>44</v>
      </c>
      <c r="C207" t="s">
        <v>88</v>
      </c>
      <c r="D207" t="s">
        <v>25</v>
      </c>
      <c r="E207" t="s">
        <v>79</v>
      </c>
      <c r="F207" s="191"/>
      <c r="G207" s="191"/>
      <c r="H207" s="191"/>
      <c r="I207" s="191"/>
      <c r="J207" s="191"/>
      <c r="K207" s="191"/>
      <c r="L207" s="191"/>
      <c r="M207" s="191">
        <v>0</v>
      </c>
      <c r="N207" s="191">
        <v>0</v>
      </c>
      <c r="O207" s="191">
        <v>0</v>
      </c>
      <c r="P207" s="191">
        <v>0</v>
      </c>
      <c r="Q207" s="191">
        <v>0</v>
      </c>
      <c r="R207" s="191">
        <v>0</v>
      </c>
      <c r="S207" s="191">
        <v>0</v>
      </c>
      <c r="T207" s="191">
        <v>0</v>
      </c>
      <c r="U207" s="191"/>
    </row>
    <row r="208" spans="1:21" x14ac:dyDescent="0.25">
      <c r="A208" t="s">
        <v>33</v>
      </c>
      <c r="B208" t="s">
        <v>45</v>
      </c>
      <c r="C208" t="s">
        <v>89</v>
      </c>
      <c r="D208" t="s">
        <v>25</v>
      </c>
      <c r="E208" t="s">
        <v>79</v>
      </c>
      <c r="F208" s="191"/>
      <c r="G208" s="191"/>
      <c r="H208" s="191"/>
      <c r="I208" s="191"/>
      <c r="J208" s="191"/>
      <c r="K208" s="191"/>
      <c r="L208" s="191"/>
      <c r="M208" s="191">
        <v>0</v>
      </c>
      <c r="N208" s="191">
        <v>0</v>
      </c>
      <c r="O208" s="191">
        <v>0</v>
      </c>
      <c r="P208" s="191">
        <v>0.37</v>
      </c>
      <c r="Q208" s="191">
        <v>0.73</v>
      </c>
      <c r="R208" s="191">
        <v>1.1000000000000001</v>
      </c>
      <c r="S208" s="191">
        <v>1.46</v>
      </c>
      <c r="T208" s="191">
        <v>1.83</v>
      </c>
      <c r="U208" s="191"/>
    </row>
    <row r="209" spans="1:21" x14ac:dyDescent="0.25">
      <c r="A209" t="s">
        <v>33</v>
      </c>
      <c r="B209" t="s">
        <v>46</v>
      </c>
      <c r="C209" t="s">
        <v>90</v>
      </c>
      <c r="D209" t="s">
        <v>25</v>
      </c>
      <c r="E209" t="s">
        <v>79</v>
      </c>
      <c r="F209" s="191"/>
      <c r="G209" s="191"/>
      <c r="H209" s="191"/>
      <c r="I209" s="191"/>
      <c r="J209" s="191"/>
      <c r="K209" s="191"/>
      <c r="L209" s="191"/>
      <c r="M209" s="191">
        <v>0</v>
      </c>
      <c r="N209" s="191">
        <v>0</v>
      </c>
      <c r="O209" s="191">
        <v>0</v>
      </c>
      <c r="P209" s="191">
        <v>0</v>
      </c>
      <c r="Q209" s="191">
        <v>0</v>
      </c>
      <c r="R209" s="191">
        <v>0</v>
      </c>
      <c r="S209" s="191">
        <v>0</v>
      </c>
      <c r="T209" s="191">
        <v>0</v>
      </c>
      <c r="U209" s="191"/>
    </row>
    <row r="210" spans="1:21" x14ac:dyDescent="0.25">
      <c r="A210" t="s">
        <v>33</v>
      </c>
      <c r="B210" t="s">
        <v>47</v>
      </c>
      <c r="C210" t="s">
        <v>91</v>
      </c>
      <c r="D210" t="s">
        <v>25</v>
      </c>
      <c r="E210" t="s">
        <v>79</v>
      </c>
      <c r="F210" s="191"/>
      <c r="G210" s="191"/>
      <c r="H210" s="191"/>
      <c r="I210" s="191"/>
      <c r="J210" s="191"/>
      <c r="K210" s="191"/>
      <c r="L210" s="191"/>
      <c r="M210" s="191">
        <v>0</v>
      </c>
      <c r="N210" s="191">
        <v>0</v>
      </c>
      <c r="O210" s="191">
        <v>0</v>
      </c>
      <c r="P210" s="191">
        <v>0</v>
      </c>
      <c r="Q210" s="191">
        <v>0</v>
      </c>
      <c r="R210" s="191">
        <v>0</v>
      </c>
      <c r="S210" s="191">
        <v>0</v>
      </c>
      <c r="T210" s="191">
        <v>0</v>
      </c>
      <c r="U210" s="191"/>
    </row>
    <row r="211" spans="1:21" x14ac:dyDescent="0.25">
      <c r="A211" t="s">
        <v>33</v>
      </c>
      <c r="B211" t="s">
        <v>15</v>
      </c>
      <c r="C211" t="s">
        <v>92</v>
      </c>
      <c r="D211" t="s">
        <v>93</v>
      </c>
      <c r="E211" t="s">
        <v>79</v>
      </c>
      <c r="F211" s="186"/>
      <c r="G211" s="186"/>
      <c r="H211" s="186"/>
      <c r="I211" s="186"/>
      <c r="J211" s="186"/>
      <c r="K211" s="186"/>
      <c r="L211" s="186"/>
      <c r="M211" s="186">
        <v>0</v>
      </c>
      <c r="N211" s="186">
        <v>0</v>
      </c>
      <c r="O211" s="186">
        <v>0</v>
      </c>
      <c r="P211" s="186">
        <v>0</v>
      </c>
      <c r="Q211" s="186">
        <v>0</v>
      </c>
      <c r="R211" s="186">
        <v>0</v>
      </c>
      <c r="S211" s="186">
        <v>0</v>
      </c>
      <c r="T211" s="186">
        <v>0</v>
      </c>
      <c r="U211" s="186"/>
    </row>
    <row r="212" spans="1:21" x14ac:dyDescent="0.25">
      <c r="A212" t="s">
        <v>33</v>
      </c>
      <c r="B212" t="s">
        <v>16</v>
      </c>
      <c r="C212" t="s">
        <v>94</v>
      </c>
      <c r="D212" t="s">
        <v>93</v>
      </c>
      <c r="E212" t="s">
        <v>79</v>
      </c>
      <c r="F212" s="186"/>
      <c r="G212" s="186"/>
      <c r="H212" s="186"/>
      <c r="I212" s="186"/>
      <c r="J212" s="186"/>
      <c r="K212" s="186"/>
      <c r="L212" s="186"/>
      <c r="M212" s="186">
        <v>0</v>
      </c>
      <c r="N212" s="186">
        <v>0</v>
      </c>
      <c r="O212" s="186">
        <v>0</v>
      </c>
      <c r="P212" s="186">
        <v>0</v>
      </c>
      <c r="Q212" s="186">
        <v>0</v>
      </c>
      <c r="R212" s="186">
        <v>0</v>
      </c>
      <c r="S212" s="186">
        <v>0</v>
      </c>
      <c r="T212" s="186">
        <v>0</v>
      </c>
      <c r="U212" s="186"/>
    </row>
    <row r="213" spans="1:21" x14ac:dyDescent="0.25">
      <c r="A213" t="s">
        <v>33</v>
      </c>
      <c r="B213" t="s">
        <v>17</v>
      </c>
      <c r="C213" t="s">
        <v>95</v>
      </c>
      <c r="D213" t="s">
        <v>93</v>
      </c>
      <c r="E213" t="s">
        <v>79</v>
      </c>
      <c r="F213" s="186"/>
      <c r="G213" s="186"/>
      <c r="H213" s="186"/>
      <c r="I213" s="186"/>
      <c r="J213" s="186"/>
      <c r="K213" s="186"/>
      <c r="L213" s="186"/>
      <c r="M213" s="186">
        <v>2.34</v>
      </c>
      <c r="N213" s="186">
        <v>2.36</v>
      </c>
      <c r="O213" s="186">
        <v>2.0499999999999998</v>
      </c>
      <c r="P213" s="186">
        <v>3.87</v>
      </c>
      <c r="Q213" s="186">
        <v>3.83</v>
      </c>
      <c r="R213" s="186">
        <v>3.79</v>
      </c>
      <c r="S213" s="186">
        <v>3.75</v>
      </c>
      <c r="T213" s="186">
        <v>3.72</v>
      </c>
      <c r="U213" s="186"/>
    </row>
    <row r="214" spans="1:21" x14ac:dyDescent="0.25">
      <c r="A214" t="s">
        <v>33</v>
      </c>
      <c r="B214" t="s">
        <v>18</v>
      </c>
      <c r="C214" t="s">
        <v>96</v>
      </c>
      <c r="D214" t="s">
        <v>93</v>
      </c>
      <c r="E214" t="s">
        <v>79</v>
      </c>
      <c r="F214" s="186"/>
      <c r="G214" s="186"/>
      <c r="H214" s="186"/>
      <c r="I214" s="186"/>
      <c r="J214" s="186"/>
      <c r="K214" s="186"/>
      <c r="L214" s="186"/>
      <c r="M214" s="186">
        <v>2.34</v>
      </c>
      <c r="N214" s="186">
        <v>2.24620857793726</v>
      </c>
      <c r="O214" s="186">
        <v>1.94964577527981</v>
      </c>
      <c r="P214" s="186">
        <v>3.7785389810872601</v>
      </c>
      <c r="Q214" s="186">
        <v>3.74200631040204</v>
      </c>
      <c r="R214" s="186">
        <v>3.7093468755556702</v>
      </c>
      <c r="S214" s="186">
        <v>3.68017595911394</v>
      </c>
      <c r="T214" s="186">
        <v>3.65421825773138</v>
      </c>
      <c r="U214" s="186"/>
    </row>
    <row r="215" spans="1:21" x14ac:dyDescent="0.25">
      <c r="A215" t="s">
        <v>33</v>
      </c>
      <c r="B215" t="s">
        <v>23</v>
      </c>
      <c r="C215" t="s">
        <v>97</v>
      </c>
      <c r="D215" t="s">
        <v>93</v>
      </c>
      <c r="E215" t="s">
        <v>79</v>
      </c>
      <c r="F215" s="186"/>
      <c r="G215" s="186"/>
      <c r="H215" s="186"/>
      <c r="I215" s="186"/>
      <c r="J215" s="186"/>
      <c r="K215" s="186"/>
      <c r="L215" s="186"/>
      <c r="M215" s="186">
        <v>79.66</v>
      </c>
      <c r="N215" s="186">
        <v>78.889652999999996</v>
      </c>
      <c r="O215" s="186">
        <v>78.157700000000006</v>
      </c>
      <c r="P215" s="186">
        <v>75.812968999999995</v>
      </c>
      <c r="Q215" s="186">
        <v>73.468237999999999</v>
      </c>
      <c r="R215" s="186">
        <v>71.123507000000004</v>
      </c>
      <c r="S215" s="186">
        <v>68.778775999999993</v>
      </c>
      <c r="T215" s="186">
        <v>66.434044999999998</v>
      </c>
      <c r="U215" s="186"/>
    </row>
    <row r="216" spans="1:21" x14ac:dyDescent="0.25">
      <c r="A216" t="s">
        <v>33</v>
      </c>
      <c r="B216" t="s">
        <v>48</v>
      </c>
      <c r="C216" t="s">
        <v>98</v>
      </c>
      <c r="D216" t="s">
        <v>99</v>
      </c>
      <c r="E216" t="s">
        <v>79</v>
      </c>
      <c r="F216" s="186"/>
      <c r="G216" s="186"/>
      <c r="H216" s="186"/>
      <c r="I216" s="186"/>
      <c r="J216" s="186"/>
      <c r="K216" s="186"/>
      <c r="L216" s="186"/>
      <c r="M216" s="186">
        <v>11935.02</v>
      </c>
      <c r="N216" s="186">
        <v>11980.016100000001</v>
      </c>
      <c r="O216" s="186">
        <v>12025.016100000001</v>
      </c>
      <c r="P216" s="186">
        <v>12070.016100000001</v>
      </c>
      <c r="Q216" s="186">
        <v>12115.016100000001</v>
      </c>
      <c r="R216" s="186">
        <v>12160.016100000001</v>
      </c>
      <c r="S216" s="186">
        <v>12205.016100000001</v>
      </c>
      <c r="T216" s="186">
        <v>12250.016100000001</v>
      </c>
      <c r="U216" s="186"/>
    </row>
    <row r="217" spans="1:21" x14ac:dyDescent="0.25">
      <c r="A217" t="s">
        <v>33</v>
      </c>
      <c r="B217" t="s">
        <v>100</v>
      </c>
      <c r="C217" t="s">
        <v>101</v>
      </c>
      <c r="D217">
        <v>0</v>
      </c>
      <c r="E217" t="s">
        <v>79</v>
      </c>
      <c r="F217" s="192"/>
      <c r="G217" s="192"/>
      <c r="H217" s="192"/>
      <c r="I217" s="192"/>
      <c r="J217" s="192"/>
      <c r="K217" s="192"/>
      <c r="L217" s="192"/>
      <c r="M217" s="192">
        <v>615.40800000000002</v>
      </c>
      <c r="N217" s="192">
        <v>623.31399999999996</v>
      </c>
      <c r="O217" s="192">
        <v>629.67100000000005</v>
      </c>
      <c r="P217" s="192">
        <v>636.07500000000005</v>
      </c>
      <c r="Q217" s="192">
        <v>642.428</v>
      </c>
      <c r="R217" s="192">
        <v>648.55999999999995</v>
      </c>
      <c r="S217" s="192">
        <v>654.46699999999998</v>
      </c>
      <c r="T217" s="192">
        <v>660.20299999999997</v>
      </c>
      <c r="U217" s="192"/>
    </row>
    <row r="218" spans="1:21" x14ac:dyDescent="0.25">
      <c r="A218" t="s">
        <v>33</v>
      </c>
      <c r="B218" t="s">
        <v>102</v>
      </c>
      <c r="C218" t="s">
        <v>103</v>
      </c>
      <c r="D218" t="s">
        <v>25</v>
      </c>
      <c r="E218" t="s">
        <v>79</v>
      </c>
      <c r="F218" s="191"/>
      <c r="G218" s="191"/>
      <c r="H218" s="191"/>
      <c r="I218" s="191"/>
      <c r="J218" s="191"/>
      <c r="K218" s="191"/>
      <c r="L218" s="191"/>
      <c r="M218" s="191"/>
      <c r="N218" s="191"/>
      <c r="O218" s="191"/>
      <c r="P218" s="191"/>
      <c r="Q218" s="191"/>
      <c r="R218" s="191"/>
      <c r="S218" s="191"/>
      <c r="T218" s="191"/>
      <c r="U218" s="191">
        <v>0</v>
      </c>
    </row>
    <row r="219" spans="1:21" x14ac:dyDescent="0.25">
      <c r="A219" t="s">
        <v>33</v>
      </c>
      <c r="B219" t="s">
        <v>104</v>
      </c>
      <c r="C219" t="s">
        <v>105</v>
      </c>
      <c r="D219" t="s">
        <v>25</v>
      </c>
      <c r="E219" t="s">
        <v>79</v>
      </c>
      <c r="F219" s="191"/>
      <c r="G219" s="191"/>
      <c r="H219" s="191"/>
      <c r="I219" s="191"/>
      <c r="J219" s="191"/>
      <c r="K219" s="191"/>
      <c r="L219" s="191"/>
      <c r="M219" s="191"/>
      <c r="N219" s="191"/>
      <c r="O219" s="191"/>
      <c r="P219" s="191"/>
      <c r="Q219" s="191"/>
      <c r="R219" s="191"/>
      <c r="S219" s="191"/>
      <c r="T219" s="191"/>
      <c r="U219" s="191">
        <v>0</v>
      </c>
    </row>
    <row r="220" spans="1:21" x14ac:dyDescent="0.25">
      <c r="A220" t="s">
        <v>34</v>
      </c>
      <c r="B220" t="s">
        <v>77</v>
      </c>
      <c r="C220" t="s">
        <v>78</v>
      </c>
      <c r="D220" t="s">
        <v>25</v>
      </c>
      <c r="E220" t="s">
        <v>79</v>
      </c>
      <c r="F220" s="186"/>
      <c r="G220" s="186">
        <v>0</v>
      </c>
      <c r="H220" s="186">
        <v>0</v>
      </c>
      <c r="I220" s="186">
        <v>0</v>
      </c>
      <c r="J220" s="186">
        <v>0</v>
      </c>
      <c r="K220" s="186">
        <v>0</v>
      </c>
      <c r="L220" s="186">
        <v>0</v>
      </c>
      <c r="M220" s="186">
        <v>0</v>
      </c>
      <c r="N220" s="186">
        <v>0</v>
      </c>
      <c r="O220" s="186">
        <v>0</v>
      </c>
      <c r="P220" s="186">
        <v>0</v>
      </c>
      <c r="Q220" s="186">
        <v>0</v>
      </c>
      <c r="R220" s="186">
        <v>0</v>
      </c>
      <c r="S220" s="186">
        <v>0</v>
      </c>
      <c r="T220" s="186">
        <v>0</v>
      </c>
      <c r="U220" s="186"/>
    </row>
    <row r="221" spans="1:21" x14ac:dyDescent="0.25">
      <c r="A221" t="s">
        <v>34</v>
      </c>
      <c r="B221" t="s">
        <v>80</v>
      </c>
      <c r="C221" t="s">
        <v>81</v>
      </c>
      <c r="D221" t="s">
        <v>25</v>
      </c>
      <c r="E221" t="s">
        <v>79</v>
      </c>
      <c r="F221" s="186"/>
      <c r="G221" s="186">
        <v>0</v>
      </c>
      <c r="H221" s="186">
        <v>0</v>
      </c>
      <c r="I221" s="186">
        <v>0</v>
      </c>
      <c r="J221" s="186">
        <v>0</v>
      </c>
      <c r="K221" s="186">
        <v>0</v>
      </c>
      <c r="L221" s="186">
        <v>0</v>
      </c>
      <c r="M221" s="186">
        <v>0</v>
      </c>
      <c r="N221" s="186">
        <v>0</v>
      </c>
      <c r="O221" s="186">
        <v>0</v>
      </c>
      <c r="P221" s="186">
        <v>0.112</v>
      </c>
      <c r="Q221" s="186">
        <v>9.7000000000000003E-2</v>
      </c>
      <c r="R221" s="186">
        <v>6.3E-2</v>
      </c>
      <c r="S221" s="186">
        <v>4.7E-2</v>
      </c>
      <c r="T221" s="186">
        <v>2.1999999999999999E-2</v>
      </c>
      <c r="U221" s="186"/>
    </row>
    <row r="222" spans="1:21" x14ac:dyDescent="0.25">
      <c r="A222" t="s">
        <v>34</v>
      </c>
      <c r="B222" t="s">
        <v>82</v>
      </c>
      <c r="C222" t="s">
        <v>83</v>
      </c>
      <c r="D222" t="s">
        <v>25</v>
      </c>
      <c r="E222" t="s">
        <v>79</v>
      </c>
      <c r="F222" s="186"/>
      <c r="G222" s="186">
        <v>0</v>
      </c>
      <c r="H222" s="186">
        <v>0</v>
      </c>
      <c r="I222" s="186">
        <v>0</v>
      </c>
      <c r="J222" s="186">
        <v>0</v>
      </c>
      <c r="K222" s="186">
        <v>0</v>
      </c>
      <c r="L222" s="186">
        <v>0</v>
      </c>
      <c r="M222" s="186">
        <v>0</v>
      </c>
      <c r="N222" s="186">
        <v>0</v>
      </c>
      <c r="O222" s="186">
        <v>0</v>
      </c>
      <c r="P222" s="186">
        <v>0</v>
      </c>
      <c r="Q222" s="186">
        <v>0</v>
      </c>
      <c r="R222" s="186">
        <v>0</v>
      </c>
      <c r="S222" s="186">
        <v>0</v>
      </c>
      <c r="T222" s="186">
        <v>0</v>
      </c>
      <c r="U222" s="186"/>
    </row>
    <row r="223" spans="1:21" x14ac:dyDescent="0.25">
      <c r="A223" t="s">
        <v>34</v>
      </c>
      <c r="B223" t="s">
        <v>84</v>
      </c>
      <c r="C223" t="s">
        <v>85</v>
      </c>
      <c r="D223" t="s">
        <v>25</v>
      </c>
      <c r="E223" t="s">
        <v>79</v>
      </c>
      <c r="F223" s="186"/>
      <c r="G223" s="186">
        <v>0</v>
      </c>
      <c r="H223" s="186">
        <v>0</v>
      </c>
      <c r="I223" s="186">
        <v>0</v>
      </c>
      <c r="J223" s="186">
        <v>0</v>
      </c>
      <c r="K223" s="186">
        <v>0</v>
      </c>
      <c r="L223" s="186">
        <v>0</v>
      </c>
      <c r="M223" s="186">
        <v>0</v>
      </c>
      <c r="N223" s="186">
        <v>0</v>
      </c>
      <c r="O223" s="186">
        <v>0</v>
      </c>
      <c r="P223" s="186">
        <v>0</v>
      </c>
      <c r="Q223" s="186">
        <v>0</v>
      </c>
      <c r="R223" s="186">
        <v>0</v>
      </c>
      <c r="S223" s="186">
        <v>0</v>
      </c>
      <c r="T223" s="186">
        <v>0</v>
      </c>
      <c r="U223" s="186"/>
    </row>
    <row r="224" spans="1:21" x14ac:dyDescent="0.25">
      <c r="A224" t="s">
        <v>34</v>
      </c>
      <c r="B224" t="s">
        <v>86</v>
      </c>
      <c r="C224" t="s">
        <v>87</v>
      </c>
      <c r="D224" t="s">
        <v>25</v>
      </c>
      <c r="E224" t="s">
        <v>79</v>
      </c>
      <c r="F224" s="186"/>
      <c r="G224" s="186">
        <v>390.80341904622702</v>
      </c>
      <c r="H224" s="186">
        <v>309.47344511474898</v>
      </c>
      <c r="I224" s="186">
        <v>263.59925564048802</v>
      </c>
      <c r="J224" s="186">
        <v>271.31832507556197</v>
      </c>
      <c r="K224" s="186">
        <v>295.50844004160803</v>
      </c>
      <c r="L224" s="186">
        <v>337.30845683780501</v>
      </c>
      <c r="M224" s="186">
        <v>369.59500000000003</v>
      </c>
      <c r="N224" s="186">
        <v>414.49795085420197</v>
      </c>
      <c r="O224" s="186">
        <v>394.01108206733602</v>
      </c>
      <c r="P224" s="186">
        <v>385.79700000000003</v>
      </c>
      <c r="Q224" s="186">
        <v>385.065</v>
      </c>
      <c r="R224" s="186">
        <v>393.66</v>
      </c>
      <c r="S224" s="186">
        <v>376.67899999999997</v>
      </c>
      <c r="T224" s="186">
        <v>345.66399999999999</v>
      </c>
      <c r="U224" s="186"/>
    </row>
    <row r="225" spans="1:21" x14ac:dyDescent="0.25">
      <c r="A225" t="s">
        <v>34</v>
      </c>
      <c r="B225" t="s">
        <v>44</v>
      </c>
      <c r="C225" t="s">
        <v>88</v>
      </c>
      <c r="D225" t="s">
        <v>25</v>
      </c>
      <c r="E225" t="s">
        <v>79</v>
      </c>
      <c r="F225" s="191"/>
      <c r="G225" s="191"/>
      <c r="H225" s="191"/>
      <c r="I225" s="191"/>
      <c r="J225" s="191"/>
      <c r="K225" s="191"/>
      <c r="L225" s="191"/>
      <c r="M225" s="191">
        <v>0</v>
      </c>
      <c r="N225" s="191">
        <v>0</v>
      </c>
      <c r="O225" s="191">
        <v>0</v>
      </c>
      <c r="P225" s="191">
        <v>0</v>
      </c>
      <c r="Q225" s="191">
        <v>0</v>
      </c>
      <c r="R225" s="191">
        <v>0</v>
      </c>
      <c r="S225" s="191">
        <v>0</v>
      </c>
      <c r="T225" s="191">
        <v>0</v>
      </c>
      <c r="U225" s="191"/>
    </row>
    <row r="226" spans="1:21" x14ac:dyDescent="0.25">
      <c r="A226" t="s">
        <v>34</v>
      </c>
      <c r="B226" t="s">
        <v>45</v>
      </c>
      <c r="C226" t="s">
        <v>89</v>
      </c>
      <c r="D226" t="s">
        <v>25</v>
      </c>
      <c r="E226" t="s">
        <v>79</v>
      </c>
      <c r="F226" s="191"/>
      <c r="G226" s="191"/>
      <c r="H226" s="191"/>
      <c r="I226" s="191"/>
      <c r="J226" s="191"/>
      <c r="K226" s="191"/>
      <c r="L226" s="191"/>
      <c r="M226" s="191">
        <v>0</v>
      </c>
      <c r="N226" s="191">
        <v>0</v>
      </c>
      <c r="O226" s="191">
        <v>0</v>
      </c>
      <c r="P226" s="191">
        <v>0</v>
      </c>
      <c r="Q226" s="191">
        <v>0</v>
      </c>
      <c r="R226" s="191">
        <v>0</v>
      </c>
      <c r="S226" s="191">
        <v>0</v>
      </c>
      <c r="T226" s="191">
        <v>0</v>
      </c>
      <c r="U226" s="191"/>
    </row>
    <row r="227" spans="1:21" x14ac:dyDescent="0.25">
      <c r="A227" t="s">
        <v>34</v>
      </c>
      <c r="B227" t="s">
        <v>46</v>
      </c>
      <c r="C227" t="s">
        <v>90</v>
      </c>
      <c r="D227" t="s">
        <v>25</v>
      </c>
      <c r="E227" t="s">
        <v>79</v>
      </c>
      <c r="F227" s="191"/>
      <c r="G227" s="191"/>
      <c r="H227" s="191"/>
      <c r="I227" s="191"/>
      <c r="J227" s="191"/>
      <c r="K227" s="191"/>
      <c r="L227" s="191"/>
      <c r="M227" s="191">
        <v>0</v>
      </c>
      <c r="N227" s="191">
        <v>0</v>
      </c>
      <c r="O227" s="191">
        <v>0</v>
      </c>
      <c r="P227" s="191">
        <v>0</v>
      </c>
      <c r="Q227" s="191">
        <v>0</v>
      </c>
      <c r="R227" s="191">
        <v>0</v>
      </c>
      <c r="S227" s="191">
        <v>0</v>
      </c>
      <c r="T227" s="191">
        <v>0</v>
      </c>
      <c r="U227" s="191"/>
    </row>
    <row r="228" spans="1:21" x14ac:dyDescent="0.25">
      <c r="A228" t="s">
        <v>34</v>
      </c>
      <c r="B228" t="s">
        <v>47</v>
      </c>
      <c r="C228" t="s">
        <v>91</v>
      </c>
      <c r="D228" t="s">
        <v>25</v>
      </c>
      <c r="E228" t="s">
        <v>79</v>
      </c>
      <c r="F228" s="191"/>
      <c r="G228" s="191"/>
      <c r="H228" s="191"/>
      <c r="I228" s="191"/>
      <c r="J228" s="191"/>
      <c r="K228" s="191"/>
      <c r="L228" s="191"/>
      <c r="M228" s="191">
        <v>0</v>
      </c>
      <c r="N228" s="191">
        <v>0</v>
      </c>
      <c r="O228" s="191">
        <v>0</v>
      </c>
      <c r="P228" s="191">
        <v>0</v>
      </c>
      <c r="Q228" s="191">
        <v>0</v>
      </c>
      <c r="R228" s="191">
        <v>0</v>
      </c>
      <c r="S228" s="191">
        <v>0</v>
      </c>
      <c r="T228" s="191">
        <v>0</v>
      </c>
      <c r="U228" s="191"/>
    </row>
    <row r="229" spans="1:21" x14ac:dyDescent="0.25">
      <c r="A229" t="s">
        <v>34</v>
      </c>
      <c r="B229" t="s">
        <v>15</v>
      </c>
      <c r="C229" t="s">
        <v>92</v>
      </c>
      <c r="D229" t="s">
        <v>93</v>
      </c>
      <c r="E229" t="s">
        <v>79</v>
      </c>
      <c r="F229" s="186"/>
      <c r="G229" s="186"/>
      <c r="H229" s="186"/>
      <c r="I229" s="186"/>
      <c r="J229" s="186"/>
      <c r="K229" s="186"/>
      <c r="L229" s="186"/>
      <c r="M229" s="186">
        <v>0</v>
      </c>
      <c r="N229" s="186">
        <v>0</v>
      </c>
      <c r="O229" s="186">
        <v>0</v>
      </c>
      <c r="P229" s="186">
        <v>0</v>
      </c>
      <c r="Q229" s="186">
        <v>0</v>
      </c>
      <c r="R229" s="186">
        <v>0</v>
      </c>
      <c r="S229" s="186">
        <v>0</v>
      </c>
      <c r="T229" s="186">
        <v>0</v>
      </c>
      <c r="U229" s="186"/>
    </row>
    <row r="230" spans="1:21" x14ac:dyDescent="0.25">
      <c r="A230" t="s">
        <v>34</v>
      </c>
      <c r="B230" t="s">
        <v>16</v>
      </c>
      <c r="C230" t="s">
        <v>94</v>
      </c>
      <c r="D230" t="s">
        <v>93</v>
      </c>
      <c r="E230" t="s">
        <v>79</v>
      </c>
      <c r="F230" s="186"/>
      <c r="G230" s="186"/>
      <c r="H230" s="186"/>
      <c r="I230" s="186"/>
      <c r="J230" s="186"/>
      <c r="K230" s="186"/>
      <c r="L230" s="186"/>
      <c r="M230" s="186">
        <v>0</v>
      </c>
      <c r="N230" s="186">
        <v>0</v>
      </c>
      <c r="O230" s="186">
        <v>0</v>
      </c>
      <c r="P230" s="186">
        <v>0</v>
      </c>
      <c r="Q230" s="186">
        <v>0</v>
      </c>
      <c r="R230" s="186">
        <v>2</v>
      </c>
      <c r="S230" s="186">
        <v>0</v>
      </c>
      <c r="T230" s="186">
        <v>0</v>
      </c>
      <c r="U230" s="186"/>
    </row>
    <row r="231" spans="1:21" x14ac:dyDescent="0.25">
      <c r="A231" t="s">
        <v>34</v>
      </c>
      <c r="B231" t="s">
        <v>17</v>
      </c>
      <c r="C231" t="s">
        <v>95</v>
      </c>
      <c r="D231" t="s">
        <v>93</v>
      </c>
      <c r="E231" t="s">
        <v>79</v>
      </c>
      <c r="F231" s="186"/>
      <c r="G231" s="186"/>
      <c r="H231" s="186"/>
      <c r="I231" s="186"/>
      <c r="J231" s="186"/>
      <c r="K231" s="186"/>
      <c r="L231" s="186"/>
      <c r="M231" s="186">
        <v>0</v>
      </c>
      <c r="N231" s="186">
        <v>0</v>
      </c>
      <c r="O231" s="186">
        <v>0</v>
      </c>
      <c r="P231" s="186">
        <v>0</v>
      </c>
      <c r="Q231" s="186">
        <v>0</v>
      </c>
      <c r="R231" s="186">
        <v>0</v>
      </c>
      <c r="S231" s="186">
        <v>0</v>
      </c>
      <c r="T231" s="186">
        <v>0</v>
      </c>
      <c r="U231" s="186"/>
    </row>
    <row r="232" spans="1:21" x14ac:dyDescent="0.25">
      <c r="A232" t="s">
        <v>34</v>
      </c>
      <c r="B232" t="s">
        <v>18</v>
      </c>
      <c r="C232" t="s">
        <v>96</v>
      </c>
      <c r="D232" t="s">
        <v>93</v>
      </c>
      <c r="E232" t="s">
        <v>79</v>
      </c>
      <c r="F232" s="186"/>
      <c r="G232" s="186"/>
      <c r="H232" s="186"/>
      <c r="I232" s="186"/>
      <c r="J232" s="186"/>
      <c r="K232" s="186"/>
      <c r="L232" s="186"/>
      <c r="M232" s="186">
        <v>0</v>
      </c>
      <c r="N232" s="186">
        <v>0</v>
      </c>
      <c r="O232" s="186">
        <v>28</v>
      </c>
      <c r="P232" s="186">
        <v>13.45</v>
      </c>
      <c r="Q232" s="186">
        <v>13.45</v>
      </c>
      <c r="R232" s="186">
        <v>13.45</v>
      </c>
      <c r="S232" s="186">
        <v>13.45</v>
      </c>
      <c r="T232" s="186">
        <v>13.45</v>
      </c>
      <c r="U232" s="186"/>
    </row>
    <row r="233" spans="1:21" x14ac:dyDescent="0.25">
      <c r="A233" t="s">
        <v>34</v>
      </c>
      <c r="B233" t="s">
        <v>23</v>
      </c>
      <c r="C233" t="s">
        <v>97</v>
      </c>
      <c r="D233" t="s">
        <v>93</v>
      </c>
      <c r="E233" t="s">
        <v>79</v>
      </c>
      <c r="F233" s="186"/>
      <c r="G233" s="186"/>
      <c r="H233" s="186"/>
      <c r="I233" s="186"/>
      <c r="J233" s="186"/>
      <c r="K233" s="186"/>
      <c r="L233" s="186"/>
      <c r="M233" s="186">
        <v>300.27999999999997</v>
      </c>
      <c r="N233" s="186">
        <v>297</v>
      </c>
      <c r="O233" s="186">
        <v>269</v>
      </c>
      <c r="P233" s="186">
        <v>255.55</v>
      </c>
      <c r="Q233" s="186">
        <v>242.1</v>
      </c>
      <c r="R233" s="186">
        <v>228.65</v>
      </c>
      <c r="S233" s="186">
        <v>215.2</v>
      </c>
      <c r="T233" s="186">
        <v>201.75</v>
      </c>
      <c r="U233" s="186"/>
    </row>
    <row r="234" spans="1:21" x14ac:dyDescent="0.25">
      <c r="A234" t="s">
        <v>34</v>
      </c>
      <c r="B234" t="s">
        <v>48</v>
      </c>
      <c r="C234" t="s">
        <v>98</v>
      </c>
      <c r="D234" t="s">
        <v>99</v>
      </c>
      <c r="E234" t="s">
        <v>79</v>
      </c>
      <c r="F234" s="186"/>
      <c r="G234" s="186"/>
      <c r="H234" s="186"/>
      <c r="I234" s="186"/>
      <c r="J234" s="186"/>
      <c r="K234" s="186"/>
      <c r="L234" s="186"/>
      <c r="M234" s="186">
        <v>31693</v>
      </c>
      <c r="N234" s="186">
        <v>31793</v>
      </c>
      <c r="O234" s="186">
        <v>31893</v>
      </c>
      <c r="P234" s="186">
        <v>32002</v>
      </c>
      <c r="Q234" s="186">
        <v>32111</v>
      </c>
      <c r="R234" s="186">
        <v>32219</v>
      </c>
      <c r="S234" s="186">
        <v>32328</v>
      </c>
      <c r="T234" s="186">
        <v>32436</v>
      </c>
      <c r="U234" s="186"/>
    </row>
    <row r="235" spans="1:21" x14ac:dyDescent="0.25">
      <c r="A235" t="s">
        <v>34</v>
      </c>
      <c r="B235" t="s">
        <v>100</v>
      </c>
      <c r="C235" t="s">
        <v>101</v>
      </c>
      <c r="D235">
        <v>0</v>
      </c>
      <c r="E235" t="s">
        <v>79</v>
      </c>
      <c r="F235" s="192"/>
      <c r="G235" s="192"/>
      <c r="H235" s="192"/>
      <c r="I235" s="192"/>
      <c r="J235" s="192"/>
      <c r="K235" s="192"/>
      <c r="L235" s="192"/>
      <c r="M235" s="192">
        <v>2305.3180000000002</v>
      </c>
      <c r="N235" s="192">
        <v>2311.35228615813</v>
      </c>
      <c r="O235" s="192">
        <v>2325.4213540903602</v>
      </c>
      <c r="P235" s="192">
        <v>2347.4077730576801</v>
      </c>
      <c r="Q235" s="192">
        <v>2367.7925834623502</v>
      </c>
      <c r="R235" s="192">
        <v>2388.2779908109001</v>
      </c>
      <c r="S235" s="192">
        <v>2408.72737654704</v>
      </c>
      <c r="T235" s="192">
        <v>2429.2194492581002</v>
      </c>
      <c r="U235" s="192"/>
    </row>
    <row r="236" spans="1:21" x14ac:dyDescent="0.25">
      <c r="A236" t="s">
        <v>34</v>
      </c>
      <c r="B236" t="s">
        <v>102</v>
      </c>
      <c r="C236" t="s">
        <v>103</v>
      </c>
      <c r="D236" t="s">
        <v>25</v>
      </c>
      <c r="E236" t="s">
        <v>79</v>
      </c>
      <c r="F236" s="191"/>
      <c r="G236" s="191"/>
      <c r="H236" s="191"/>
      <c r="I236" s="191"/>
      <c r="J236" s="191"/>
      <c r="K236" s="191"/>
      <c r="L236" s="191"/>
      <c r="M236" s="191"/>
      <c r="N236" s="191"/>
      <c r="O236" s="191"/>
      <c r="P236" s="191"/>
      <c r="Q236" s="191"/>
      <c r="R236" s="191"/>
      <c r="S236" s="191"/>
      <c r="T236" s="191"/>
      <c r="U236" s="191">
        <v>0</v>
      </c>
    </row>
    <row r="237" spans="1:21" x14ac:dyDescent="0.25">
      <c r="A237" t="s">
        <v>34</v>
      </c>
      <c r="B237" t="s">
        <v>104</v>
      </c>
      <c r="C237" t="s">
        <v>105</v>
      </c>
      <c r="D237" t="s">
        <v>25</v>
      </c>
      <c r="E237" t="s">
        <v>79</v>
      </c>
      <c r="F237" s="191"/>
      <c r="G237" s="191"/>
      <c r="H237" s="191"/>
      <c r="I237" s="191"/>
      <c r="J237" s="191"/>
      <c r="K237" s="191"/>
      <c r="L237" s="191"/>
      <c r="M237" s="191"/>
      <c r="N237" s="191"/>
      <c r="O237" s="191"/>
      <c r="P237" s="191"/>
      <c r="Q237" s="191"/>
      <c r="R237" s="191"/>
      <c r="S237" s="191"/>
      <c r="T237" s="191"/>
      <c r="U237" s="191">
        <v>0</v>
      </c>
    </row>
    <row r="238" spans="1:21" x14ac:dyDescent="0.25">
      <c r="A238" t="s">
        <v>35</v>
      </c>
      <c r="B238" t="s">
        <v>77</v>
      </c>
      <c r="C238" t="s">
        <v>78</v>
      </c>
      <c r="D238" t="s">
        <v>25</v>
      </c>
      <c r="E238" t="s">
        <v>79</v>
      </c>
      <c r="F238" s="186"/>
      <c r="G238" s="186">
        <v>0</v>
      </c>
      <c r="H238" s="186">
        <v>0</v>
      </c>
      <c r="I238" s="186">
        <v>0</v>
      </c>
      <c r="J238" s="186">
        <v>0</v>
      </c>
      <c r="K238" s="186">
        <v>0</v>
      </c>
      <c r="L238" s="186">
        <v>0</v>
      </c>
      <c r="M238" s="186">
        <v>1.1950000000000001</v>
      </c>
      <c r="N238" s="186">
        <v>0</v>
      </c>
      <c r="O238" s="186">
        <v>0</v>
      </c>
      <c r="P238" s="186">
        <v>0</v>
      </c>
      <c r="Q238" s="186">
        <v>0</v>
      </c>
      <c r="R238" s="186">
        <v>0</v>
      </c>
      <c r="S238" s="186">
        <v>0</v>
      </c>
      <c r="T238" s="186">
        <v>0</v>
      </c>
      <c r="U238" s="186"/>
    </row>
    <row r="239" spans="1:21" x14ac:dyDescent="0.25">
      <c r="A239" t="s">
        <v>35</v>
      </c>
      <c r="B239" t="s">
        <v>80</v>
      </c>
      <c r="C239" t="s">
        <v>81</v>
      </c>
      <c r="D239" t="s">
        <v>25</v>
      </c>
      <c r="E239" t="s">
        <v>79</v>
      </c>
      <c r="F239" s="186"/>
      <c r="G239" s="186">
        <v>0</v>
      </c>
      <c r="H239" s="186">
        <v>0</v>
      </c>
      <c r="I239" s="186">
        <v>0</v>
      </c>
      <c r="J239" s="186">
        <v>0</v>
      </c>
      <c r="K239" s="186">
        <v>0</v>
      </c>
      <c r="L239" s="186">
        <v>0</v>
      </c>
      <c r="M239" s="186">
        <v>0.72199999999999998</v>
      </c>
      <c r="N239" s="186">
        <v>0</v>
      </c>
      <c r="O239" s="186">
        <v>0</v>
      </c>
      <c r="P239" s="186">
        <v>12.7246502838666</v>
      </c>
      <c r="Q239" s="186">
        <v>15.209147751048301</v>
      </c>
      <c r="R239" s="186">
        <v>7.3027462368216698</v>
      </c>
      <c r="S239" s="186">
        <v>6.2594906781858102</v>
      </c>
      <c r="T239" s="186">
        <v>0</v>
      </c>
      <c r="U239" s="186"/>
    </row>
    <row r="240" spans="1:21" x14ac:dyDescent="0.25">
      <c r="A240" t="s">
        <v>35</v>
      </c>
      <c r="B240" t="s">
        <v>82</v>
      </c>
      <c r="C240" t="s">
        <v>83</v>
      </c>
      <c r="D240" t="s">
        <v>25</v>
      </c>
      <c r="E240" t="s">
        <v>79</v>
      </c>
      <c r="F240" s="186"/>
      <c r="G240" s="186">
        <v>0</v>
      </c>
      <c r="H240" s="186">
        <v>0</v>
      </c>
      <c r="I240" s="186">
        <v>0</v>
      </c>
      <c r="J240" s="186">
        <v>0</v>
      </c>
      <c r="K240" s="186">
        <v>0</v>
      </c>
      <c r="L240" s="186">
        <v>1.52514698399672</v>
      </c>
      <c r="M240" s="186">
        <v>0</v>
      </c>
      <c r="N240" s="186">
        <v>0</v>
      </c>
      <c r="O240" s="186">
        <v>0</v>
      </c>
      <c r="P240" s="186">
        <v>0</v>
      </c>
      <c r="Q240" s="186">
        <v>0</v>
      </c>
      <c r="R240" s="186">
        <v>0</v>
      </c>
      <c r="S240" s="186">
        <v>0</v>
      </c>
      <c r="T240" s="186">
        <v>0</v>
      </c>
      <c r="U240" s="186"/>
    </row>
    <row r="241" spans="1:21" x14ac:dyDescent="0.25">
      <c r="A241" t="s">
        <v>35</v>
      </c>
      <c r="B241" t="s">
        <v>84</v>
      </c>
      <c r="C241" t="s">
        <v>85</v>
      </c>
      <c r="D241" t="s">
        <v>25</v>
      </c>
      <c r="E241" t="s">
        <v>79</v>
      </c>
      <c r="F241" s="186"/>
      <c r="G241" s="186">
        <v>0</v>
      </c>
      <c r="H241" s="186">
        <v>5.8375720448662598</v>
      </c>
      <c r="I241" s="186">
        <v>4.5396610885733599</v>
      </c>
      <c r="J241" s="186">
        <v>2.0900810562379898E-2</v>
      </c>
      <c r="K241" s="186">
        <v>3.9526034941763601</v>
      </c>
      <c r="L241" s="186">
        <v>2.12863717685679</v>
      </c>
      <c r="M241" s="186">
        <v>0</v>
      </c>
      <c r="N241" s="186">
        <v>0</v>
      </c>
      <c r="O241" s="186">
        <v>0</v>
      </c>
      <c r="P241" s="186">
        <v>9.08</v>
      </c>
      <c r="Q241" s="186">
        <v>9.08</v>
      </c>
      <c r="R241" s="186">
        <v>9.08</v>
      </c>
      <c r="S241" s="186">
        <v>9.08</v>
      </c>
      <c r="T241" s="186">
        <v>9.08</v>
      </c>
      <c r="U241" s="186"/>
    </row>
    <row r="242" spans="1:21" x14ac:dyDescent="0.25">
      <c r="A242" t="s">
        <v>35</v>
      </c>
      <c r="B242" t="s">
        <v>86</v>
      </c>
      <c r="C242" t="s">
        <v>87</v>
      </c>
      <c r="D242" t="s">
        <v>25</v>
      </c>
      <c r="E242" t="s">
        <v>79</v>
      </c>
      <c r="F242" s="186"/>
      <c r="G242" s="186">
        <v>212.92467844835201</v>
      </c>
      <c r="H242" s="186">
        <v>219.303877998274</v>
      </c>
      <c r="I242" s="186">
        <v>224.10494100743699</v>
      </c>
      <c r="J242" s="186">
        <v>216.45192930559</v>
      </c>
      <c r="K242" s="186">
        <v>237.34660881863601</v>
      </c>
      <c r="L242" s="186">
        <v>275.80733426343897</v>
      </c>
      <c r="M242" s="186">
        <v>255.57824310006501</v>
      </c>
      <c r="N242" s="186">
        <v>240.09070357975099</v>
      </c>
      <c r="O242" s="186">
        <v>226.31729095707001</v>
      </c>
      <c r="P242" s="186">
        <v>287.60997389362899</v>
      </c>
      <c r="Q242" s="186">
        <v>290.69152534758302</v>
      </c>
      <c r="R242" s="186">
        <v>281.39118041484301</v>
      </c>
      <c r="S242" s="186">
        <v>264.45966385672398</v>
      </c>
      <c r="T242" s="186">
        <v>241.87214968152301</v>
      </c>
      <c r="U242" s="186"/>
    </row>
    <row r="243" spans="1:21" x14ac:dyDescent="0.25">
      <c r="A243" t="s">
        <v>35</v>
      </c>
      <c r="B243" t="s">
        <v>44</v>
      </c>
      <c r="C243" t="s">
        <v>88</v>
      </c>
      <c r="D243" t="s">
        <v>25</v>
      </c>
      <c r="E243" t="s">
        <v>79</v>
      </c>
      <c r="F243" s="191"/>
      <c r="G243" s="191"/>
      <c r="H243" s="191"/>
      <c r="I243" s="191"/>
      <c r="J243" s="191"/>
      <c r="K243" s="191"/>
      <c r="L243" s="191"/>
      <c r="M243" s="191">
        <v>0</v>
      </c>
      <c r="N243" s="191">
        <v>0</v>
      </c>
      <c r="O243" s="191">
        <v>0</v>
      </c>
      <c r="P243" s="191">
        <v>0</v>
      </c>
      <c r="Q243" s="191">
        <v>0</v>
      </c>
      <c r="R243" s="191">
        <v>0</v>
      </c>
      <c r="S243" s="191">
        <v>0</v>
      </c>
      <c r="T243" s="191">
        <v>0</v>
      </c>
      <c r="U243" s="191"/>
    </row>
    <row r="244" spans="1:21" x14ac:dyDescent="0.25">
      <c r="A244" t="s">
        <v>35</v>
      </c>
      <c r="B244" t="s">
        <v>45</v>
      </c>
      <c r="C244" t="s">
        <v>89</v>
      </c>
      <c r="D244" t="s">
        <v>25</v>
      </c>
      <c r="E244" t="s">
        <v>79</v>
      </c>
      <c r="F244" s="191"/>
      <c r="G244" s="191"/>
      <c r="H244" s="191"/>
      <c r="I244" s="191"/>
      <c r="J244" s="191"/>
      <c r="K244" s="191"/>
      <c r="L244" s="191"/>
      <c r="M244" s="191">
        <v>0</v>
      </c>
      <c r="N244" s="191">
        <v>0</v>
      </c>
      <c r="O244" s="191">
        <v>0</v>
      </c>
      <c r="P244" s="191">
        <v>0</v>
      </c>
      <c r="Q244" s="191">
        <v>0</v>
      </c>
      <c r="R244" s="191">
        <v>0</v>
      </c>
      <c r="S244" s="191">
        <v>0</v>
      </c>
      <c r="T244" s="191">
        <v>0</v>
      </c>
      <c r="U244" s="191"/>
    </row>
    <row r="245" spans="1:21" x14ac:dyDescent="0.25">
      <c r="A245" t="s">
        <v>35</v>
      </c>
      <c r="B245" t="s">
        <v>46</v>
      </c>
      <c r="C245" t="s">
        <v>90</v>
      </c>
      <c r="D245" t="s">
        <v>25</v>
      </c>
      <c r="E245" t="s">
        <v>79</v>
      </c>
      <c r="F245" s="191"/>
      <c r="G245" s="191"/>
      <c r="H245" s="191"/>
      <c r="I245" s="191"/>
      <c r="J245" s="191"/>
      <c r="K245" s="191"/>
      <c r="L245" s="191"/>
      <c r="M245" s="191">
        <v>0</v>
      </c>
      <c r="N245" s="191">
        <v>0</v>
      </c>
      <c r="O245" s="191">
        <v>0</v>
      </c>
      <c r="P245" s="191">
        <v>0</v>
      </c>
      <c r="Q245" s="191">
        <v>0</v>
      </c>
      <c r="R245" s="191">
        <v>0</v>
      </c>
      <c r="S245" s="191">
        <v>0</v>
      </c>
      <c r="T245" s="191">
        <v>0</v>
      </c>
      <c r="U245" s="191"/>
    </row>
    <row r="246" spans="1:21" x14ac:dyDescent="0.25">
      <c r="A246" t="s">
        <v>35</v>
      </c>
      <c r="B246" t="s">
        <v>47</v>
      </c>
      <c r="C246" t="s">
        <v>91</v>
      </c>
      <c r="D246" t="s">
        <v>25</v>
      </c>
      <c r="E246" t="s">
        <v>79</v>
      </c>
      <c r="F246" s="191"/>
      <c r="G246" s="191"/>
      <c r="H246" s="191"/>
      <c r="I246" s="191"/>
      <c r="J246" s="191"/>
      <c r="K246" s="191"/>
      <c r="L246" s="191"/>
      <c r="M246" s="191">
        <v>4.6479999999999997</v>
      </c>
      <c r="N246" s="191">
        <v>3.1840000000000002</v>
      </c>
      <c r="O246" s="191">
        <v>2.879</v>
      </c>
      <c r="P246" s="191">
        <v>10.337</v>
      </c>
      <c r="Q246" s="191">
        <v>10.337</v>
      </c>
      <c r="R246" s="191">
        <v>10.337</v>
      </c>
      <c r="S246" s="191">
        <v>10.337</v>
      </c>
      <c r="T246" s="191">
        <v>10.337</v>
      </c>
      <c r="U246" s="191"/>
    </row>
    <row r="247" spans="1:21" x14ac:dyDescent="0.25">
      <c r="A247" t="s">
        <v>35</v>
      </c>
      <c r="B247" t="s">
        <v>15</v>
      </c>
      <c r="C247" t="s">
        <v>92</v>
      </c>
      <c r="D247" t="s">
        <v>93</v>
      </c>
      <c r="E247" t="s">
        <v>79</v>
      </c>
      <c r="F247" s="186"/>
      <c r="G247" s="186"/>
      <c r="H247" s="186"/>
      <c r="I247" s="186"/>
      <c r="J247" s="186"/>
      <c r="K247" s="186"/>
      <c r="L247" s="186"/>
      <c r="M247" s="186">
        <v>5</v>
      </c>
      <c r="N247" s="186">
        <v>8.6300000000000008</v>
      </c>
      <c r="O247" s="186">
        <v>0</v>
      </c>
      <c r="P247" s="186">
        <v>2.0699999999999998</v>
      </c>
      <c r="Q247" s="186">
        <v>0.14000000000000001</v>
      </c>
      <c r="R247" s="186">
        <v>1.32</v>
      </c>
      <c r="S247" s="186">
        <v>5</v>
      </c>
      <c r="T247" s="186">
        <v>0</v>
      </c>
      <c r="U247" s="186"/>
    </row>
    <row r="248" spans="1:21" x14ac:dyDescent="0.25">
      <c r="A248" t="s">
        <v>35</v>
      </c>
      <c r="B248" t="s">
        <v>16</v>
      </c>
      <c r="C248" t="s">
        <v>94</v>
      </c>
      <c r="D248" t="s">
        <v>93</v>
      </c>
      <c r="E248" t="s">
        <v>79</v>
      </c>
      <c r="F248" s="186"/>
      <c r="G248" s="186"/>
      <c r="H248" s="186"/>
      <c r="I248" s="186"/>
      <c r="J248" s="186"/>
      <c r="K248" s="186"/>
      <c r="L248" s="186"/>
      <c r="M248" s="186">
        <v>5</v>
      </c>
      <c r="N248" s="186">
        <v>1.97</v>
      </c>
      <c r="O248" s="186">
        <v>0</v>
      </c>
      <c r="P248" s="186">
        <v>2.0699999999999998</v>
      </c>
      <c r="Q248" s="186">
        <v>0.14000000000000001</v>
      </c>
      <c r="R248" s="186">
        <v>0.97</v>
      </c>
      <c r="S248" s="186">
        <v>5</v>
      </c>
      <c r="T248" s="186">
        <v>0</v>
      </c>
      <c r="U248" s="186"/>
    </row>
    <row r="249" spans="1:21" x14ac:dyDescent="0.25">
      <c r="A249" t="s">
        <v>35</v>
      </c>
      <c r="B249" t="s">
        <v>17</v>
      </c>
      <c r="C249" t="s">
        <v>95</v>
      </c>
      <c r="D249" t="s">
        <v>93</v>
      </c>
      <c r="E249" t="s">
        <v>79</v>
      </c>
      <c r="F249" s="186"/>
      <c r="G249" s="186"/>
      <c r="H249" s="186"/>
      <c r="I249" s="186"/>
      <c r="J249" s="186"/>
      <c r="K249" s="186"/>
      <c r="L249" s="186"/>
      <c r="M249" s="186">
        <v>29.643767700386501</v>
      </c>
      <c r="N249" s="186">
        <v>15.6794494719</v>
      </c>
      <c r="O249" s="186">
        <v>12.3054314715</v>
      </c>
      <c r="P249" s="186">
        <v>11.979289041942099</v>
      </c>
      <c r="Q249" s="186">
        <v>11.3284683759421</v>
      </c>
      <c r="R249" s="186">
        <v>11.8766442319421</v>
      </c>
      <c r="S249" s="186">
        <v>14.029746141249699</v>
      </c>
      <c r="T249" s="186">
        <v>9.7390218386345104</v>
      </c>
      <c r="U249" s="186"/>
    </row>
    <row r="250" spans="1:21" x14ac:dyDescent="0.25">
      <c r="A250" t="s">
        <v>35</v>
      </c>
      <c r="B250" t="s">
        <v>18</v>
      </c>
      <c r="C250" t="s">
        <v>96</v>
      </c>
      <c r="D250" t="s">
        <v>93</v>
      </c>
      <c r="E250" t="s">
        <v>79</v>
      </c>
      <c r="F250" s="186"/>
      <c r="G250" s="186"/>
      <c r="H250" s="186"/>
      <c r="I250" s="186"/>
      <c r="J250" s="186"/>
      <c r="K250" s="186"/>
      <c r="L250" s="186"/>
      <c r="M250" s="186">
        <v>29.643767700386501</v>
      </c>
      <c r="N250" s="186">
        <v>15.6794494719</v>
      </c>
      <c r="O250" s="186">
        <v>12.3054314715</v>
      </c>
      <c r="P250" s="186">
        <v>11.979289041942099</v>
      </c>
      <c r="Q250" s="186">
        <v>11.3284683759421</v>
      </c>
      <c r="R250" s="186">
        <v>11.8766442319421</v>
      </c>
      <c r="S250" s="186">
        <v>14.029746141249699</v>
      </c>
      <c r="T250" s="186">
        <v>9.7390218386345104</v>
      </c>
      <c r="U250" s="186"/>
    </row>
    <row r="251" spans="1:21" x14ac:dyDescent="0.25">
      <c r="A251" t="s">
        <v>35</v>
      </c>
      <c r="B251" t="s">
        <v>23</v>
      </c>
      <c r="C251" t="s">
        <v>97</v>
      </c>
      <c r="D251" t="s">
        <v>93</v>
      </c>
      <c r="E251" t="s">
        <v>79</v>
      </c>
      <c r="F251" s="186"/>
      <c r="G251" s="186"/>
      <c r="H251" s="186"/>
      <c r="I251" s="186"/>
      <c r="J251" s="186"/>
      <c r="K251" s="186"/>
      <c r="L251" s="186"/>
      <c r="M251" s="186">
        <v>172.67</v>
      </c>
      <c r="N251" s="186">
        <v>200.61</v>
      </c>
      <c r="O251" s="186">
        <v>158.08000000000001</v>
      </c>
      <c r="P251" s="186">
        <v>150.91</v>
      </c>
      <c r="Q251" s="186">
        <v>146.47</v>
      </c>
      <c r="R251" s="186">
        <v>141.88999999999999</v>
      </c>
      <c r="S251" s="186">
        <v>135.38</v>
      </c>
      <c r="T251" s="186">
        <v>131.84</v>
      </c>
      <c r="U251" s="186"/>
    </row>
    <row r="252" spans="1:21" x14ac:dyDescent="0.25">
      <c r="A252" t="s">
        <v>35</v>
      </c>
      <c r="B252" t="s">
        <v>48</v>
      </c>
      <c r="C252" t="s">
        <v>98</v>
      </c>
      <c r="D252" t="s">
        <v>99</v>
      </c>
      <c r="E252" t="s">
        <v>79</v>
      </c>
      <c r="F252" s="186"/>
      <c r="G252" s="186"/>
      <c r="H252" s="186"/>
      <c r="I252" s="186"/>
      <c r="J252" s="186"/>
      <c r="K252" s="186"/>
      <c r="L252" s="186"/>
      <c r="M252" s="186">
        <v>16682.8</v>
      </c>
      <c r="N252" s="186">
        <v>16729.8</v>
      </c>
      <c r="O252" s="186">
        <v>16769.8</v>
      </c>
      <c r="P252" s="186">
        <v>16818.8</v>
      </c>
      <c r="Q252" s="186">
        <v>16867.8</v>
      </c>
      <c r="R252" s="186">
        <v>16916.8</v>
      </c>
      <c r="S252" s="186">
        <v>16978.8</v>
      </c>
      <c r="T252" s="186">
        <v>17028</v>
      </c>
      <c r="U252" s="186"/>
    </row>
    <row r="253" spans="1:21" x14ac:dyDescent="0.25">
      <c r="A253" t="s">
        <v>35</v>
      </c>
      <c r="B253" t="s">
        <v>100</v>
      </c>
      <c r="C253" t="s">
        <v>101</v>
      </c>
      <c r="D253">
        <v>0</v>
      </c>
      <c r="E253" t="s">
        <v>79</v>
      </c>
      <c r="F253" s="192"/>
      <c r="G253" s="192"/>
      <c r="H253" s="192"/>
      <c r="I253" s="192"/>
      <c r="J253" s="192"/>
      <c r="K253" s="192"/>
      <c r="L253" s="192"/>
      <c r="M253" s="192">
        <v>1500.1959999999999</v>
      </c>
      <c r="N253" s="192">
        <v>1517.019</v>
      </c>
      <c r="O253" s="192">
        <v>1526.126</v>
      </c>
      <c r="P253" s="192">
        <v>1546.7360000000001</v>
      </c>
      <c r="Q253" s="192">
        <v>1563.1669999999999</v>
      </c>
      <c r="R253" s="192">
        <v>1579.6089999999999</v>
      </c>
      <c r="S253" s="192">
        <v>1596.059</v>
      </c>
      <c r="T253" s="192">
        <v>1612.5170000000001</v>
      </c>
      <c r="U253" s="192"/>
    </row>
    <row r="254" spans="1:21" x14ac:dyDescent="0.25">
      <c r="A254" t="s">
        <v>35</v>
      </c>
      <c r="B254" t="s">
        <v>102</v>
      </c>
      <c r="C254" t="s">
        <v>103</v>
      </c>
      <c r="D254" t="s">
        <v>25</v>
      </c>
      <c r="E254" t="s">
        <v>79</v>
      </c>
      <c r="F254" s="191"/>
      <c r="G254" s="191"/>
      <c r="H254" s="191"/>
      <c r="I254" s="191"/>
      <c r="J254" s="191"/>
      <c r="K254" s="191"/>
      <c r="L254" s="191"/>
      <c r="M254" s="191"/>
      <c r="N254" s="191"/>
      <c r="O254" s="191"/>
      <c r="P254" s="191"/>
      <c r="Q254" s="191"/>
      <c r="R254" s="191"/>
      <c r="S254" s="191"/>
      <c r="T254" s="191"/>
      <c r="U254" s="191">
        <v>0</v>
      </c>
    </row>
    <row r="255" spans="1:21" x14ac:dyDescent="0.25">
      <c r="A255" t="s">
        <v>35</v>
      </c>
      <c r="B255" t="s">
        <v>104</v>
      </c>
      <c r="C255" t="s">
        <v>105</v>
      </c>
      <c r="D255" t="s">
        <v>25</v>
      </c>
      <c r="E255" t="s">
        <v>79</v>
      </c>
      <c r="F255" s="191"/>
      <c r="G255" s="191"/>
      <c r="H255" s="191"/>
      <c r="I255" s="191"/>
      <c r="J255" s="191"/>
      <c r="K255" s="191"/>
      <c r="L255" s="191"/>
      <c r="M255" s="191"/>
      <c r="N255" s="191"/>
      <c r="O255" s="191"/>
      <c r="P255" s="191"/>
      <c r="Q255" s="191"/>
      <c r="R255" s="191"/>
      <c r="S255" s="191"/>
      <c r="T255" s="191"/>
      <c r="U255" s="191">
        <v>0</v>
      </c>
    </row>
    <row r="256" spans="1:21" x14ac:dyDescent="0.25">
      <c r="A256" t="s">
        <v>110</v>
      </c>
      <c r="B256" t="s">
        <v>77</v>
      </c>
      <c r="C256" t="s">
        <v>78</v>
      </c>
      <c r="D256" t="s">
        <v>25</v>
      </c>
      <c r="E256" t="s">
        <v>79</v>
      </c>
      <c r="F256" s="186"/>
      <c r="G256" s="186">
        <v>0</v>
      </c>
      <c r="H256" s="186">
        <v>0</v>
      </c>
      <c r="I256" s="186">
        <v>0</v>
      </c>
      <c r="J256" s="186">
        <v>0</v>
      </c>
      <c r="K256" s="186">
        <v>0</v>
      </c>
      <c r="L256" s="186">
        <v>0</v>
      </c>
      <c r="M256" s="186">
        <v>0</v>
      </c>
      <c r="N256" s="186">
        <v>0</v>
      </c>
      <c r="O256" s="186">
        <v>0</v>
      </c>
      <c r="P256" s="186">
        <v>0</v>
      </c>
      <c r="Q256" s="186">
        <v>0</v>
      </c>
      <c r="R256" s="186">
        <v>0</v>
      </c>
      <c r="S256" s="186">
        <v>0</v>
      </c>
      <c r="T256" s="186">
        <v>0</v>
      </c>
      <c r="U256" s="186"/>
    </row>
    <row r="257" spans="1:21" x14ac:dyDescent="0.25">
      <c r="A257" t="s">
        <v>110</v>
      </c>
      <c r="B257" t="s">
        <v>80</v>
      </c>
      <c r="C257" t="s">
        <v>81</v>
      </c>
      <c r="D257" t="s">
        <v>25</v>
      </c>
      <c r="E257" t="s">
        <v>79</v>
      </c>
      <c r="F257" s="186"/>
      <c r="G257" s="186">
        <v>0</v>
      </c>
      <c r="H257" s="186">
        <v>0</v>
      </c>
      <c r="I257" s="186">
        <v>0</v>
      </c>
      <c r="J257" s="186">
        <v>0</v>
      </c>
      <c r="K257" s="186">
        <v>0</v>
      </c>
      <c r="L257" s="186">
        <v>0</v>
      </c>
      <c r="M257" s="186">
        <v>0</v>
      </c>
      <c r="N257" s="186">
        <v>0</v>
      </c>
      <c r="O257" s="186">
        <v>0</v>
      </c>
      <c r="P257" s="186">
        <v>0</v>
      </c>
      <c r="Q257" s="186">
        <v>0</v>
      </c>
      <c r="R257" s="186">
        <v>0</v>
      </c>
      <c r="S257" s="186">
        <v>0</v>
      </c>
      <c r="T257" s="186">
        <v>0</v>
      </c>
      <c r="U257" s="186"/>
    </row>
    <row r="258" spans="1:21" x14ac:dyDescent="0.25">
      <c r="A258" t="s">
        <v>110</v>
      </c>
      <c r="B258" t="s">
        <v>82</v>
      </c>
      <c r="C258" t="s">
        <v>83</v>
      </c>
      <c r="D258" t="s">
        <v>25</v>
      </c>
      <c r="E258" t="s">
        <v>79</v>
      </c>
      <c r="F258" s="186"/>
      <c r="G258" s="186">
        <v>0</v>
      </c>
      <c r="H258" s="186">
        <v>0</v>
      </c>
      <c r="I258" s="186">
        <v>0</v>
      </c>
      <c r="J258" s="186">
        <v>0</v>
      </c>
      <c r="K258" s="186">
        <v>0</v>
      </c>
      <c r="L258" s="186">
        <v>0</v>
      </c>
      <c r="M258" s="186">
        <v>0</v>
      </c>
      <c r="N258" s="186">
        <v>0</v>
      </c>
      <c r="O258" s="186">
        <v>0</v>
      </c>
      <c r="P258" s="186">
        <v>0</v>
      </c>
      <c r="Q258" s="186">
        <v>0</v>
      </c>
      <c r="R258" s="186">
        <v>0</v>
      </c>
      <c r="S258" s="186">
        <v>0</v>
      </c>
      <c r="T258" s="186">
        <v>0</v>
      </c>
      <c r="U258" s="186"/>
    </row>
    <row r="259" spans="1:21" x14ac:dyDescent="0.25">
      <c r="A259" t="s">
        <v>110</v>
      </c>
      <c r="B259" t="s">
        <v>84</v>
      </c>
      <c r="C259" t="s">
        <v>85</v>
      </c>
      <c r="D259" t="s">
        <v>25</v>
      </c>
      <c r="E259" t="s">
        <v>79</v>
      </c>
      <c r="F259" s="186"/>
      <c r="G259" s="186">
        <v>0</v>
      </c>
      <c r="H259" s="186">
        <v>0</v>
      </c>
      <c r="I259" s="186">
        <v>0</v>
      </c>
      <c r="J259" s="186">
        <v>0</v>
      </c>
      <c r="K259" s="186">
        <v>5.2021630615640604E-3</v>
      </c>
      <c r="L259" s="186">
        <v>0</v>
      </c>
      <c r="M259" s="186">
        <v>0</v>
      </c>
      <c r="N259" s="186">
        <v>0</v>
      </c>
      <c r="O259" s="186">
        <v>0</v>
      </c>
      <c r="P259" s="186">
        <v>0</v>
      </c>
      <c r="Q259" s="186">
        <v>0</v>
      </c>
      <c r="R259" s="186">
        <v>0</v>
      </c>
      <c r="S259" s="186">
        <v>0</v>
      </c>
      <c r="T259" s="186">
        <v>0</v>
      </c>
      <c r="U259" s="186"/>
    </row>
    <row r="260" spans="1:21" x14ac:dyDescent="0.25">
      <c r="A260" t="s">
        <v>110</v>
      </c>
      <c r="B260" t="s">
        <v>86</v>
      </c>
      <c r="C260" t="s">
        <v>87</v>
      </c>
      <c r="D260" t="s">
        <v>25</v>
      </c>
      <c r="E260" t="s">
        <v>79</v>
      </c>
      <c r="F260" s="186"/>
      <c r="G260" s="186">
        <v>27.845381991693898</v>
      </c>
      <c r="H260" s="186">
        <v>26.162249870578101</v>
      </c>
      <c r="I260" s="186">
        <v>30.2651118999324</v>
      </c>
      <c r="J260" s="186">
        <v>28.388525946352502</v>
      </c>
      <c r="K260" s="186">
        <v>26.035785690515802</v>
      </c>
      <c r="L260" s="186">
        <v>0</v>
      </c>
      <c r="M260" s="186">
        <v>0</v>
      </c>
      <c r="N260" s="186">
        <v>0</v>
      </c>
      <c r="O260" s="186">
        <v>0</v>
      </c>
      <c r="P260" s="186">
        <v>0</v>
      </c>
      <c r="Q260" s="186">
        <v>0</v>
      </c>
      <c r="R260" s="186">
        <v>0</v>
      </c>
      <c r="S260" s="186">
        <v>0</v>
      </c>
      <c r="T260" s="186">
        <v>0</v>
      </c>
      <c r="U260" s="186"/>
    </row>
    <row r="261" spans="1:21" x14ac:dyDescent="0.25">
      <c r="A261" t="s">
        <v>110</v>
      </c>
      <c r="B261" t="s">
        <v>44</v>
      </c>
      <c r="C261" t="s">
        <v>88</v>
      </c>
      <c r="D261" t="s">
        <v>25</v>
      </c>
      <c r="E261" t="s">
        <v>79</v>
      </c>
      <c r="F261" s="191"/>
      <c r="G261" s="191"/>
      <c r="H261" s="191"/>
      <c r="I261" s="191"/>
      <c r="J261" s="191"/>
      <c r="K261" s="191"/>
      <c r="L261" s="191"/>
      <c r="M261" s="191">
        <v>0</v>
      </c>
      <c r="N261" s="191">
        <v>0</v>
      </c>
      <c r="O261" s="191">
        <v>0</v>
      </c>
      <c r="P261" s="191">
        <v>0</v>
      </c>
      <c r="Q261" s="191">
        <v>0</v>
      </c>
      <c r="R261" s="191">
        <v>0</v>
      </c>
      <c r="S261" s="191">
        <v>0</v>
      </c>
      <c r="T261" s="191">
        <v>0</v>
      </c>
      <c r="U261" s="191"/>
    </row>
    <row r="262" spans="1:21" x14ac:dyDescent="0.25">
      <c r="A262" t="s">
        <v>110</v>
      </c>
      <c r="B262" t="s">
        <v>45</v>
      </c>
      <c r="C262" t="s">
        <v>89</v>
      </c>
      <c r="D262" t="s">
        <v>25</v>
      </c>
      <c r="E262" t="s">
        <v>79</v>
      </c>
      <c r="F262" s="191"/>
      <c r="G262" s="191"/>
      <c r="H262" s="191"/>
      <c r="I262" s="191"/>
      <c r="J262" s="191"/>
      <c r="K262" s="191"/>
      <c r="L262" s="191"/>
      <c r="M262" s="191">
        <v>0</v>
      </c>
      <c r="N262" s="191">
        <v>0</v>
      </c>
      <c r="O262" s="191">
        <v>0</v>
      </c>
      <c r="P262" s="191">
        <v>0</v>
      </c>
      <c r="Q262" s="191">
        <v>0</v>
      </c>
      <c r="R262" s="191">
        <v>0</v>
      </c>
      <c r="S262" s="191">
        <v>0</v>
      </c>
      <c r="T262" s="191">
        <v>0</v>
      </c>
      <c r="U262" s="191"/>
    </row>
    <row r="263" spans="1:21" x14ac:dyDescent="0.25">
      <c r="A263" t="s">
        <v>110</v>
      </c>
      <c r="B263" t="s">
        <v>46</v>
      </c>
      <c r="C263" t="s">
        <v>90</v>
      </c>
      <c r="D263" t="s">
        <v>25</v>
      </c>
      <c r="E263" t="s">
        <v>79</v>
      </c>
      <c r="F263" s="191"/>
      <c r="G263" s="191"/>
      <c r="H263" s="191"/>
      <c r="I263" s="191"/>
      <c r="J263" s="191"/>
      <c r="K263" s="191"/>
      <c r="L263" s="191"/>
      <c r="M263" s="191">
        <v>0</v>
      </c>
      <c r="N263" s="191">
        <v>0</v>
      </c>
      <c r="O263" s="191">
        <v>0</v>
      </c>
      <c r="P263" s="191">
        <v>0</v>
      </c>
      <c r="Q263" s="191">
        <v>0</v>
      </c>
      <c r="R263" s="191">
        <v>0</v>
      </c>
      <c r="S263" s="191">
        <v>0</v>
      </c>
      <c r="T263" s="191">
        <v>0</v>
      </c>
      <c r="U263" s="191"/>
    </row>
    <row r="264" spans="1:21" x14ac:dyDescent="0.25">
      <c r="A264" t="s">
        <v>110</v>
      </c>
      <c r="B264" t="s">
        <v>47</v>
      </c>
      <c r="C264" t="s">
        <v>91</v>
      </c>
      <c r="D264" t="s">
        <v>25</v>
      </c>
      <c r="E264" t="s">
        <v>79</v>
      </c>
      <c r="F264" s="191"/>
      <c r="G264" s="191"/>
      <c r="H264" s="191"/>
      <c r="I264" s="191"/>
      <c r="J264" s="191"/>
      <c r="K264" s="191"/>
      <c r="L264" s="191"/>
      <c r="M264" s="191">
        <v>0</v>
      </c>
      <c r="N264" s="191">
        <v>0</v>
      </c>
      <c r="O264" s="191">
        <v>0</v>
      </c>
      <c r="P264" s="191">
        <v>0</v>
      </c>
      <c r="Q264" s="191">
        <v>0</v>
      </c>
      <c r="R264" s="191">
        <v>0</v>
      </c>
      <c r="S264" s="191">
        <v>0</v>
      </c>
      <c r="T264" s="191">
        <v>0</v>
      </c>
      <c r="U264" s="191"/>
    </row>
    <row r="265" spans="1:21" x14ac:dyDescent="0.25">
      <c r="A265" t="s">
        <v>110</v>
      </c>
      <c r="B265" t="s">
        <v>15</v>
      </c>
      <c r="C265" t="s">
        <v>92</v>
      </c>
      <c r="D265" t="s">
        <v>93</v>
      </c>
      <c r="E265" t="s">
        <v>79</v>
      </c>
      <c r="F265" s="186"/>
      <c r="G265" s="186"/>
      <c r="H265" s="186"/>
      <c r="I265" s="186"/>
      <c r="J265" s="186"/>
      <c r="K265" s="186"/>
      <c r="L265" s="186"/>
      <c r="M265" s="186"/>
      <c r="N265" s="186"/>
      <c r="O265" s="186"/>
      <c r="P265" s="186"/>
      <c r="Q265" s="186"/>
      <c r="R265" s="186"/>
      <c r="S265" s="186"/>
      <c r="T265" s="186"/>
      <c r="U265" s="186"/>
    </row>
    <row r="266" spans="1:21" x14ac:dyDescent="0.25">
      <c r="A266" t="s">
        <v>110</v>
      </c>
      <c r="B266" t="s">
        <v>16</v>
      </c>
      <c r="C266" t="s">
        <v>94</v>
      </c>
      <c r="D266" t="s">
        <v>93</v>
      </c>
      <c r="E266" t="s">
        <v>79</v>
      </c>
      <c r="F266" s="186"/>
      <c r="G266" s="186"/>
      <c r="H266" s="186"/>
      <c r="I266" s="186"/>
      <c r="J266" s="186"/>
      <c r="K266" s="186"/>
      <c r="L266" s="186"/>
      <c r="M266" s="186"/>
      <c r="N266" s="186"/>
      <c r="O266" s="186"/>
      <c r="P266" s="186"/>
      <c r="Q266" s="186"/>
      <c r="R266" s="186"/>
      <c r="S266" s="186"/>
      <c r="T266" s="186"/>
      <c r="U266" s="186"/>
    </row>
    <row r="267" spans="1:21" x14ac:dyDescent="0.25">
      <c r="A267" t="s">
        <v>110</v>
      </c>
      <c r="B267" t="s">
        <v>17</v>
      </c>
      <c r="C267" t="s">
        <v>95</v>
      </c>
      <c r="D267" t="s">
        <v>93</v>
      </c>
      <c r="E267" t="s">
        <v>79</v>
      </c>
      <c r="F267" s="186"/>
      <c r="G267" s="186"/>
      <c r="H267" s="186"/>
      <c r="I267" s="186"/>
      <c r="J267" s="186"/>
      <c r="K267" s="186"/>
      <c r="L267" s="186"/>
      <c r="M267" s="186"/>
      <c r="N267" s="186"/>
      <c r="O267" s="186"/>
      <c r="P267" s="186"/>
      <c r="Q267" s="186"/>
      <c r="R267" s="186"/>
      <c r="S267" s="186"/>
      <c r="T267" s="186"/>
      <c r="U267" s="186"/>
    </row>
    <row r="268" spans="1:21" x14ac:dyDescent="0.25">
      <c r="A268" t="s">
        <v>110</v>
      </c>
      <c r="B268" t="s">
        <v>18</v>
      </c>
      <c r="C268" t="s">
        <v>96</v>
      </c>
      <c r="D268" t="s">
        <v>93</v>
      </c>
      <c r="E268" t="s">
        <v>79</v>
      </c>
      <c r="F268" s="186"/>
      <c r="G268" s="186"/>
      <c r="H268" s="186"/>
      <c r="I268" s="186"/>
      <c r="J268" s="186"/>
      <c r="K268" s="186"/>
      <c r="L268" s="186"/>
      <c r="M268" s="186"/>
      <c r="N268" s="186"/>
      <c r="O268" s="186"/>
      <c r="P268" s="186"/>
      <c r="Q268" s="186"/>
      <c r="R268" s="186"/>
      <c r="S268" s="186"/>
      <c r="T268" s="186"/>
      <c r="U268" s="186"/>
    </row>
    <row r="269" spans="1:21" x14ac:dyDescent="0.25">
      <c r="A269" t="s">
        <v>110</v>
      </c>
      <c r="B269" t="s">
        <v>23</v>
      </c>
      <c r="C269" t="s">
        <v>97</v>
      </c>
      <c r="D269" t="s">
        <v>93</v>
      </c>
      <c r="E269" t="s">
        <v>79</v>
      </c>
      <c r="F269" s="186"/>
      <c r="G269" s="186"/>
      <c r="H269" s="186"/>
      <c r="I269" s="186"/>
      <c r="J269" s="186"/>
      <c r="K269" s="186"/>
      <c r="L269" s="186"/>
      <c r="M269" s="186"/>
      <c r="N269" s="186"/>
      <c r="O269" s="186"/>
      <c r="P269" s="186"/>
      <c r="Q269" s="186"/>
      <c r="R269" s="186"/>
      <c r="S269" s="186"/>
      <c r="T269" s="186"/>
      <c r="U269" s="186"/>
    </row>
    <row r="270" spans="1:21" x14ac:dyDescent="0.25">
      <c r="A270" t="s">
        <v>110</v>
      </c>
      <c r="B270" t="s">
        <v>48</v>
      </c>
      <c r="C270" t="s">
        <v>98</v>
      </c>
      <c r="D270" t="s">
        <v>99</v>
      </c>
      <c r="E270" t="s">
        <v>79</v>
      </c>
      <c r="F270" s="186"/>
      <c r="G270" s="186"/>
      <c r="H270" s="186"/>
      <c r="I270" s="186"/>
      <c r="J270" s="186"/>
      <c r="K270" s="186"/>
      <c r="L270" s="186"/>
      <c r="M270" s="186"/>
      <c r="N270" s="186"/>
      <c r="O270" s="186"/>
      <c r="P270" s="186"/>
      <c r="Q270" s="186"/>
      <c r="R270" s="186"/>
      <c r="S270" s="186"/>
      <c r="T270" s="186"/>
      <c r="U270" s="186"/>
    </row>
    <row r="271" spans="1:21" x14ac:dyDescent="0.25">
      <c r="A271" t="s">
        <v>110</v>
      </c>
      <c r="B271" t="s">
        <v>100</v>
      </c>
      <c r="C271" t="s">
        <v>101</v>
      </c>
      <c r="D271">
        <v>0</v>
      </c>
      <c r="E271" t="s">
        <v>79</v>
      </c>
      <c r="F271" s="192"/>
      <c r="G271" s="192"/>
      <c r="H271" s="192"/>
      <c r="I271" s="192"/>
      <c r="J271" s="192"/>
      <c r="K271" s="192"/>
      <c r="L271" s="192"/>
      <c r="M271" s="192">
        <v>0</v>
      </c>
      <c r="N271" s="192">
        <v>0</v>
      </c>
      <c r="O271" s="192">
        <v>0</v>
      </c>
      <c r="P271" s="192">
        <v>0</v>
      </c>
      <c r="Q271" s="192">
        <v>0</v>
      </c>
      <c r="R271" s="192">
        <v>0</v>
      </c>
      <c r="S271" s="192">
        <v>0</v>
      </c>
      <c r="T271" s="192">
        <v>0</v>
      </c>
      <c r="U271" s="192"/>
    </row>
    <row r="272" spans="1:21" x14ac:dyDescent="0.25">
      <c r="A272" t="s">
        <v>110</v>
      </c>
      <c r="B272" t="s">
        <v>102</v>
      </c>
      <c r="C272" t="s">
        <v>103</v>
      </c>
      <c r="D272" t="s">
        <v>25</v>
      </c>
      <c r="E272" t="s">
        <v>79</v>
      </c>
      <c r="F272" s="191"/>
      <c r="G272" s="191"/>
      <c r="H272" s="191"/>
      <c r="I272" s="191"/>
      <c r="J272" s="191"/>
      <c r="K272" s="191"/>
      <c r="L272" s="191"/>
      <c r="M272" s="191"/>
      <c r="N272" s="191"/>
      <c r="O272" s="191"/>
      <c r="P272" s="191"/>
      <c r="Q272" s="191"/>
      <c r="R272" s="191"/>
      <c r="S272" s="191"/>
      <c r="T272" s="191"/>
      <c r="U272" s="191"/>
    </row>
    <row r="273" spans="1:21" x14ac:dyDescent="0.25">
      <c r="A273" t="s">
        <v>110</v>
      </c>
      <c r="B273" t="s">
        <v>104</v>
      </c>
      <c r="C273" t="s">
        <v>105</v>
      </c>
      <c r="D273" t="s">
        <v>25</v>
      </c>
      <c r="E273" t="s">
        <v>79</v>
      </c>
      <c r="F273" s="191"/>
      <c r="G273" s="191"/>
      <c r="H273" s="191"/>
      <c r="I273" s="191"/>
      <c r="J273" s="191"/>
      <c r="K273" s="191"/>
      <c r="L273" s="191"/>
      <c r="M273" s="191"/>
      <c r="N273" s="191"/>
      <c r="O273" s="191"/>
      <c r="P273" s="191"/>
      <c r="Q273" s="191"/>
      <c r="R273" s="191"/>
      <c r="S273" s="191"/>
      <c r="T273" s="191"/>
      <c r="U273" s="191"/>
    </row>
    <row r="274" spans="1:21" x14ac:dyDescent="0.25">
      <c r="A274" t="s">
        <v>36</v>
      </c>
      <c r="B274" t="s">
        <v>77</v>
      </c>
      <c r="C274" t="s">
        <v>78</v>
      </c>
      <c r="D274" t="s">
        <v>25</v>
      </c>
      <c r="E274" t="s">
        <v>79</v>
      </c>
      <c r="F274" s="186"/>
      <c r="G274" s="186">
        <v>0</v>
      </c>
      <c r="H274" s="186">
        <v>0</v>
      </c>
      <c r="I274" s="186">
        <v>0</v>
      </c>
      <c r="J274" s="186">
        <v>0</v>
      </c>
      <c r="K274" s="186">
        <v>0</v>
      </c>
      <c r="L274" s="186">
        <v>0</v>
      </c>
      <c r="M274" s="186">
        <v>0</v>
      </c>
      <c r="N274" s="186">
        <v>0</v>
      </c>
      <c r="O274" s="186">
        <v>0</v>
      </c>
      <c r="P274" s="186">
        <v>0</v>
      </c>
      <c r="Q274" s="186">
        <v>0</v>
      </c>
      <c r="R274" s="186">
        <v>0</v>
      </c>
      <c r="S274" s="186">
        <v>0</v>
      </c>
      <c r="T274" s="186">
        <v>0</v>
      </c>
      <c r="U274" s="186"/>
    </row>
    <row r="275" spans="1:21" x14ac:dyDescent="0.25">
      <c r="A275" t="s">
        <v>36</v>
      </c>
      <c r="B275" t="s">
        <v>80</v>
      </c>
      <c r="C275" t="s">
        <v>81</v>
      </c>
      <c r="D275" t="s">
        <v>25</v>
      </c>
      <c r="E275" t="s">
        <v>79</v>
      </c>
      <c r="F275" s="186"/>
      <c r="G275" s="186">
        <v>0.59120880091897099</v>
      </c>
      <c r="H275" s="186">
        <v>2.41811440897325</v>
      </c>
      <c r="I275" s="186">
        <v>2.8844552062204198</v>
      </c>
      <c r="J275" s="186">
        <v>0.46922319712542798</v>
      </c>
      <c r="K275" s="186">
        <v>7.28302828618968E-3</v>
      </c>
      <c r="L275" s="186">
        <v>0</v>
      </c>
      <c r="M275" s="186">
        <v>0</v>
      </c>
      <c r="N275" s="186">
        <v>0.70249632295415398</v>
      </c>
      <c r="O275" s="186">
        <v>2.2848239090350302</v>
      </c>
      <c r="P275" s="186">
        <v>0</v>
      </c>
      <c r="Q275" s="186">
        <v>0</v>
      </c>
      <c r="R275" s="186">
        <v>0</v>
      </c>
      <c r="S275" s="186">
        <v>0</v>
      </c>
      <c r="T275" s="186">
        <v>0</v>
      </c>
      <c r="U275" s="186"/>
    </row>
    <row r="276" spans="1:21" x14ac:dyDescent="0.25">
      <c r="A276" t="s">
        <v>36</v>
      </c>
      <c r="B276" t="s">
        <v>82</v>
      </c>
      <c r="C276" t="s">
        <v>83</v>
      </c>
      <c r="D276" t="s">
        <v>25</v>
      </c>
      <c r="E276" t="s">
        <v>79</v>
      </c>
      <c r="F276" s="186"/>
      <c r="G276" s="186">
        <v>0</v>
      </c>
      <c r="H276" s="186">
        <v>0</v>
      </c>
      <c r="I276" s="186">
        <v>0</v>
      </c>
      <c r="J276" s="186">
        <v>0</v>
      </c>
      <c r="K276" s="186">
        <v>0</v>
      </c>
      <c r="L276" s="186">
        <v>0</v>
      </c>
      <c r="M276" s="186">
        <v>0</v>
      </c>
      <c r="N276" s="186">
        <v>0</v>
      </c>
      <c r="O276" s="186">
        <v>0</v>
      </c>
      <c r="P276" s="186">
        <v>0</v>
      </c>
      <c r="Q276" s="186">
        <v>0</v>
      </c>
      <c r="R276" s="186">
        <v>0</v>
      </c>
      <c r="S276" s="186">
        <v>0</v>
      </c>
      <c r="T276" s="186">
        <v>0</v>
      </c>
      <c r="U276" s="186"/>
    </row>
    <row r="277" spans="1:21" x14ac:dyDescent="0.25">
      <c r="A277" t="s">
        <v>36</v>
      </c>
      <c r="B277" t="s">
        <v>84</v>
      </c>
      <c r="C277" t="s">
        <v>85</v>
      </c>
      <c r="D277" t="s">
        <v>25</v>
      </c>
      <c r="E277" t="s">
        <v>79</v>
      </c>
      <c r="F277" s="186"/>
      <c r="G277" s="186">
        <v>4.76945268180613</v>
      </c>
      <c r="H277" s="186">
        <v>5.5268103537532296</v>
      </c>
      <c r="I277" s="186">
        <v>5.05545960108181</v>
      </c>
      <c r="J277" s="186">
        <v>3.2030492186847201</v>
      </c>
      <c r="K277" s="186">
        <v>1.7073499168053199</v>
      </c>
      <c r="L277" s="186">
        <v>3.1344541649569102</v>
      </c>
      <c r="M277" s="186">
        <v>5.4039999999999999</v>
      </c>
      <c r="N277" s="186">
        <v>1.9440949773118399</v>
      </c>
      <c r="O277" s="186">
        <v>1.09533189920098</v>
      </c>
      <c r="P277" s="186">
        <v>0.69599999999999995</v>
      </c>
      <c r="Q277" s="186">
        <v>0.69599999999999995</v>
      </c>
      <c r="R277" s="186">
        <v>0.69599999999999995</v>
      </c>
      <c r="S277" s="186">
        <v>0.69599999999999995</v>
      </c>
      <c r="T277" s="186">
        <v>0.69599999999999995</v>
      </c>
      <c r="U277" s="186"/>
    </row>
    <row r="278" spans="1:21" x14ac:dyDescent="0.25">
      <c r="A278" t="s">
        <v>36</v>
      </c>
      <c r="B278" t="s">
        <v>86</v>
      </c>
      <c r="C278" t="s">
        <v>87</v>
      </c>
      <c r="D278" t="s">
        <v>25</v>
      </c>
      <c r="E278" t="s">
        <v>79</v>
      </c>
      <c r="F278" s="186"/>
      <c r="G278" s="186">
        <v>106.85518918441301</v>
      </c>
      <c r="H278" s="186">
        <v>136.686587575495</v>
      </c>
      <c r="I278" s="186">
        <v>124.52623309668699</v>
      </c>
      <c r="J278" s="186">
        <v>111.47342809392499</v>
      </c>
      <c r="K278" s="186">
        <v>74.081923294509096</v>
      </c>
      <c r="L278" s="186">
        <v>85.121881165367199</v>
      </c>
      <c r="M278" s="186">
        <v>103.363</v>
      </c>
      <c r="N278" s="186">
        <v>104.82067000469399</v>
      </c>
      <c r="O278" s="186">
        <v>101.847611094038</v>
      </c>
      <c r="P278" s="186">
        <v>91.388000000000005</v>
      </c>
      <c r="Q278" s="186">
        <v>89.27</v>
      </c>
      <c r="R278" s="186">
        <v>89.474000000000004</v>
      </c>
      <c r="S278" s="186">
        <v>89.114000000000004</v>
      </c>
      <c r="T278" s="186">
        <v>89.552000000000007</v>
      </c>
      <c r="U278" s="186"/>
    </row>
    <row r="279" spans="1:21" x14ac:dyDescent="0.25">
      <c r="A279" t="s">
        <v>36</v>
      </c>
      <c r="B279" t="s">
        <v>44</v>
      </c>
      <c r="C279" t="s">
        <v>88</v>
      </c>
      <c r="D279" t="s">
        <v>25</v>
      </c>
      <c r="E279" t="s">
        <v>79</v>
      </c>
      <c r="F279" s="191"/>
      <c r="G279" s="191"/>
      <c r="H279" s="191"/>
      <c r="I279" s="191"/>
      <c r="J279" s="191"/>
      <c r="K279" s="191"/>
      <c r="L279" s="191"/>
      <c r="M279" s="191">
        <v>0</v>
      </c>
      <c r="N279" s="191">
        <v>0</v>
      </c>
      <c r="O279" s="191">
        <v>0</v>
      </c>
      <c r="P279" s="191">
        <v>0</v>
      </c>
      <c r="Q279" s="191">
        <v>0</v>
      </c>
      <c r="R279" s="191">
        <v>0</v>
      </c>
      <c r="S279" s="191">
        <v>0</v>
      </c>
      <c r="T279" s="191">
        <v>0</v>
      </c>
      <c r="U279" s="191"/>
    </row>
    <row r="280" spans="1:21" x14ac:dyDescent="0.25">
      <c r="A280" t="s">
        <v>36</v>
      </c>
      <c r="B280" t="s">
        <v>45</v>
      </c>
      <c r="C280" t="s">
        <v>89</v>
      </c>
      <c r="D280" t="s">
        <v>25</v>
      </c>
      <c r="E280" t="s">
        <v>79</v>
      </c>
      <c r="F280" s="191"/>
      <c r="G280" s="191"/>
      <c r="H280" s="191"/>
      <c r="I280" s="191"/>
      <c r="J280" s="191"/>
      <c r="K280" s="191"/>
      <c r="L280" s="191"/>
      <c r="M280" s="191">
        <v>0</v>
      </c>
      <c r="N280" s="191">
        <v>0</v>
      </c>
      <c r="O280" s="191">
        <v>0</v>
      </c>
      <c r="P280" s="191">
        <v>0</v>
      </c>
      <c r="Q280" s="191">
        <v>0</v>
      </c>
      <c r="R280" s="191">
        <v>0</v>
      </c>
      <c r="S280" s="191">
        <v>0</v>
      </c>
      <c r="T280" s="191">
        <v>0</v>
      </c>
      <c r="U280" s="191"/>
    </row>
    <row r="281" spans="1:21" x14ac:dyDescent="0.25">
      <c r="A281" t="s">
        <v>36</v>
      </c>
      <c r="B281" t="s">
        <v>46</v>
      </c>
      <c r="C281" t="s">
        <v>90</v>
      </c>
      <c r="D281" t="s">
        <v>25</v>
      </c>
      <c r="E281" t="s">
        <v>79</v>
      </c>
      <c r="F281" s="191"/>
      <c r="G281" s="191"/>
      <c r="H281" s="191"/>
      <c r="I281" s="191"/>
      <c r="J281" s="191"/>
      <c r="K281" s="191"/>
      <c r="L281" s="191"/>
      <c r="M281" s="191">
        <v>0</v>
      </c>
      <c r="N281" s="191">
        <v>0</v>
      </c>
      <c r="O281" s="191">
        <v>0</v>
      </c>
      <c r="P281" s="191">
        <v>0</v>
      </c>
      <c r="Q281" s="191">
        <v>0</v>
      </c>
      <c r="R281" s="191">
        <v>0</v>
      </c>
      <c r="S281" s="191">
        <v>0</v>
      </c>
      <c r="T281" s="191">
        <v>0</v>
      </c>
      <c r="U281" s="191"/>
    </row>
    <row r="282" spans="1:21" x14ac:dyDescent="0.25">
      <c r="A282" t="s">
        <v>36</v>
      </c>
      <c r="B282" t="s">
        <v>47</v>
      </c>
      <c r="C282" t="s">
        <v>91</v>
      </c>
      <c r="D282" t="s">
        <v>25</v>
      </c>
      <c r="E282" t="s">
        <v>79</v>
      </c>
      <c r="F282" s="191"/>
      <c r="G282" s="191"/>
      <c r="H282" s="191"/>
      <c r="I282" s="191"/>
      <c r="J282" s="191"/>
      <c r="K282" s="191"/>
      <c r="L282" s="191"/>
      <c r="M282" s="191">
        <v>0</v>
      </c>
      <c r="N282" s="191">
        <v>0</v>
      </c>
      <c r="O282" s="191">
        <v>0</v>
      </c>
      <c r="P282" s="191">
        <v>0.14799999999999999</v>
      </c>
      <c r="Q282" s="191">
        <v>0.14899999999999999</v>
      </c>
      <c r="R282" s="191">
        <v>0.151</v>
      </c>
      <c r="S282" s="191">
        <v>0.153</v>
      </c>
      <c r="T282" s="191">
        <v>0.154</v>
      </c>
      <c r="U282" s="191"/>
    </row>
    <row r="283" spans="1:21" x14ac:dyDescent="0.25">
      <c r="A283" t="s">
        <v>36</v>
      </c>
      <c r="B283" t="s">
        <v>15</v>
      </c>
      <c r="C283" t="s">
        <v>92</v>
      </c>
      <c r="D283" t="s">
        <v>93</v>
      </c>
      <c r="E283" t="s">
        <v>79</v>
      </c>
      <c r="F283" s="186"/>
      <c r="G283" s="186"/>
      <c r="H283" s="186"/>
      <c r="I283" s="186"/>
      <c r="J283" s="186"/>
      <c r="K283" s="186"/>
      <c r="L283" s="186"/>
      <c r="M283" s="186">
        <v>0</v>
      </c>
      <c r="N283" s="186">
        <v>0</v>
      </c>
      <c r="O283" s="186">
        <v>0</v>
      </c>
      <c r="P283" s="186">
        <v>0</v>
      </c>
      <c r="Q283" s="186">
        <v>0</v>
      </c>
      <c r="R283" s="186">
        <v>0</v>
      </c>
      <c r="S283" s="186">
        <v>0</v>
      </c>
      <c r="T283" s="186">
        <v>0</v>
      </c>
      <c r="U283" s="186"/>
    </row>
    <row r="284" spans="1:21" x14ac:dyDescent="0.25">
      <c r="A284" t="s">
        <v>36</v>
      </c>
      <c r="B284" t="s">
        <v>16</v>
      </c>
      <c r="C284" t="s">
        <v>94</v>
      </c>
      <c r="D284" t="s">
        <v>93</v>
      </c>
      <c r="E284" t="s">
        <v>79</v>
      </c>
      <c r="F284" s="186"/>
      <c r="G284" s="186"/>
      <c r="H284" s="186"/>
      <c r="I284" s="186"/>
      <c r="J284" s="186"/>
      <c r="K284" s="186"/>
      <c r="L284" s="186"/>
      <c r="M284" s="186">
        <v>0</v>
      </c>
      <c r="N284" s="186">
        <v>0</v>
      </c>
      <c r="O284" s="186">
        <v>0</v>
      </c>
      <c r="P284" s="186">
        <v>0</v>
      </c>
      <c r="Q284" s="186">
        <v>0</v>
      </c>
      <c r="R284" s="186">
        <v>0</v>
      </c>
      <c r="S284" s="186">
        <v>0</v>
      </c>
      <c r="T284" s="186">
        <v>0</v>
      </c>
      <c r="U284" s="186"/>
    </row>
    <row r="285" spans="1:21" x14ac:dyDescent="0.25">
      <c r="A285" t="s">
        <v>36</v>
      </c>
      <c r="B285" t="s">
        <v>17</v>
      </c>
      <c r="C285" t="s">
        <v>95</v>
      </c>
      <c r="D285" t="s">
        <v>93</v>
      </c>
      <c r="E285" t="s">
        <v>79</v>
      </c>
      <c r="F285" s="186"/>
      <c r="G285" s="186"/>
      <c r="H285" s="186"/>
      <c r="I285" s="186"/>
      <c r="J285" s="186"/>
      <c r="K285" s="186"/>
      <c r="L285" s="186"/>
      <c r="M285" s="186">
        <v>0</v>
      </c>
      <c r="N285" s="186">
        <v>0</v>
      </c>
      <c r="O285" s="186">
        <v>0</v>
      </c>
      <c r="P285" s="186">
        <v>0</v>
      </c>
      <c r="Q285" s="186">
        <v>0</v>
      </c>
      <c r="R285" s="186">
        <v>0</v>
      </c>
      <c r="S285" s="186">
        <v>0</v>
      </c>
      <c r="T285" s="186">
        <v>0</v>
      </c>
      <c r="U285" s="186"/>
    </row>
    <row r="286" spans="1:21" x14ac:dyDescent="0.25">
      <c r="A286" t="s">
        <v>36</v>
      </c>
      <c r="B286" t="s">
        <v>18</v>
      </c>
      <c r="C286" t="s">
        <v>96</v>
      </c>
      <c r="D286" t="s">
        <v>93</v>
      </c>
      <c r="E286" t="s">
        <v>79</v>
      </c>
      <c r="F286" s="186"/>
      <c r="G286" s="186"/>
      <c r="H286" s="186"/>
      <c r="I286" s="186"/>
      <c r="J286" s="186"/>
      <c r="K286" s="186"/>
      <c r="L286" s="186"/>
      <c r="M286" s="186">
        <v>0.49</v>
      </c>
      <c r="N286" s="186">
        <v>3.01</v>
      </c>
      <c r="O286" s="186">
        <v>1.36</v>
      </c>
      <c r="P286" s="186">
        <v>1.04</v>
      </c>
      <c r="Q286" s="186">
        <v>1.04</v>
      </c>
      <c r="R286" s="186">
        <v>1.54</v>
      </c>
      <c r="S286" s="186">
        <v>1.54</v>
      </c>
      <c r="T286" s="186">
        <v>1.53</v>
      </c>
      <c r="U286" s="186"/>
    </row>
    <row r="287" spans="1:21" x14ac:dyDescent="0.25">
      <c r="A287" t="s">
        <v>36</v>
      </c>
      <c r="B287" t="s">
        <v>23</v>
      </c>
      <c r="C287" t="s">
        <v>97</v>
      </c>
      <c r="D287" t="s">
        <v>93</v>
      </c>
      <c r="E287" t="s">
        <v>79</v>
      </c>
      <c r="F287" s="186"/>
      <c r="G287" s="186"/>
      <c r="H287" s="186"/>
      <c r="I287" s="186"/>
      <c r="J287" s="186"/>
      <c r="K287" s="186"/>
      <c r="L287" s="186"/>
      <c r="M287" s="186">
        <v>46.64</v>
      </c>
      <c r="N287" s="186">
        <v>44</v>
      </c>
      <c r="O287" s="186">
        <v>43</v>
      </c>
      <c r="P287" s="186">
        <v>42</v>
      </c>
      <c r="Q287" s="186">
        <v>41</v>
      </c>
      <c r="R287" s="186">
        <v>39.5</v>
      </c>
      <c r="S287" s="186">
        <v>38</v>
      </c>
      <c r="T287" s="186">
        <v>36.5</v>
      </c>
      <c r="U287" s="186"/>
    </row>
    <row r="288" spans="1:21" x14ac:dyDescent="0.25">
      <c r="A288" t="s">
        <v>36</v>
      </c>
      <c r="B288" t="s">
        <v>48</v>
      </c>
      <c r="C288" t="s">
        <v>98</v>
      </c>
      <c r="D288" t="s">
        <v>99</v>
      </c>
      <c r="E288" t="s">
        <v>79</v>
      </c>
      <c r="F288" s="186"/>
      <c r="G288" s="186"/>
      <c r="H288" s="186"/>
      <c r="I288" s="186"/>
      <c r="J288" s="186"/>
      <c r="K288" s="186"/>
      <c r="L288" s="186"/>
      <c r="M288" s="186">
        <v>6828</v>
      </c>
      <c r="N288" s="186">
        <v>6854</v>
      </c>
      <c r="O288" s="186">
        <v>6880</v>
      </c>
      <c r="P288" s="186">
        <v>6906</v>
      </c>
      <c r="Q288" s="186">
        <v>6932</v>
      </c>
      <c r="R288" s="186">
        <v>6958</v>
      </c>
      <c r="S288" s="186">
        <v>6984</v>
      </c>
      <c r="T288" s="186">
        <v>7010</v>
      </c>
      <c r="U288" s="186"/>
    </row>
    <row r="289" spans="1:21" x14ac:dyDescent="0.25">
      <c r="A289" t="s">
        <v>36</v>
      </c>
      <c r="B289" t="s">
        <v>100</v>
      </c>
      <c r="C289" t="s">
        <v>101</v>
      </c>
      <c r="D289">
        <v>0</v>
      </c>
      <c r="E289" t="s">
        <v>79</v>
      </c>
      <c r="F289" s="192"/>
      <c r="G289" s="192"/>
      <c r="H289" s="192"/>
      <c r="I289" s="192"/>
      <c r="J289" s="192"/>
      <c r="K289" s="192"/>
      <c r="L289" s="192"/>
      <c r="M289" s="192">
        <v>536.13800000000003</v>
      </c>
      <c r="N289" s="192">
        <v>542.029</v>
      </c>
      <c r="O289" s="192">
        <v>548.09500000000003</v>
      </c>
      <c r="P289" s="192">
        <v>554.74400000000003</v>
      </c>
      <c r="Q289" s="192">
        <v>560.50400000000002</v>
      </c>
      <c r="R289" s="192">
        <v>566.19600000000003</v>
      </c>
      <c r="S289" s="192">
        <v>571.77300000000002</v>
      </c>
      <c r="T289" s="192">
        <v>577.23299999999995</v>
      </c>
      <c r="U289" s="192"/>
    </row>
    <row r="290" spans="1:21" x14ac:dyDescent="0.25">
      <c r="A290" t="s">
        <v>36</v>
      </c>
      <c r="B290" t="s">
        <v>102</v>
      </c>
      <c r="C290" t="s">
        <v>103</v>
      </c>
      <c r="D290" t="s">
        <v>25</v>
      </c>
      <c r="E290" t="s">
        <v>79</v>
      </c>
      <c r="F290" s="191"/>
      <c r="G290" s="191"/>
      <c r="H290" s="191"/>
      <c r="I290" s="191"/>
      <c r="J290" s="191"/>
      <c r="K290" s="191"/>
      <c r="L290" s="191"/>
      <c r="M290" s="191"/>
      <c r="N290" s="191"/>
      <c r="O290" s="191"/>
      <c r="P290" s="191"/>
      <c r="Q290" s="191"/>
      <c r="R290" s="191"/>
      <c r="S290" s="191"/>
      <c r="T290" s="191"/>
      <c r="U290" s="191">
        <v>0</v>
      </c>
    </row>
    <row r="291" spans="1:21" x14ac:dyDescent="0.25">
      <c r="A291" t="s">
        <v>36</v>
      </c>
      <c r="B291" t="s">
        <v>104</v>
      </c>
      <c r="C291" t="s">
        <v>105</v>
      </c>
      <c r="D291" t="s">
        <v>25</v>
      </c>
      <c r="E291" t="s">
        <v>79</v>
      </c>
      <c r="F291" s="191"/>
      <c r="G291" s="191"/>
      <c r="H291" s="191"/>
      <c r="I291" s="191"/>
      <c r="J291" s="191"/>
      <c r="K291" s="191"/>
      <c r="L291" s="191"/>
      <c r="M291" s="191"/>
      <c r="N291" s="191"/>
      <c r="O291" s="191"/>
      <c r="P291" s="191"/>
      <c r="Q291" s="191"/>
      <c r="R291" s="191"/>
      <c r="S291" s="191"/>
      <c r="T291" s="191"/>
      <c r="U291" s="191">
        <v>0</v>
      </c>
    </row>
    <row r="292" spans="1:21" x14ac:dyDescent="0.25">
      <c r="A292" t="s">
        <v>111</v>
      </c>
      <c r="B292" t="s">
        <v>77</v>
      </c>
      <c r="C292" t="s">
        <v>78</v>
      </c>
      <c r="D292" t="s">
        <v>25</v>
      </c>
      <c r="E292" t="s">
        <v>79</v>
      </c>
      <c r="F292" s="186"/>
      <c r="G292" s="186">
        <v>0</v>
      </c>
      <c r="H292" s="186">
        <v>0</v>
      </c>
      <c r="I292" s="186">
        <v>0</v>
      </c>
      <c r="J292" s="186">
        <v>0</v>
      </c>
      <c r="K292" s="186">
        <v>0</v>
      </c>
      <c r="L292" s="186">
        <v>0</v>
      </c>
      <c r="M292" s="186">
        <v>0</v>
      </c>
      <c r="N292" s="186"/>
      <c r="O292" s="186"/>
      <c r="P292" s="186"/>
      <c r="Q292" s="186"/>
      <c r="R292" s="186"/>
      <c r="S292" s="186"/>
      <c r="T292" s="186"/>
      <c r="U292" s="186"/>
    </row>
    <row r="293" spans="1:21" x14ac:dyDescent="0.25">
      <c r="A293" t="s">
        <v>111</v>
      </c>
      <c r="B293" t="s">
        <v>80</v>
      </c>
      <c r="C293" t="s">
        <v>81</v>
      </c>
      <c r="D293" t="s">
        <v>25</v>
      </c>
      <c r="E293" t="s">
        <v>79</v>
      </c>
      <c r="F293" s="186"/>
      <c r="G293" s="186">
        <v>0</v>
      </c>
      <c r="H293" s="186">
        <v>0</v>
      </c>
      <c r="I293" s="186">
        <v>0</v>
      </c>
      <c r="J293" s="186">
        <v>0</v>
      </c>
      <c r="K293" s="186">
        <v>0</v>
      </c>
      <c r="L293" s="186">
        <v>0</v>
      </c>
      <c r="M293" s="186">
        <v>0</v>
      </c>
      <c r="N293" s="186"/>
      <c r="O293" s="186"/>
      <c r="P293" s="186"/>
      <c r="Q293" s="186"/>
      <c r="R293" s="186"/>
      <c r="S293" s="186"/>
      <c r="T293" s="186"/>
      <c r="U293" s="186"/>
    </row>
    <row r="294" spans="1:21" x14ac:dyDescent="0.25">
      <c r="A294" t="s">
        <v>111</v>
      </c>
      <c r="B294" t="s">
        <v>82</v>
      </c>
      <c r="C294" t="s">
        <v>83</v>
      </c>
      <c r="D294" t="s">
        <v>25</v>
      </c>
      <c r="E294" t="s">
        <v>79</v>
      </c>
      <c r="F294" s="186"/>
      <c r="G294" s="186">
        <v>0</v>
      </c>
      <c r="H294" s="186">
        <v>0</v>
      </c>
      <c r="I294" s="186">
        <v>0</v>
      </c>
      <c r="J294" s="186">
        <v>0</v>
      </c>
      <c r="K294" s="186">
        <v>0</v>
      </c>
      <c r="L294" s="186">
        <v>0</v>
      </c>
      <c r="M294" s="186">
        <v>1.4999999999999999E-2</v>
      </c>
      <c r="N294" s="186"/>
      <c r="O294" s="186"/>
      <c r="P294" s="186"/>
      <c r="Q294" s="186"/>
      <c r="R294" s="186"/>
      <c r="S294" s="186"/>
      <c r="T294" s="186"/>
      <c r="U294" s="186"/>
    </row>
    <row r="295" spans="1:21" x14ac:dyDescent="0.25">
      <c r="A295" t="s">
        <v>111</v>
      </c>
      <c r="B295" t="s">
        <v>84</v>
      </c>
      <c r="C295" t="s">
        <v>85</v>
      </c>
      <c r="D295" t="s">
        <v>25</v>
      </c>
      <c r="E295" t="s">
        <v>79</v>
      </c>
      <c r="F295" s="186"/>
      <c r="G295" s="186">
        <v>0</v>
      </c>
      <c r="H295" s="186">
        <v>0</v>
      </c>
      <c r="I295" s="186">
        <v>0</v>
      </c>
      <c r="J295" s="186">
        <v>0</v>
      </c>
      <c r="K295" s="186">
        <v>0</v>
      </c>
      <c r="L295" s="186">
        <v>0</v>
      </c>
      <c r="M295" s="186">
        <v>0</v>
      </c>
      <c r="N295" s="186"/>
      <c r="O295" s="186"/>
      <c r="P295" s="186"/>
      <c r="Q295" s="186"/>
      <c r="R295" s="186"/>
      <c r="S295" s="186"/>
      <c r="T295" s="186"/>
      <c r="U295" s="186"/>
    </row>
    <row r="296" spans="1:21" x14ac:dyDescent="0.25">
      <c r="A296" t="s">
        <v>111</v>
      </c>
      <c r="B296" t="s">
        <v>86</v>
      </c>
      <c r="C296" t="s">
        <v>87</v>
      </c>
      <c r="D296" t="s">
        <v>25</v>
      </c>
      <c r="E296" t="s">
        <v>79</v>
      </c>
      <c r="F296" s="186"/>
      <c r="G296" s="186">
        <v>18.400728571706299</v>
      </c>
      <c r="H296" s="186">
        <v>24.240161243439001</v>
      </c>
      <c r="I296" s="186">
        <v>15.9632272581136</v>
      </c>
      <c r="J296" s="186">
        <v>17.1151387087824</v>
      </c>
      <c r="K296" s="186">
        <v>16.908367151403201</v>
      </c>
      <c r="L296" s="186">
        <v>22.004551680340601</v>
      </c>
      <c r="M296" s="186">
        <v>27.923999999999999</v>
      </c>
      <c r="N296" s="186"/>
      <c r="O296" s="186"/>
      <c r="P296" s="186"/>
      <c r="Q296" s="186"/>
      <c r="R296" s="186"/>
      <c r="S296" s="186"/>
      <c r="T296" s="186"/>
      <c r="U296" s="186"/>
    </row>
    <row r="297" spans="1:21" x14ac:dyDescent="0.25">
      <c r="A297" t="s">
        <v>111</v>
      </c>
      <c r="B297" t="s">
        <v>44</v>
      </c>
      <c r="C297" t="s">
        <v>88</v>
      </c>
      <c r="D297" t="s">
        <v>25</v>
      </c>
      <c r="E297" t="s">
        <v>79</v>
      </c>
      <c r="F297" s="191"/>
      <c r="G297" s="191"/>
      <c r="H297" s="191"/>
      <c r="I297" s="191"/>
      <c r="J297" s="191"/>
      <c r="K297" s="191"/>
      <c r="L297" s="191"/>
      <c r="M297" s="191">
        <v>0</v>
      </c>
      <c r="N297" s="191">
        <v>0</v>
      </c>
      <c r="O297" s="191">
        <v>0</v>
      </c>
      <c r="P297" s="191">
        <v>0</v>
      </c>
      <c r="Q297" s="191">
        <v>0</v>
      </c>
      <c r="R297" s="191">
        <v>0</v>
      </c>
      <c r="S297" s="191">
        <v>0</v>
      </c>
      <c r="T297" s="191">
        <v>0</v>
      </c>
      <c r="U297" s="191"/>
    </row>
    <row r="298" spans="1:21" x14ac:dyDescent="0.25">
      <c r="A298" t="s">
        <v>111</v>
      </c>
      <c r="B298" t="s">
        <v>45</v>
      </c>
      <c r="C298" t="s">
        <v>89</v>
      </c>
      <c r="D298" t="s">
        <v>25</v>
      </c>
      <c r="E298" t="s">
        <v>79</v>
      </c>
      <c r="F298" s="191"/>
      <c r="G298" s="191"/>
      <c r="H298" s="191"/>
      <c r="I298" s="191"/>
      <c r="J298" s="191"/>
      <c r="K298" s="191"/>
      <c r="L298" s="191"/>
      <c r="M298" s="191">
        <v>0</v>
      </c>
      <c r="N298" s="191">
        <v>0</v>
      </c>
      <c r="O298" s="191">
        <v>0</v>
      </c>
      <c r="P298" s="191">
        <v>0</v>
      </c>
      <c r="Q298" s="191">
        <v>0</v>
      </c>
      <c r="R298" s="191">
        <v>0</v>
      </c>
      <c r="S298" s="191">
        <v>0</v>
      </c>
      <c r="T298" s="191">
        <v>0</v>
      </c>
      <c r="U298" s="191"/>
    </row>
    <row r="299" spans="1:21" x14ac:dyDescent="0.25">
      <c r="A299" t="s">
        <v>111</v>
      </c>
      <c r="B299" t="s">
        <v>46</v>
      </c>
      <c r="C299" t="s">
        <v>90</v>
      </c>
      <c r="D299" t="s">
        <v>25</v>
      </c>
      <c r="E299" t="s">
        <v>79</v>
      </c>
      <c r="F299" s="191"/>
      <c r="G299" s="191"/>
      <c r="H299" s="191"/>
      <c r="I299" s="191"/>
      <c r="J299" s="191"/>
      <c r="K299" s="191"/>
      <c r="L299" s="191"/>
      <c r="M299" s="191">
        <v>0</v>
      </c>
      <c r="N299" s="191">
        <v>0</v>
      </c>
      <c r="O299" s="191">
        <v>0</v>
      </c>
      <c r="P299" s="191">
        <v>0</v>
      </c>
      <c r="Q299" s="191">
        <v>0</v>
      </c>
      <c r="R299" s="191">
        <v>0</v>
      </c>
      <c r="S299" s="191">
        <v>0</v>
      </c>
      <c r="T299" s="191">
        <v>0</v>
      </c>
      <c r="U299" s="191"/>
    </row>
    <row r="300" spans="1:21" x14ac:dyDescent="0.25">
      <c r="A300" t="s">
        <v>111</v>
      </c>
      <c r="B300" t="s">
        <v>47</v>
      </c>
      <c r="C300" t="s">
        <v>91</v>
      </c>
      <c r="D300" t="s">
        <v>25</v>
      </c>
      <c r="E300" t="s">
        <v>79</v>
      </c>
      <c r="F300" s="191"/>
      <c r="G300" s="191"/>
      <c r="H300" s="191"/>
      <c r="I300" s="191"/>
      <c r="J300" s="191"/>
      <c r="K300" s="191"/>
      <c r="L300" s="191"/>
      <c r="M300" s="191">
        <v>0</v>
      </c>
      <c r="N300" s="191">
        <v>0</v>
      </c>
      <c r="O300" s="191">
        <v>0</v>
      </c>
      <c r="P300" s="191">
        <v>0</v>
      </c>
      <c r="Q300" s="191">
        <v>0</v>
      </c>
      <c r="R300" s="191">
        <v>0</v>
      </c>
      <c r="S300" s="191">
        <v>0</v>
      </c>
      <c r="T300" s="191">
        <v>0</v>
      </c>
      <c r="U300" s="191"/>
    </row>
    <row r="301" spans="1:21" x14ac:dyDescent="0.25">
      <c r="A301" t="s">
        <v>111</v>
      </c>
      <c r="B301" t="s">
        <v>15</v>
      </c>
      <c r="C301" t="s">
        <v>92</v>
      </c>
      <c r="D301" t="s">
        <v>93</v>
      </c>
      <c r="E301" t="s">
        <v>79</v>
      </c>
      <c r="F301" s="186"/>
      <c r="G301" s="186"/>
      <c r="H301" s="186"/>
      <c r="I301" s="186"/>
      <c r="J301" s="186"/>
      <c r="K301" s="186"/>
      <c r="L301" s="186"/>
      <c r="M301" s="186">
        <v>0</v>
      </c>
      <c r="N301" s="186">
        <v>0</v>
      </c>
      <c r="O301" s="186">
        <v>0</v>
      </c>
      <c r="P301" s="186">
        <v>0</v>
      </c>
      <c r="Q301" s="186">
        <v>0</v>
      </c>
      <c r="R301" s="186">
        <v>0</v>
      </c>
      <c r="S301" s="186">
        <v>0</v>
      </c>
      <c r="T301" s="186">
        <v>0</v>
      </c>
      <c r="U301" s="186"/>
    </row>
    <row r="302" spans="1:21" x14ac:dyDescent="0.25">
      <c r="A302" t="s">
        <v>111</v>
      </c>
      <c r="B302" t="s">
        <v>16</v>
      </c>
      <c r="C302" t="s">
        <v>94</v>
      </c>
      <c r="D302" t="s">
        <v>93</v>
      </c>
      <c r="E302" t="s">
        <v>79</v>
      </c>
      <c r="F302" s="186"/>
      <c r="G302" s="186"/>
      <c r="H302" s="186"/>
      <c r="I302" s="186"/>
      <c r="J302" s="186"/>
      <c r="K302" s="186"/>
      <c r="L302" s="186"/>
      <c r="M302" s="186">
        <v>0</v>
      </c>
      <c r="N302" s="186">
        <v>0</v>
      </c>
      <c r="O302" s="186">
        <v>0</v>
      </c>
      <c r="P302" s="186">
        <v>0</v>
      </c>
      <c r="Q302" s="186">
        <v>0</v>
      </c>
      <c r="R302" s="186">
        <v>0</v>
      </c>
      <c r="S302" s="186">
        <v>0</v>
      </c>
      <c r="T302" s="186">
        <v>0</v>
      </c>
      <c r="U302" s="186"/>
    </row>
    <row r="303" spans="1:21" x14ac:dyDescent="0.25">
      <c r="A303" t="s">
        <v>111</v>
      </c>
      <c r="B303" t="s">
        <v>17</v>
      </c>
      <c r="C303" t="s">
        <v>95</v>
      </c>
      <c r="D303" t="s">
        <v>93</v>
      </c>
      <c r="E303" t="s">
        <v>79</v>
      </c>
      <c r="F303" s="186"/>
      <c r="G303" s="186"/>
      <c r="H303" s="186"/>
      <c r="I303" s="186"/>
      <c r="J303" s="186"/>
      <c r="K303" s="186"/>
      <c r="L303" s="186"/>
      <c r="M303" s="186">
        <v>0</v>
      </c>
      <c r="N303" s="186">
        <v>0</v>
      </c>
      <c r="O303" s="186">
        <v>0</v>
      </c>
      <c r="P303" s="186">
        <v>0</v>
      </c>
      <c r="Q303" s="186">
        <v>0</v>
      </c>
      <c r="R303" s="186">
        <v>0</v>
      </c>
      <c r="S303" s="186">
        <v>0</v>
      </c>
      <c r="T303" s="186">
        <v>0</v>
      </c>
      <c r="U303" s="186"/>
    </row>
    <row r="304" spans="1:21" x14ac:dyDescent="0.25">
      <c r="A304" t="s">
        <v>111</v>
      </c>
      <c r="B304" t="s">
        <v>18</v>
      </c>
      <c r="C304" t="s">
        <v>96</v>
      </c>
      <c r="D304" t="s">
        <v>93</v>
      </c>
      <c r="E304" t="s">
        <v>79</v>
      </c>
      <c r="F304" s="186"/>
      <c r="G304" s="186"/>
      <c r="H304" s="186"/>
      <c r="I304" s="186"/>
      <c r="J304" s="186"/>
      <c r="K304" s="186"/>
      <c r="L304" s="186"/>
      <c r="M304" s="186">
        <v>0</v>
      </c>
      <c r="N304" s="186">
        <v>0</v>
      </c>
      <c r="O304" s="186">
        <v>0</v>
      </c>
      <c r="P304" s="186">
        <v>0</v>
      </c>
      <c r="Q304" s="186">
        <v>0</v>
      </c>
      <c r="R304" s="186">
        <v>0</v>
      </c>
      <c r="S304" s="186">
        <v>0</v>
      </c>
      <c r="T304" s="186">
        <v>0</v>
      </c>
      <c r="U304" s="186"/>
    </row>
    <row r="305" spans="1:21" x14ac:dyDescent="0.25">
      <c r="A305" t="s">
        <v>111</v>
      </c>
      <c r="B305" t="s">
        <v>23</v>
      </c>
      <c r="C305" t="s">
        <v>97</v>
      </c>
      <c r="D305" t="s">
        <v>93</v>
      </c>
      <c r="E305" t="s">
        <v>79</v>
      </c>
      <c r="F305" s="186"/>
      <c r="G305" s="186"/>
      <c r="H305" s="186"/>
      <c r="I305" s="186"/>
      <c r="J305" s="186"/>
      <c r="K305" s="186"/>
      <c r="L305" s="186"/>
      <c r="M305" s="186">
        <v>10.96</v>
      </c>
      <c r="N305" s="186">
        <v>0</v>
      </c>
      <c r="O305" s="186">
        <v>0</v>
      </c>
      <c r="P305" s="186">
        <v>0</v>
      </c>
      <c r="Q305" s="186">
        <v>0</v>
      </c>
      <c r="R305" s="186">
        <v>0</v>
      </c>
      <c r="S305" s="186">
        <v>0</v>
      </c>
      <c r="T305" s="186">
        <v>0</v>
      </c>
      <c r="U305" s="186"/>
    </row>
    <row r="306" spans="1:21" x14ac:dyDescent="0.25">
      <c r="A306" t="s">
        <v>111</v>
      </c>
      <c r="B306" t="s">
        <v>48</v>
      </c>
      <c r="C306" t="s">
        <v>98</v>
      </c>
      <c r="D306" t="s">
        <v>99</v>
      </c>
      <c r="E306" t="s">
        <v>79</v>
      </c>
      <c r="F306" s="186"/>
      <c r="G306" s="186"/>
      <c r="H306" s="186"/>
      <c r="I306" s="186"/>
      <c r="J306" s="186"/>
      <c r="K306" s="186"/>
      <c r="L306" s="186"/>
      <c r="M306" s="186">
        <v>2015.1</v>
      </c>
      <c r="N306" s="186">
        <v>0</v>
      </c>
      <c r="O306" s="186">
        <v>0</v>
      </c>
      <c r="P306" s="186">
        <v>0</v>
      </c>
      <c r="Q306" s="186">
        <v>0</v>
      </c>
      <c r="R306" s="186">
        <v>0</v>
      </c>
      <c r="S306" s="186">
        <v>0</v>
      </c>
      <c r="T306" s="186">
        <v>0</v>
      </c>
      <c r="U306" s="186"/>
    </row>
    <row r="307" spans="1:21" x14ac:dyDescent="0.25">
      <c r="A307" t="s">
        <v>111</v>
      </c>
      <c r="B307" t="s">
        <v>100</v>
      </c>
      <c r="C307" t="s">
        <v>101</v>
      </c>
      <c r="D307">
        <v>0</v>
      </c>
      <c r="E307" t="s">
        <v>79</v>
      </c>
      <c r="F307" s="192"/>
      <c r="G307" s="192"/>
      <c r="H307" s="192"/>
      <c r="I307" s="192"/>
      <c r="J307" s="192"/>
      <c r="K307" s="192"/>
      <c r="L307" s="192"/>
      <c r="M307" s="192">
        <v>127.93</v>
      </c>
      <c r="N307" s="192">
        <v>0</v>
      </c>
      <c r="O307" s="192">
        <v>0</v>
      </c>
      <c r="P307" s="192">
        <v>0</v>
      </c>
      <c r="Q307" s="192">
        <v>0</v>
      </c>
      <c r="R307" s="192">
        <v>0</v>
      </c>
      <c r="S307" s="192">
        <v>0</v>
      </c>
      <c r="T307" s="192">
        <v>0</v>
      </c>
      <c r="U307" s="192"/>
    </row>
    <row r="308" spans="1:21" x14ac:dyDescent="0.25">
      <c r="A308" t="s">
        <v>111</v>
      </c>
      <c r="B308" t="s">
        <v>102</v>
      </c>
      <c r="C308" t="s">
        <v>103</v>
      </c>
      <c r="D308" t="s">
        <v>25</v>
      </c>
      <c r="E308" t="s">
        <v>79</v>
      </c>
      <c r="F308" s="191"/>
      <c r="G308" s="191"/>
      <c r="H308" s="191"/>
      <c r="I308" s="191"/>
      <c r="J308" s="191"/>
      <c r="K308" s="191"/>
      <c r="L308" s="191"/>
      <c r="M308" s="191"/>
      <c r="N308" s="191"/>
      <c r="O308" s="191"/>
      <c r="P308" s="191"/>
      <c r="Q308" s="191"/>
      <c r="R308" s="191"/>
      <c r="S308" s="191"/>
      <c r="T308" s="191"/>
      <c r="U308" s="191"/>
    </row>
    <row r="309" spans="1:21" x14ac:dyDescent="0.25">
      <c r="A309" t="s">
        <v>111</v>
      </c>
      <c r="B309" t="s">
        <v>104</v>
      </c>
      <c r="C309" t="s">
        <v>105</v>
      </c>
      <c r="D309" t="s">
        <v>25</v>
      </c>
      <c r="E309" t="s">
        <v>79</v>
      </c>
      <c r="F309" s="191"/>
      <c r="G309" s="191"/>
      <c r="H309" s="191"/>
      <c r="I309" s="191"/>
      <c r="J309" s="191"/>
      <c r="K309" s="191"/>
      <c r="L309" s="191"/>
      <c r="M309" s="191"/>
      <c r="N309" s="191"/>
      <c r="O309" s="191"/>
      <c r="P309" s="191"/>
      <c r="Q309" s="191"/>
      <c r="R309" s="191"/>
      <c r="S309" s="191"/>
      <c r="T309" s="191"/>
      <c r="U309" s="191"/>
    </row>
    <row r="310" spans="1:21" x14ac:dyDescent="0.25">
      <c r="A310" t="s">
        <v>37</v>
      </c>
      <c r="B310" t="s">
        <v>77</v>
      </c>
      <c r="C310" t="s">
        <v>78</v>
      </c>
      <c r="D310" t="s">
        <v>25</v>
      </c>
      <c r="E310" t="s">
        <v>79</v>
      </c>
      <c r="F310" s="186"/>
      <c r="G310" s="186">
        <v>0</v>
      </c>
      <c r="H310" s="186">
        <v>0</v>
      </c>
      <c r="I310" s="186">
        <v>0</v>
      </c>
      <c r="J310" s="186">
        <v>0</v>
      </c>
      <c r="K310" s="186">
        <v>0</v>
      </c>
      <c r="L310" s="186">
        <v>0</v>
      </c>
      <c r="M310" s="186">
        <v>0</v>
      </c>
      <c r="N310" s="186">
        <v>0</v>
      </c>
      <c r="O310" s="186">
        <v>0</v>
      </c>
      <c r="P310" s="186">
        <v>0</v>
      </c>
      <c r="Q310" s="186">
        <v>0</v>
      </c>
      <c r="R310" s="186">
        <v>0</v>
      </c>
      <c r="S310" s="186">
        <v>0</v>
      </c>
      <c r="T310" s="186">
        <v>0</v>
      </c>
      <c r="U310" s="186"/>
    </row>
    <row r="311" spans="1:21" x14ac:dyDescent="0.25">
      <c r="A311" t="s">
        <v>37</v>
      </c>
      <c r="B311" t="s">
        <v>80</v>
      </c>
      <c r="C311" t="s">
        <v>81</v>
      </c>
      <c r="D311" t="s">
        <v>25</v>
      </c>
      <c r="E311" t="s">
        <v>79</v>
      </c>
      <c r="F311" s="186"/>
      <c r="G311" s="186">
        <v>0</v>
      </c>
      <c r="H311" s="186">
        <v>0</v>
      </c>
      <c r="I311" s="186">
        <v>0</v>
      </c>
      <c r="J311" s="186">
        <v>0</v>
      </c>
      <c r="K311" s="186">
        <v>0</v>
      </c>
      <c r="L311" s="186">
        <v>0</v>
      </c>
      <c r="M311" s="186">
        <v>0</v>
      </c>
      <c r="N311" s="186">
        <v>1.9049019607843201</v>
      </c>
      <c r="O311" s="186">
        <v>2.06555171088044</v>
      </c>
      <c r="P311" s="186">
        <v>10.773999999999999</v>
      </c>
      <c r="Q311" s="186">
        <v>6.5090000000000003</v>
      </c>
      <c r="R311" s="186">
        <v>7.569</v>
      </c>
      <c r="S311" s="186">
        <v>20.262</v>
      </c>
      <c r="T311" s="186">
        <v>23.026</v>
      </c>
      <c r="U311" s="186"/>
    </row>
    <row r="312" spans="1:21" x14ac:dyDescent="0.25">
      <c r="A312" t="s">
        <v>37</v>
      </c>
      <c r="B312" t="s">
        <v>82</v>
      </c>
      <c r="C312" t="s">
        <v>83</v>
      </c>
      <c r="D312" t="s">
        <v>25</v>
      </c>
      <c r="E312" t="s">
        <v>79</v>
      </c>
      <c r="F312" s="186"/>
      <c r="G312" s="186">
        <v>0</v>
      </c>
      <c r="H312" s="186">
        <v>0</v>
      </c>
      <c r="I312" s="186">
        <v>0</v>
      </c>
      <c r="J312" s="186">
        <v>0</v>
      </c>
      <c r="K312" s="186">
        <v>0</v>
      </c>
      <c r="L312" s="186">
        <v>0</v>
      </c>
      <c r="M312" s="186">
        <v>0</v>
      </c>
      <c r="N312" s="186">
        <v>0</v>
      </c>
      <c r="O312" s="186">
        <v>0</v>
      </c>
      <c r="P312" s="186">
        <v>0</v>
      </c>
      <c r="Q312" s="186">
        <v>0</v>
      </c>
      <c r="R312" s="186">
        <v>0</v>
      </c>
      <c r="S312" s="186">
        <v>0</v>
      </c>
      <c r="T312" s="186">
        <v>0</v>
      </c>
      <c r="U312" s="186"/>
    </row>
    <row r="313" spans="1:21" x14ac:dyDescent="0.25">
      <c r="A313" t="s">
        <v>37</v>
      </c>
      <c r="B313" t="s">
        <v>84</v>
      </c>
      <c r="C313" t="s">
        <v>85</v>
      </c>
      <c r="D313" t="s">
        <v>25</v>
      </c>
      <c r="E313" t="s">
        <v>79</v>
      </c>
      <c r="F313" s="186"/>
      <c r="G313" s="186">
        <v>0</v>
      </c>
      <c r="H313" s="186">
        <v>0</v>
      </c>
      <c r="I313" s="186">
        <v>0</v>
      </c>
      <c r="J313" s="186">
        <v>0</v>
      </c>
      <c r="K313" s="186">
        <v>0</v>
      </c>
      <c r="L313" s="186">
        <v>0</v>
      </c>
      <c r="M313" s="186">
        <v>0</v>
      </c>
      <c r="N313" s="186">
        <v>0</v>
      </c>
      <c r="O313" s="186">
        <v>0</v>
      </c>
      <c r="P313" s="186">
        <v>1.1599999999999999</v>
      </c>
      <c r="Q313" s="186">
        <v>0.38700000000000001</v>
      </c>
      <c r="R313" s="186">
        <v>0</v>
      </c>
      <c r="S313" s="186">
        <v>0</v>
      </c>
      <c r="T313" s="186">
        <v>0</v>
      </c>
      <c r="U313" s="186"/>
    </row>
    <row r="314" spans="1:21" x14ac:dyDescent="0.25">
      <c r="A314" t="s">
        <v>37</v>
      </c>
      <c r="B314" t="s">
        <v>86</v>
      </c>
      <c r="C314" t="s">
        <v>87</v>
      </c>
      <c r="D314" t="s">
        <v>25</v>
      </c>
      <c r="E314" t="s">
        <v>79</v>
      </c>
      <c r="F314" s="186"/>
      <c r="G314" s="186">
        <v>28.1061769020057</v>
      </c>
      <c r="H314" s="186">
        <v>32.868444003451302</v>
      </c>
      <c r="I314" s="186">
        <v>27.5265177484787</v>
      </c>
      <c r="J314" s="186">
        <v>27.2786929054901</v>
      </c>
      <c r="K314" s="186">
        <v>28.655595008319501</v>
      </c>
      <c r="L314" s="186">
        <v>32.4848096840377</v>
      </c>
      <c r="M314" s="186">
        <v>27.995999999999999</v>
      </c>
      <c r="N314" s="186">
        <v>36.004901960784402</v>
      </c>
      <c r="O314" s="186">
        <v>35.879469434832899</v>
      </c>
      <c r="P314" s="186">
        <v>45.14</v>
      </c>
      <c r="Q314" s="186">
        <v>38.365000000000002</v>
      </c>
      <c r="R314" s="186">
        <v>39.048000000000002</v>
      </c>
      <c r="S314" s="186">
        <v>51.654000000000003</v>
      </c>
      <c r="T314" s="186">
        <v>53.923000000000002</v>
      </c>
      <c r="U314" s="186"/>
    </row>
    <row r="315" spans="1:21" x14ac:dyDescent="0.25">
      <c r="A315" t="s">
        <v>37</v>
      </c>
      <c r="B315" t="s">
        <v>44</v>
      </c>
      <c r="C315" t="s">
        <v>88</v>
      </c>
      <c r="D315" t="s">
        <v>25</v>
      </c>
      <c r="E315" t="s">
        <v>79</v>
      </c>
      <c r="F315" s="191"/>
      <c r="G315" s="191"/>
      <c r="H315" s="191"/>
      <c r="I315" s="191"/>
      <c r="J315" s="191"/>
      <c r="K315" s="191"/>
      <c r="L315" s="191"/>
      <c r="M315" s="191">
        <v>0</v>
      </c>
      <c r="N315" s="191">
        <v>0</v>
      </c>
      <c r="O315" s="191">
        <v>0</v>
      </c>
      <c r="P315" s="191">
        <v>0</v>
      </c>
      <c r="Q315" s="191">
        <v>0</v>
      </c>
      <c r="R315" s="191">
        <v>0</v>
      </c>
      <c r="S315" s="191">
        <v>0</v>
      </c>
      <c r="T315" s="191">
        <v>0</v>
      </c>
      <c r="U315" s="191"/>
    </row>
    <row r="316" spans="1:21" x14ac:dyDescent="0.25">
      <c r="A316" t="s">
        <v>37</v>
      </c>
      <c r="B316" t="s">
        <v>45</v>
      </c>
      <c r="C316" t="s">
        <v>89</v>
      </c>
      <c r="D316" t="s">
        <v>25</v>
      </c>
      <c r="E316" t="s">
        <v>79</v>
      </c>
      <c r="F316" s="191"/>
      <c r="G316" s="191"/>
      <c r="H316" s="191"/>
      <c r="I316" s="191"/>
      <c r="J316" s="191"/>
      <c r="K316" s="191"/>
      <c r="L316" s="191"/>
      <c r="M316" s="191">
        <v>0</v>
      </c>
      <c r="N316" s="191">
        <v>0</v>
      </c>
      <c r="O316" s="191">
        <v>0</v>
      </c>
      <c r="P316" s="191">
        <v>0</v>
      </c>
      <c r="Q316" s="191">
        <v>0</v>
      </c>
      <c r="R316" s="191">
        <v>0</v>
      </c>
      <c r="S316" s="191">
        <v>0</v>
      </c>
      <c r="T316" s="191">
        <v>0</v>
      </c>
      <c r="U316" s="191"/>
    </row>
    <row r="317" spans="1:21" x14ac:dyDescent="0.25">
      <c r="A317" t="s">
        <v>37</v>
      </c>
      <c r="B317" t="s">
        <v>46</v>
      </c>
      <c r="C317" t="s">
        <v>90</v>
      </c>
      <c r="D317" t="s">
        <v>25</v>
      </c>
      <c r="E317" t="s">
        <v>79</v>
      </c>
      <c r="F317" s="191"/>
      <c r="G317" s="191"/>
      <c r="H317" s="191"/>
      <c r="I317" s="191"/>
      <c r="J317" s="191"/>
      <c r="K317" s="191"/>
      <c r="L317" s="191"/>
      <c r="M317" s="191">
        <v>0</v>
      </c>
      <c r="N317" s="191">
        <v>0</v>
      </c>
      <c r="O317" s="191">
        <v>0</v>
      </c>
      <c r="P317" s="191">
        <v>0</v>
      </c>
      <c r="Q317" s="191">
        <v>0</v>
      </c>
      <c r="R317" s="191">
        <v>0</v>
      </c>
      <c r="S317" s="191">
        <v>0</v>
      </c>
      <c r="T317" s="191">
        <v>0</v>
      </c>
      <c r="U317" s="191"/>
    </row>
    <row r="318" spans="1:21" x14ac:dyDescent="0.25">
      <c r="A318" t="s">
        <v>37</v>
      </c>
      <c r="B318" t="s">
        <v>47</v>
      </c>
      <c r="C318" t="s">
        <v>91</v>
      </c>
      <c r="D318" t="s">
        <v>25</v>
      </c>
      <c r="E318" t="s">
        <v>79</v>
      </c>
      <c r="F318" s="191"/>
      <c r="G318" s="191"/>
      <c r="H318" s="191"/>
      <c r="I318" s="191"/>
      <c r="J318" s="191"/>
      <c r="K318" s="191"/>
      <c r="L318" s="191"/>
      <c r="M318" s="191">
        <v>0</v>
      </c>
      <c r="N318" s="191">
        <v>0</v>
      </c>
      <c r="O318" s="191">
        <v>0</v>
      </c>
      <c r="P318" s="191">
        <v>0</v>
      </c>
      <c r="Q318" s="191">
        <v>0</v>
      </c>
      <c r="R318" s="191">
        <v>0</v>
      </c>
      <c r="S318" s="191">
        <v>0</v>
      </c>
      <c r="T318" s="191">
        <v>0</v>
      </c>
      <c r="U318" s="191"/>
    </row>
    <row r="319" spans="1:21" x14ac:dyDescent="0.25">
      <c r="A319" t="s">
        <v>37</v>
      </c>
      <c r="B319" t="s">
        <v>15</v>
      </c>
      <c r="C319" t="s">
        <v>92</v>
      </c>
      <c r="D319" t="s">
        <v>93</v>
      </c>
      <c r="E319" t="s">
        <v>79</v>
      </c>
      <c r="F319" s="186"/>
      <c r="G319" s="186"/>
      <c r="H319" s="186"/>
      <c r="I319" s="186"/>
      <c r="J319" s="186"/>
      <c r="K319" s="186"/>
      <c r="L319" s="186"/>
      <c r="M319" s="186">
        <v>0</v>
      </c>
      <c r="N319" s="186">
        <v>0</v>
      </c>
      <c r="O319" s="186">
        <v>0</v>
      </c>
      <c r="P319" s="186">
        <v>11.8</v>
      </c>
      <c r="Q319" s="186">
        <v>0</v>
      </c>
      <c r="R319" s="186">
        <v>15</v>
      </c>
      <c r="S319" s="186">
        <v>0</v>
      </c>
      <c r="T319" s="186">
        <v>0</v>
      </c>
      <c r="U319" s="186"/>
    </row>
    <row r="320" spans="1:21" x14ac:dyDescent="0.25">
      <c r="A320" t="s">
        <v>37</v>
      </c>
      <c r="B320" t="s">
        <v>16</v>
      </c>
      <c r="C320" t="s">
        <v>94</v>
      </c>
      <c r="D320" t="s">
        <v>93</v>
      </c>
      <c r="E320" t="s">
        <v>79</v>
      </c>
      <c r="F320" s="186"/>
      <c r="G320" s="186"/>
      <c r="H320" s="186"/>
      <c r="I320" s="186"/>
      <c r="J320" s="186"/>
      <c r="K320" s="186"/>
      <c r="L320" s="186"/>
      <c r="M320" s="186">
        <v>0</v>
      </c>
      <c r="N320" s="186">
        <v>0</v>
      </c>
      <c r="O320" s="186">
        <v>0</v>
      </c>
      <c r="P320" s="186">
        <v>7.8</v>
      </c>
      <c r="Q320" s="186">
        <v>0</v>
      </c>
      <c r="R320" s="186">
        <v>12.5</v>
      </c>
      <c r="S320" s="186">
        <v>0</v>
      </c>
      <c r="T320" s="186">
        <v>0</v>
      </c>
      <c r="U320" s="186"/>
    </row>
    <row r="321" spans="1:21" x14ac:dyDescent="0.25">
      <c r="A321" t="s">
        <v>37</v>
      </c>
      <c r="B321" t="s">
        <v>17</v>
      </c>
      <c r="C321" t="s">
        <v>95</v>
      </c>
      <c r="D321" t="s">
        <v>93</v>
      </c>
      <c r="E321" t="s">
        <v>79</v>
      </c>
      <c r="F321" s="186"/>
      <c r="G321" s="186"/>
      <c r="H321" s="186"/>
      <c r="I321" s="186"/>
      <c r="J321" s="186"/>
      <c r="K321" s="186"/>
      <c r="L321" s="186"/>
      <c r="M321" s="186">
        <v>0</v>
      </c>
      <c r="N321" s="186">
        <v>0</v>
      </c>
      <c r="O321" s="186">
        <v>0</v>
      </c>
      <c r="P321" s="186">
        <v>0</v>
      </c>
      <c r="Q321" s="186">
        <v>0</v>
      </c>
      <c r="R321" s="186">
        <v>0</v>
      </c>
      <c r="S321" s="186">
        <v>0</v>
      </c>
      <c r="T321" s="186">
        <v>0</v>
      </c>
      <c r="U321" s="186"/>
    </row>
    <row r="322" spans="1:21" x14ac:dyDescent="0.25">
      <c r="A322" t="s">
        <v>37</v>
      </c>
      <c r="B322" t="s">
        <v>18</v>
      </c>
      <c r="C322" t="s">
        <v>96</v>
      </c>
      <c r="D322" t="s">
        <v>93</v>
      </c>
      <c r="E322" t="s">
        <v>79</v>
      </c>
      <c r="F322" s="186"/>
      <c r="G322" s="186"/>
      <c r="H322" s="186"/>
      <c r="I322" s="186"/>
      <c r="J322" s="186"/>
      <c r="K322" s="186"/>
      <c r="L322" s="186"/>
      <c r="M322" s="186">
        <v>0</v>
      </c>
      <c r="N322" s="186">
        <v>0</v>
      </c>
      <c r="O322" s="186">
        <v>0</v>
      </c>
      <c r="P322" s="186">
        <v>0</v>
      </c>
      <c r="Q322" s="186">
        <v>0</v>
      </c>
      <c r="R322" s="186">
        <v>0</v>
      </c>
      <c r="S322" s="186">
        <v>0</v>
      </c>
      <c r="T322" s="186">
        <v>0</v>
      </c>
      <c r="U322" s="186"/>
    </row>
    <row r="323" spans="1:21" x14ac:dyDescent="0.25">
      <c r="A323" t="s">
        <v>37</v>
      </c>
      <c r="B323" t="s">
        <v>23</v>
      </c>
      <c r="C323" t="s">
        <v>97</v>
      </c>
      <c r="D323" t="s">
        <v>93</v>
      </c>
      <c r="E323" t="s">
        <v>79</v>
      </c>
      <c r="F323" s="186"/>
      <c r="G323" s="186"/>
      <c r="H323" s="186"/>
      <c r="I323" s="186"/>
      <c r="J323" s="186"/>
      <c r="K323" s="186"/>
      <c r="L323" s="186"/>
      <c r="M323" s="186">
        <v>37</v>
      </c>
      <c r="N323" s="186">
        <v>34.950000000000003</v>
      </c>
      <c r="O323" s="186">
        <v>34.869999999999997</v>
      </c>
      <c r="P323" s="186">
        <v>33.770000000000003</v>
      </c>
      <c r="Q323" s="186">
        <v>32.69</v>
      </c>
      <c r="R323" s="186">
        <v>31.64</v>
      </c>
      <c r="S323" s="186">
        <v>30.6</v>
      </c>
      <c r="T323" s="186">
        <v>29.57</v>
      </c>
      <c r="U323" s="186"/>
    </row>
    <row r="324" spans="1:21" x14ac:dyDescent="0.25">
      <c r="A324" t="s">
        <v>37</v>
      </c>
      <c r="B324" t="s">
        <v>48</v>
      </c>
      <c r="C324" t="s">
        <v>98</v>
      </c>
      <c r="D324" t="s">
        <v>99</v>
      </c>
      <c r="E324" t="s">
        <v>79</v>
      </c>
      <c r="F324" s="186"/>
      <c r="G324" s="186"/>
      <c r="H324" s="186"/>
      <c r="I324" s="186"/>
      <c r="J324" s="186"/>
      <c r="K324" s="186"/>
      <c r="L324" s="186"/>
      <c r="M324" s="186">
        <v>3337</v>
      </c>
      <c r="N324" s="186">
        <v>3347</v>
      </c>
      <c r="O324" s="186">
        <v>3357</v>
      </c>
      <c r="P324" s="186">
        <v>3369</v>
      </c>
      <c r="Q324" s="186">
        <v>3380</v>
      </c>
      <c r="R324" s="186">
        <v>3392</v>
      </c>
      <c r="S324" s="186">
        <v>3404</v>
      </c>
      <c r="T324" s="186">
        <v>3416</v>
      </c>
      <c r="U324" s="186"/>
    </row>
    <row r="325" spans="1:21" x14ac:dyDescent="0.25">
      <c r="A325" t="s">
        <v>37</v>
      </c>
      <c r="B325" t="s">
        <v>100</v>
      </c>
      <c r="C325" t="s">
        <v>101</v>
      </c>
      <c r="D325">
        <v>0</v>
      </c>
      <c r="E325" t="s">
        <v>79</v>
      </c>
      <c r="F325" s="192"/>
      <c r="G325" s="192"/>
      <c r="H325" s="192"/>
      <c r="I325" s="192"/>
      <c r="J325" s="192"/>
      <c r="K325" s="192"/>
      <c r="L325" s="192"/>
      <c r="M325" s="192">
        <v>319.80599999999998</v>
      </c>
      <c r="N325" s="192">
        <v>322.37099999999998</v>
      </c>
      <c r="O325" s="192">
        <v>324.87099999999998</v>
      </c>
      <c r="P325" s="192">
        <v>326.78699999999998</v>
      </c>
      <c r="Q325" s="192">
        <v>328.67099999999999</v>
      </c>
      <c r="R325" s="192">
        <v>330.56799999999998</v>
      </c>
      <c r="S325" s="192">
        <v>332.50200000000001</v>
      </c>
      <c r="T325" s="192">
        <v>334.5</v>
      </c>
      <c r="U325" s="192"/>
    </row>
    <row r="326" spans="1:21" x14ac:dyDescent="0.25">
      <c r="A326" t="s">
        <v>37</v>
      </c>
      <c r="B326" t="s">
        <v>102</v>
      </c>
      <c r="C326" t="s">
        <v>103</v>
      </c>
      <c r="D326" t="s">
        <v>25</v>
      </c>
      <c r="E326" t="s">
        <v>79</v>
      </c>
      <c r="F326" s="191"/>
      <c r="G326" s="191"/>
      <c r="H326" s="191"/>
      <c r="I326" s="191"/>
      <c r="J326" s="191"/>
      <c r="K326" s="191"/>
      <c r="L326" s="191"/>
      <c r="M326" s="191"/>
      <c r="N326" s="191"/>
      <c r="O326" s="191"/>
      <c r="P326" s="191"/>
      <c r="Q326" s="191"/>
      <c r="R326" s="191"/>
      <c r="S326" s="191"/>
      <c r="T326" s="191"/>
      <c r="U326" s="191">
        <v>0</v>
      </c>
    </row>
    <row r="327" spans="1:21" x14ac:dyDescent="0.25">
      <c r="A327" t="s">
        <v>37</v>
      </c>
      <c r="B327" t="s">
        <v>104</v>
      </c>
      <c r="C327" t="s">
        <v>105</v>
      </c>
      <c r="D327" t="s">
        <v>25</v>
      </c>
      <c r="E327" t="s">
        <v>79</v>
      </c>
      <c r="F327" s="191"/>
      <c r="G327" s="191"/>
      <c r="H327" s="191"/>
      <c r="I327" s="191"/>
      <c r="J327" s="191"/>
      <c r="K327" s="191"/>
      <c r="L327" s="191"/>
      <c r="M327" s="191"/>
      <c r="N327" s="191"/>
      <c r="O327" s="191"/>
      <c r="P327" s="191"/>
      <c r="Q327" s="191"/>
      <c r="R327" s="191"/>
      <c r="S327" s="191"/>
      <c r="T327" s="191"/>
      <c r="U327" s="191">
        <v>0</v>
      </c>
    </row>
    <row r="328" spans="1:21" x14ac:dyDescent="0.25">
      <c r="A328" t="s">
        <v>38</v>
      </c>
      <c r="B328" t="s">
        <v>77</v>
      </c>
      <c r="C328" t="s">
        <v>78</v>
      </c>
      <c r="D328" t="s">
        <v>25</v>
      </c>
      <c r="E328" t="s">
        <v>79</v>
      </c>
      <c r="F328" s="186"/>
      <c r="G328" s="186">
        <v>0.92935813378103704</v>
      </c>
      <c r="H328" s="186">
        <v>2.6824776531492698</v>
      </c>
      <c r="I328" s="186">
        <v>0.80012187288708603</v>
      </c>
      <c r="J328" s="186">
        <v>2.0963512994067002</v>
      </c>
      <c r="K328" s="186">
        <v>1.1018181364392701</v>
      </c>
      <c r="L328" s="186">
        <v>2.3944602379975399</v>
      </c>
      <c r="M328" s="186">
        <v>4.6079999999999997</v>
      </c>
      <c r="N328" s="186">
        <v>11.1403899040957</v>
      </c>
      <c r="O328" s="186">
        <v>7.01139939748803</v>
      </c>
      <c r="P328" s="186">
        <v>2.6298126916369502</v>
      </c>
      <c r="Q328" s="186">
        <v>5.4322316345902504</v>
      </c>
      <c r="R328" s="186">
        <v>5.32855273929425</v>
      </c>
      <c r="S328" s="186">
        <v>0.650872486069768</v>
      </c>
      <c r="T328" s="186">
        <v>0.80673349298728803</v>
      </c>
      <c r="U328" s="186"/>
    </row>
    <row r="329" spans="1:21" x14ac:dyDescent="0.25">
      <c r="A329" t="s">
        <v>38</v>
      </c>
      <c r="B329" t="s">
        <v>80</v>
      </c>
      <c r="C329" t="s">
        <v>81</v>
      </c>
      <c r="D329" t="s">
        <v>25</v>
      </c>
      <c r="E329" t="s">
        <v>79</v>
      </c>
      <c r="F329" s="186"/>
      <c r="G329" s="186">
        <v>0.92935813378103704</v>
      </c>
      <c r="H329" s="186">
        <v>0</v>
      </c>
      <c r="I329" s="186">
        <v>0.80012187288708603</v>
      </c>
      <c r="J329" s="186">
        <v>2.0963512994067002</v>
      </c>
      <c r="K329" s="186">
        <v>1.1018181364392701</v>
      </c>
      <c r="L329" s="186">
        <v>1.4615136643414</v>
      </c>
      <c r="M329" s="186">
        <v>1.732</v>
      </c>
      <c r="N329" s="186">
        <v>3.3030234994266801</v>
      </c>
      <c r="O329" s="186">
        <v>0.63534189724444101</v>
      </c>
      <c r="P329" s="186">
        <v>2.7479279635952998</v>
      </c>
      <c r="Q329" s="186">
        <v>5.8004616533096804</v>
      </c>
      <c r="R329" s="186">
        <v>5.6890929482967598</v>
      </c>
      <c r="S329" s="186">
        <v>0.999503842198326</v>
      </c>
      <c r="T329" s="186">
        <v>1.2672464852172101</v>
      </c>
      <c r="U329" s="186"/>
    </row>
    <row r="330" spans="1:21" x14ac:dyDescent="0.25">
      <c r="A330" t="s">
        <v>38</v>
      </c>
      <c r="B330" t="s">
        <v>82</v>
      </c>
      <c r="C330" t="s">
        <v>83</v>
      </c>
      <c r="D330" t="s">
        <v>25</v>
      </c>
      <c r="E330" t="s">
        <v>79</v>
      </c>
      <c r="F330" s="186"/>
      <c r="G330" s="186">
        <v>7.8945713528320196</v>
      </c>
      <c r="H330" s="186">
        <v>14.7137028472821</v>
      </c>
      <c r="I330" s="186">
        <v>5.8450118323191296</v>
      </c>
      <c r="J330" s="186">
        <v>5.1739956547171397</v>
      </c>
      <c r="K330" s="186">
        <v>10.3960026622296</v>
      </c>
      <c r="L330" s="186">
        <v>4.7047602790315999</v>
      </c>
      <c r="M330" s="186">
        <v>5.4139999999999997</v>
      </c>
      <c r="N330" s="186">
        <v>2.8906213525215501</v>
      </c>
      <c r="O330" s="186">
        <v>3.38530490086558</v>
      </c>
      <c r="P330" s="186">
        <v>3.55329887120836</v>
      </c>
      <c r="Q330" s="186">
        <v>11.421704464725501</v>
      </c>
      <c r="R330" s="186">
        <v>12.716297202654999</v>
      </c>
      <c r="S330" s="186">
        <v>6.6267913257149598</v>
      </c>
      <c r="T330" s="186">
        <v>7.9093044193680804</v>
      </c>
      <c r="U330" s="186"/>
    </row>
    <row r="331" spans="1:21" x14ac:dyDescent="0.25">
      <c r="A331" t="s">
        <v>38</v>
      </c>
      <c r="B331" t="s">
        <v>84</v>
      </c>
      <c r="C331" t="s">
        <v>85</v>
      </c>
      <c r="D331" t="s">
        <v>25</v>
      </c>
      <c r="E331" t="s">
        <v>79</v>
      </c>
      <c r="F331" s="186"/>
      <c r="G331" s="186">
        <v>7.8945713528320196</v>
      </c>
      <c r="H331" s="186">
        <v>0</v>
      </c>
      <c r="I331" s="186">
        <v>5.8450118323191296</v>
      </c>
      <c r="J331" s="186">
        <v>5.1739956547171397</v>
      </c>
      <c r="K331" s="186">
        <v>10.3960026622296</v>
      </c>
      <c r="L331" s="186">
        <v>3.93397603610997</v>
      </c>
      <c r="M331" s="186">
        <v>5.593</v>
      </c>
      <c r="N331" s="186">
        <v>2.8906213525215501</v>
      </c>
      <c r="O331" s="186">
        <v>3.38530490086558</v>
      </c>
      <c r="P331" s="186">
        <v>3.55329887120836</v>
      </c>
      <c r="Q331" s="186">
        <v>11.421704464725501</v>
      </c>
      <c r="R331" s="186">
        <v>12.716297202654999</v>
      </c>
      <c r="S331" s="186">
        <v>6.6267913257149598</v>
      </c>
      <c r="T331" s="186">
        <v>7.9093044193680804</v>
      </c>
      <c r="U331" s="186"/>
    </row>
    <row r="332" spans="1:21" x14ac:dyDescent="0.25">
      <c r="A332" t="s">
        <v>38</v>
      </c>
      <c r="B332" t="s">
        <v>86</v>
      </c>
      <c r="C332" t="s">
        <v>87</v>
      </c>
      <c r="D332" t="s">
        <v>25</v>
      </c>
      <c r="E332" t="s">
        <v>79</v>
      </c>
      <c r="F332" s="186"/>
      <c r="G332" s="186">
        <v>158.04521792575699</v>
      </c>
      <c r="H332" s="186">
        <v>166.43308353634899</v>
      </c>
      <c r="I332" s="186">
        <v>171.01386723637</v>
      </c>
      <c r="J332" s="186">
        <v>167.49043578940899</v>
      </c>
      <c r="K332" s="186">
        <v>161.50739484192999</v>
      </c>
      <c r="L332" s="186">
        <v>162.57516419958401</v>
      </c>
      <c r="M332" s="186">
        <v>171.97</v>
      </c>
      <c r="N332" s="186">
        <v>180.86241786359099</v>
      </c>
      <c r="O332" s="186">
        <v>169.00722924870701</v>
      </c>
      <c r="P332" s="186">
        <v>172.07300000000001</v>
      </c>
      <c r="Q332" s="186">
        <v>199.614</v>
      </c>
      <c r="R332" s="186">
        <v>208.20400000000001</v>
      </c>
      <c r="S332" s="186">
        <v>186.19499999999999</v>
      </c>
      <c r="T332" s="186">
        <v>194.58799999999999</v>
      </c>
      <c r="U332" s="186"/>
    </row>
    <row r="333" spans="1:21" x14ac:dyDescent="0.25">
      <c r="A333" t="s">
        <v>38</v>
      </c>
      <c r="B333" t="s">
        <v>44</v>
      </c>
      <c r="C333" t="s">
        <v>88</v>
      </c>
      <c r="D333" t="s">
        <v>25</v>
      </c>
      <c r="E333" t="s">
        <v>79</v>
      </c>
      <c r="F333" s="191"/>
      <c r="G333" s="191"/>
      <c r="H333" s="191"/>
      <c r="I333" s="191"/>
      <c r="J333" s="191"/>
      <c r="K333" s="191"/>
      <c r="L333" s="191"/>
      <c r="M333" s="191">
        <v>0</v>
      </c>
      <c r="N333" s="191">
        <v>0</v>
      </c>
      <c r="O333" s="191">
        <v>0</v>
      </c>
      <c r="P333" s="191">
        <v>0</v>
      </c>
      <c r="Q333" s="191">
        <v>0</v>
      </c>
      <c r="R333" s="191">
        <v>0</v>
      </c>
      <c r="S333" s="191">
        <v>8.6985628805772403E-2</v>
      </c>
      <c r="T333" s="191">
        <v>8.60070404817075E-2</v>
      </c>
      <c r="U333" s="191"/>
    </row>
    <row r="334" spans="1:21" x14ac:dyDescent="0.25">
      <c r="A334" t="s">
        <v>38</v>
      </c>
      <c r="B334" t="s">
        <v>45</v>
      </c>
      <c r="C334" t="s">
        <v>89</v>
      </c>
      <c r="D334" t="s">
        <v>25</v>
      </c>
      <c r="E334" t="s">
        <v>79</v>
      </c>
      <c r="F334" s="191"/>
      <c r="G334" s="191"/>
      <c r="H334" s="191"/>
      <c r="I334" s="191"/>
      <c r="J334" s="191"/>
      <c r="K334" s="191"/>
      <c r="L334" s="191"/>
      <c r="M334" s="191">
        <v>0</v>
      </c>
      <c r="N334" s="191">
        <v>0</v>
      </c>
      <c r="O334" s="191">
        <v>0</v>
      </c>
      <c r="P334" s="191">
        <v>0</v>
      </c>
      <c r="Q334" s="191">
        <v>0</v>
      </c>
      <c r="R334" s="191">
        <v>0</v>
      </c>
      <c r="S334" s="191">
        <v>9.0536062634579501E-2</v>
      </c>
      <c r="T334" s="191">
        <v>8.9517531929940497E-2</v>
      </c>
      <c r="U334" s="191"/>
    </row>
    <row r="335" spans="1:21" x14ac:dyDescent="0.25">
      <c r="A335" t="s">
        <v>38</v>
      </c>
      <c r="B335" t="s">
        <v>46</v>
      </c>
      <c r="C335" t="s">
        <v>90</v>
      </c>
      <c r="D335" t="s">
        <v>25</v>
      </c>
      <c r="E335" t="s">
        <v>79</v>
      </c>
      <c r="F335" s="191"/>
      <c r="G335" s="191"/>
      <c r="H335" s="191"/>
      <c r="I335" s="191"/>
      <c r="J335" s="191"/>
      <c r="K335" s="191"/>
      <c r="L335" s="191"/>
      <c r="M335" s="191">
        <v>0</v>
      </c>
      <c r="N335" s="191">
        <v>0</v>
      </c>
      <c r="O335" s="191">
        <v>0</v>
      </c>
      <c r="P335" s="191">
        <v>0.98029995691489502</v>
      </c>
      <c r="Q335" s="191">
        <v>1.1258284690815901</v>
      </c>
      <c r="R335" s="191">
        <v>1.6105177581905701</v>
      </c>
      <c r="S335" s="191">
        <v>2.22442827581333</v>
      </c>
      <c r="T335" s="191">
        <v>3.0890842130391398</v>
      </c>
      <c r="U335" s="191"/>
    </row>
    <row r="336" spans="1:21" x14ac:dyDescent="0.25">
      <c r="A336" t="s">
        <v>38</v>
      </c>
      <c r="B336" t="s">
        <v>47</v>
      </c>
      <c r="C336" t="s">
        <v>91</v>
      </c>
      <c r="D336" t="s">
        <v>25</v>
      </c>
      <c r="E336" t="s">
        <v>79</v>
      </c>
      <c r="F336" s="191"/>
      <c r="G336" s="191"/>
      <c r="H336" s="191"/>
      <c r="I336" s="191"/>
      <c r="J336" s="191"/>
      <c r="K336" s="191"/>
      <c r="L336" s="191"/>
      <c r="M336" s="191">
        <v>0</v>
      </c>
      <c r="N336" s="191">
        <v>0</v>
      </c>
      <c r="O336" s="191">
        <v>0</v>
      </c>
      <c r="P336" s="191">
        <v>0.98029995691489502</v>
      </c>
      <c r="Q336" s="191">
        <v>1.1258284690815901</v>
      </c>
      <c r="R336" s="191">
        <v>1.6105177581905701</v>
      </c>
      <c r="S336" s="191">
        <v>2.22442827581333</v>
      </c>
      <c r="T336" s="191">
        <v>3.0890842130391398</v>
      </c>
      <c r="U336" s="191"/>
    </row>
    <row r="337" spans="1:21" x14ac:dyDescent="0.25">
      <c r="A337" t="s">
        <v>38</v>
      </c>
      <c r="B337" t="s">
        <v>15</v>
      </c>
      <c r="C337" t="s">
        <v>92</v>
      </c>
      <c r="D337" t="s">
        <v>93</v>
      </c>
      <c r="E337" t="s">
        <v>79</v>
      </c>
      <c r="F337" s="186"/>
      <c r="G337" s="186"/>
      <c r="H337" s="186"/>
      <c r="I337" s="186"/>
      <c r="J337" s="186"/>
      <c r="K337" s="186"/>
      <c r="L337" s="186"/>
      <c r="M337" s="186">
        <v>0</v>
      </c>
      <c r="N337" s="186">
        <v>4</v>
      </c>
      <c r="O337" s="186">
        <v>29</v>
      </c>
      <c r="P337" s="186">
        <v>0</v>
      </c>
      <c r="Q337" s="186">
        <v>0</v>
      </c>
      <c r="R337" s="186">
        <v>0</v>
      </c>
      <c r="S337" s="186">
        <v>18.18</v>
      </c>
      <c r="T337" s="186">
        <v>0</v>
      </c>
      <c r="U337" s="186"/>
    </row>
    <row r="338" spans="1:21" x14ac:dyDescent="0.25">
      <c r="A338" t="s">
        <v>38</v>
      </c>
      <c r="B338" t="s">
        <v>16</v>
      </c>
      <c r="C338" t="s">
        <v>94</v>
      </c>
      <c r="D338" t="s">
        <v>93</v>
      </c>
      <c r="E338" t="s">
        <v>79</v>
      </c>
      <c r="F338" s="186"/>
      <c r="G338" s="186"/>
      <c r="H338" s="186"/>
      <c r="I338" s="186"/>
      <c r="J338" s="186"/>
      <c r="K338" s="186"/>
      <c r="L338" s="186"/>
      <c r="M338" s="186">
        <v>0</v>
      </c>
      <c r="N338" s="186">
        <v>0</v>
      </c>
      <c r="O338" s="186">
        <v>0</v>
      </c>
      <c r="P338" s="186">
        <v>0</v>
      </c>
      <c r="Q338" s="186">
        <v>0</v>
      </c>
      <c r="R338" s="186">
        <v>0</v>
      </c>
      <c r="S338" s="186">
        <v>0</v>
      </c>
      <c r="T338" s="186">
        <v>17.350000000000001</v>
      </c>
      <c r="U338" s="186"/>
    </row>
    <row r="339" spans="1:21" x14ac:dyDescent="0.25">
      <c r="A339" t="s">
        <v>38</v>
      </c>
      <c r="B339" t="s">
        <v>17</v>
      </c>
      <c r="C339" t="s">
        <v>95</v>
      </c>
      <c r="D339" t="s">
        <v>93</v>
      </c>
      <c r="E339" t="s">
        <v>79</v>
      </c>
      <c r="F339" s="186"/>
      <c r="G339" s="186"/>
      <c r="H339" s="186"/>
      <c r="I339" s="186"/>
      <c r="J339" s="186"/>
      <c r="K339" s="186"/>
      <c r="L339" s="186"/>
      <c r="M339" s="186">
        <v>0.47</v>
      </c>
      <c r="N339" s="186">
        <v>0</v>
      </c>
      <c r="O339" s="186">
        <v>0</v>
      </c>
      <c r="P339" s="186">
        <v>2.74</v>
      </c>
      <c r="Q339" s="186">
        <v>3.51</v>
      </c>
      <c r="R339" s="186">
        <v>6.55</v>
      </c>
      <c r="S339" s="186">
        <v>6.95</v>
      </c>
      <c r="T339" s="186">
        <v>6.86</v>
      </c>
      <c r="U339" s="186"/>
    </row>
    <row r="340" spans="1:21" x14ac:dyDescent="0.25">
      <c r="A340" t="s">
        <v>38</v>
      </c>
      <c r="B340" t="s">
        <v>18</v>
      </c>
      <c r="C340" t="s">
        <v>96</v>
      </c>
      <c r="D340" t="s">
        <v>93</v>
      </c>
      <c r="E340" t="s">
        <v>79</v>
      </c>
      <c r="F340" s="186"/>
      <c r="G340" s="186"/>
      <c r="H340" s="186"/>
      <c r="I340" s="186"/>
      <c r="J340" s="186"/>
      <c r="K340" s="186"/>
      <c r="L340" s="186"/>
      <c r="M340" s="186">
        <v>0.44</v>
      </c>
      <c r="N340" s="186">
        <v>0</v>
      </c>
      <c r="O340" s="186">
        <v>0</v>
      </c>
      <c r="P340" s="186">
        <v>2.74</v>
      </c>
      <c r="Q340" s="186">
        <v>3.51</v>
      </c>
      <c r="R340" s="186">
        <v>6.55</v>
      </c>
      <c r="S340" s="186">
        <v>6.95</v>
      </c>
      <c r="T340" s="186">
        <v>6.86</v>
      </c>
      <c r="U340" s="186"/>
    </row>
    <row r="341" spans="1:21" x14ac:dyDescent="0.25">
      <c r="A341" t="s">
        <v>38</v>
      </c>
      <c r="B341" t="s">
        <v>23</v>
      </c>
      <c r="C341" t="s">
        <v>97</v>
      </c>
      <c r="D341" t="s">
        <v>93</v>
      </c>
      <c r="E341" t="s">
        <v>79</v>
      </c>
      <c r="F341" s="186"/>
      <c r="G341" s="186"/>
      <c r="H341" s="186"/>
      <c r="I341" s="186"/>
      <c r="J341" s="186"/>
      <c r="K341" s="186"/>
      <c r="L341" s="186"/>
      <c r="M341" s="186">
        <v>87.692192146928704</v>
      </c>
      <c r="N341" s="186">
        <v>87.692192146928704</v>
      </c>
      <c r="O341" s="186">
        <v>87.692192146928704</v>
      </c>
      <c r="P341" s="186">
        <v>87.692192146928704</v>
      </c>
      <c r="Q341" s="186">
        <v>86.951733804650203</v>
      </c>
      <c r="R341" s="186">
        <v>83.201204771109005</v>
      </c>
      <c r="S341" s="186">
        <v>79.082168159882599</v>
      </c>
      <c r="T341" s="186">
        <v>75.075874259341404</v>
      </c>
      <c r="U341" s="186"/>
    </row>
    <row r="342" spans="1:21" x14ac:dyDescent="0.25">
      <c r="A342" t="s">
        <v>38</v>
      </c>
      <c r="B342" t="s">
        <v>48</v>
      </c>
      <c r="C342" t="s">
        <v>98</v>
      </c>
      <c r="D342" t="s">
        <v>99</v>
      </c>
      <c r="E342" t="s">
        <v>79</v>
      </c>
      <c r="F342" s="186"/>
      <c r="G342" s="186"/>
      <c r="H342" s="186"/>
      <c r="I342" s="186"/>
      <c r="J342" s="186"/>
      <c r="K342" s="186"/>
      <c r="L342" s="186"/>
      <c r="M342" s="186">
        <v>14620.74</v>
      </c>
      <c r="N342" s="186">
        <v>14732.050631341201</v>
      </c>
      <c r="O342" s="186">
        <v>14841.3904574847</v>
      </c>
      <c r="P342" s="186">
        <v>14941.896551138299</v>
      </c>
      <c r="Q342" s="186">
        <v>15032.1834129903</v>
      </c>
      <c r="R342" s="186">
        <v>15128.099786786201</v>
      </c>
      <c r="S342" s="186">
        <v>15216.215672525899</v>
      </c>
      <c r="T342" s="186">
        <v>15382.7868570254</v>
      </c>
      <c r="U342" s="186"/>
    </row>
    <row r="343" spans="1:21" x14ac:dyDescent="0.25">
      <c r="A343" t="s">
        <v>38</v>
      </c>
      <c r="B343" t="s">
        <v>100</v>
      </c>
      <c r="C343" t="s">
        <v>101</v>
      </c>
      <c r="D343">
        <v>0</v>
      </c>
      <c r="E343" t="s">
        <v>79</v>
      </c>
      <c r="F343" s="192"/>
      <c r="G343" s="192"/>
      <c r="H343" s="192"/>
      <c r="I343" s="192"/>
      <c r="J343" s="192"/>
      <c r="K343" s="192"/>
      <c r="L343" s="192"/>
      <c r="M343" s="192">
        <v>1013.178</v>
      </c>
      <c r="N343" s="192">
        <v>1017.45107764391</v>
      </c>
      <c r="O343" s="192">
        <v>1027.2224966532799</v>
      </c>
      <c r="P343" s="192">
        <v>1037.27309906292</v>
      </c>
      <c r="Q343" s="192">
        <v>1047.4744511378799</v>
      </c>
      <c r="R343" s="192">
        <v>1057.8287751004</v>
      </c>
      <c r="S343" s="192">
        <v>1068.3383868808601</v>
      </c>
      <c r="T343" s="192">
        <v>1079.0054149933101</v>
      </c>
      <c r="U343" s="192"/>
    </row>
    <row r="344" spans="1:21" x14ac:dyDescent="0.25">
      <c r="A344" t="s">
        <v>38</v>
      </c>
      <c r="B344" t="s">
        <v>102</v>
      </c>
      <c r="C344" t="s">
        <v>103</v>
      </c>
      <c r="D344" t="s">
        <v>25</v>
      </c>
      <c r="E344" t="s">
        <v>79</v>
      </c>
      <c r="F344" s="191"/>
      <c r="G344" s="191"/>
      <c r="H344" s="191"/>
      <c r="I344" s="191"/>
      <c r="J344" s="191"/>
      <c r="K344" s="191"/>
      <c r="L344" s="191"/>
      <c r="M344" s="191"/>
      <c r="N344" s="191"/>
      <c r="O344" s="191"/>
      <c r="P344" s="191"/>
      <c r="Q344" s="191"/>
      <c r="R344" s="191"/>
      <c r="S344" s="191"/>
      <c r="T344" s="191"/>
      <c r="U344" s="191">
        <v>0</v>
      </c>
    </row>
    <row r="345" spans="1:21" x14ac:dyDescent="0.25">
      <c r="A345" t="s">
        <v>38</v>
      </c>
      <c r="B345" t="s">
        <v>104</v>
      </c>
      <c r="C345" t="s">
        <v>105</v>
      </c>
      <c r="D345" t="s">
        <v>25</v>
      </c>
      <c r="E345" t="s">
        <v>79</v>
      </c>
      <c r="F345" s="191"/>
      <c r="G345" s="191"/>
      <c r="H345" s="191"/>
      <c r="I345" s="191"/>
      <c r="J345" s="191"/>
      <c r="K345" s="191"/>
      <c r="L345" s="191"/>
      <c r="M345" s="191"/>
      <c r="N345" s="191"/>
      <c r="O345" s="191"/>
      <c r="P345" s="191"/>
      <c r="Q345" s="191"/>
      <c r="R345" s="191"/>
      <c r="S345" s="191"/>
      <c r="T345" s="191"/>
      <c r="U345" s="191">
        <v>0</v>
      </c>
    </row>
    <row r="346" spans="1:21" x14ac:dyDescent="0.25">
      <c r="A346" t="s">
        <v>39</v>
      </c>
      <c r="B346" t="s">
        <v>77</v>
      </c>
      <c r="C346" t="s">
        <v>78</v>
      </c>
      <c r="D346" t="s">
        <v>25</v>
      </c>
      <c r="E346" t="s">
        <v>79</v>
      </c>
      <c r="F346" s="186"/>
      <c r="G346" s="186">
        <v>1.2351793155824301E-3</v>
      </c>
      <c r="H346" s="186">
        <v>9.4978035656508302E-4</v>
      </c>
      <c r="I346" s="186">
        <v>0</v>
      </c>
      <c r="J346" s="186">
        <v>0</v>
      </c>
      <c r="K346" s="186">
        <v>0</v>
      </c>
      <c r="L346" s="186">
        <v>0</v>
      </c>
      <c r="M346" s="186">
        <v>0</v>
      </c>
      <c r="N346" s="186">
        <v>0</v>
      </c>
      <c r="O346" s="186">
        <v>0</v>
      </c>
      <c r="P346" s="186">
        <v>0</v>
      </c>
      <c r="Q346" s="186">
        <v>0</v>
      </c>
      <c r="R346" s="186">
        <v>0</v>
      </c>
      <c r="S346" s="186">
        <v>0</v>
      </c>
      <c r="T346" s="186">
        <v>0</v>
      </c>
      <c r="U346" s="186"/>
    </row>
    <row r="347" spans="1:21" x14ac:dyDescent="0.25">
      <c r="A347" t="s">
        <v>39</v>
      </c>
      <c r="B347" t="s">
        <v>80</v>
      </c>
      <c r="C347" t="s">
        <v>81</v>
      </c>
      <c r="D347" t="s">
        <v>25</v>
      </c>
      <c r="E347" t="s">
        <v>79</v>
      </c>
      <c r="F347" s="186"/>
      <c r="G347" s="186">
        <v>0.45601576518909998</v>
      </c>
      <c r="H347" s="186">
        <v>0.62418044239316695</v>
      </c>
      <c r="I347" s="186">
        <v>0.290949489868154</v>
      </c>
      <c r="J347" s="186">
        <v>0.57969006308348003</v>
      </c>
      <c r="K347" s="186">
        <v>0.48319990912312799</v>
      </c>
      <c r="L347" s="186">
        <v>0.50395085945135498</v>
      </c>
      <c r="M347" s="186">
        <v>0</v>
      </c>
      <c r="N347" s="186">
        <v>0</v>
      </c>
      <c r="O347" s="186">
        <v>2.4110034465886901E-2</v>
      </c>
      <c r="P347" s="186">
        <v>0</v>
      </c>
      <c r="Q347" s="186">
        <v>0.826352047356812</v>
      </c>
      <c r="R347" s="186">
        <v>1.10214195478747</v>
      </c>
      <c r="S347" s="186">
        <v>0.99223306178927595</v>
      </c>
      <c r="T347" s="186">
        <v>0</v>
      </c>
      <c r="U347" s="186"/>
    </row>
    <row r="348" spans="1:21" x14ac:dyDescent="0.25">
      <c r="A348" t="s">
        <v>39</v>
      </c>
      <c r="B348" t="s">
        <v>82</v>
      </c>
      <c r="C348" t="s">
        <v>83</v>
      </c>
      <c r="D348" t="s">
        <v>25</v>
      </c>
      <c r="E348" t="s">
        <v>79</v>
      </c>
      <c r="F348" s="186"/>
      <c r="G348" s="186">
        <v>0</v>
      </c>
      <c r="H348" s="186">
        <v>0</v>
      </c>
      <c r="I348" s="186">
        <v>0</v>
      </c>
      <c r="J348" s="186">
        <v>0</v>
      </c>
      <c r="K348" s="186">
        <v>0</v>
      </c>
      <c r="L348" s="186">
        <v>0</v>
      </c>
      <c r="M348" s="186">
        <v>8.9639999999999997E-3</v>
      </c>
      <c r="N348" s="186">
        <v>0</v>
      </c>
      <c r="O348" s="186">
        <v>0</v>
      </c>
      <c r="P348" s="186">
        <v>0</v>
      </c>
      <c r="Q348" s="186">
        <v>0</v>
      </c>
      <c r="R348" s="186">
        <v>0</v>
      </c>
      <c r="S348" s="186">
        <v>0</v>
      </c>
      <c r="T348" s="186">
        <v>0</v>
      </c>
      <c r="U348" s="186"/>
    </row>
    <row r="349" spans="1:21" x14ac:dyDescent="0.25">
      <c r="A349" t="s">
        <v>39</v>
      </c>
      <c r="B349" t="s">
        <v>84</v>
      </c>
      <c r="C349" t="s">
        <v>85</v>
      </c>
      <c r="D349" t="s">
        <v>25</v>
      </c>
      <c r="E349" t="s">
        <v>79</v>
      </c>
      <c r="F349" s="186"/>
      <c r="G349" s="186">
        <v>7.8820618500808695E-2</v>
      </c>
      <c r="H349" s="186">
        <v>7.3260482986955394E-2</v>
      </c>
      <c r="I349" s="186">
        <v>8.1193841516227203E-2</v>
      </c>
      <c r="J349" s="186">
        <v>5.0609609360741999E-2</v>
      </c>
      <c r="K349" s="186">
        <v>8.4437921322795303E-2</v>
      </c>
      <c r="L349" s="186">
        <v>8.4005579461777502E-2</v>
      </c>
      <c r="M349" s="186">
        <v>6.5045420000000007E-2</v>
      </c>
      <c r="N349" s="186">
        <v>0.11027083678946099</v>
      </c>
      <c r="O349" s="186">
        <v>0.117180375975018</v>
      </c>
      <c r="P349" s="186">
        <v>1.9620772750048401</v>
      </c>
      <c r="Q349" s="186">
        <v>1.9620772750048401</v>
      </c>
      <c r="R349" s="186">
        <v>1.9620772750048401</v>
      </c>
      <c r="S349" s="186">
        <v>1.9620772750048401</v>
      </c>
      <c r="T349" s="186">
        <v>1.9620772750048401</v>
      </c>
      <c r="U349" s="186"/>
    </row>
    <row r="350" spans="1:21" x14ac:dyDescent="0.25">
      <c r="A350" t="s">
        <v>39</v>
      </c>
      <c r="B350" t="s">
        <v>86</v>
      </c>
      <c r="C350" t="s">
        <v>87</v>
      </c>
      <c r="D350" t="s">
        <v>25</v>
      </c>
      <c r="E350" t="s">
        <v>79</v>
      </c>
      <c r="F350" s="186"/>
      <c r="G350" s="186">
        <v>79.0064108590432</v>
      </c>
      <c r="H350" s="186">
        <v>86.069267941825998</v>
      </c>
      <c r="I350" s="186">
        <v>80.006591644689095</v>
      </c>
      <c r="J350" s="186">
        <v>80.054060597420104</v>
      </c>
      <c r="K350" s="186">
        <v>83.403541598416098</v>
      </c>
      <c r="L350" s="186">
        <v>87.872952272695997</v>
      </c>
      <c r="M350" s="186">
        <v>95.270778007395606</v>
      </c>
      <c r="N350" s="186">
        <v>91.752237451250195</v>
      </c>
      <c r="O350" s="186">
        <v>91.6348792439275</v>
      </c>
      <c r="P350" s="186">
        <v>113.258123356716</v>
      </c>
      <c r="Q350" s="186">
        <v>115.482494364305</v>
      </c>
      <c r="R350" s="186">
        <v>116.386526675222</v>
      </c>
      <c r="S350" s="186">
        <v>93.913343052343194</v>
      </c>
      <c r="T350" s="186">
        <v>96.804583812941502</v>
      </c>
      <c r="U350" s="186"/>
    </row>
    <row r="351" spans="1:21" x14ac:dyDescent="0.25">
      <c r="A351" t="s">
        <v>39</v>
      </c>
      <c r="B351" t="s">
        <v>44</v>
      </c>
      <c r="C351" t="s">
        <v>88</v>
      </c>
      <c r="D351" t="s">
        <v>25</v>
      </c>
      <c r="E351" t="s">
        <v>79</v>
      </c>
      <c r="F351" s="191"/>
      <c r="G351" s="191"/>
      <c r="H351" s="191"/>
      <c r="I351" s="191"/>
      <c r="J351" s="191"/>
      <c r="K351" s="191"/>
      <c r="L351" s="191"/>
      <c r="M351" s="191">
        <v>0</v>
      </c>
      <c r="N351" s="191">
        <v>0</v>
      </c>
      <c r="O351" s="191">
        <v>0</v>
      </c>
      <c r="P351" s="191">
        <v>0</v>
      </c>
      <c r="Q351" s="191">
        <v>0</v>
      </c>
      <c r="R351" s="191">
        <v>0</v>
      </c>
      <c r="S351" s="191">
        <v>0</v>
      </c>
      <c r="T351" s="191">
        <v>0</v>
      </c>
      <c r="U351" s="191"/>
    </row>
    <row r="352" spans="1:21" x14ac:dyDescent="0.25">
      <c r="A352" t="s">
        <v>39</v>
      </c>
      <c r="B352" t="s">
        <v>45</v>
      </c>
      <c r="C352" t="s">
        <v>89</v>
      </c>
      <c r="D352" t="s">
        <v>25</v>
      </c>
      <c r="E352" t="s">
        <v>79</v>
      </c>
      <c r="F352" s="191"/>
      <c r="G352" s="191"/>
      <c r="H352" s="191"/>
      <c r="I352" s="191"/>
      <c r="J352" s="191"/>
      <c r="K352" s="191"/>
      <c r="L352" s="191"/>
      <c r="M352" s="191">
        <v>0</v>
      </c>
      <c r="N352" s="191">
        <v>0</v>
      </c>
      <c r="O352" s="191">
        <v>0</v>
      </c>
      <c r="P352" s="191">
        <v>0</v>
      </c>
      <c r="Q352" s="191">
        <v>0</v>
      </c>
      <c r="R352" s="191">
        <v>0</v>
      </c>
      <c r="S352" s="191">
        <v>0</v>
      </c>
      <c r="T352" s="191">
        <v>0</v>
      </c>
      <c r="U352" s="191"/>
    </row>
    <row r="353" spans="1:21" x14ac:dyDescent="0.25">
      <c r="A353" t="s">
        <v>39</v>
      </c>
      <c r="B353" t="s">
        <v>46</v>
      </c>
      <c r="C353" t="s">
        <v>90</v>
      </c>
      <c r="D353" t="s">
        <v>25</v>
      </c>
      <c r="E353" t="s">
        <v>79</v>
      </c>
      <c r="F353" s="191"/>
      <c r="G353" s="191"/>
      <c r="H353" s="191"/>
      <c r="I353" s="191"/>
      <c r="J353" s="191"/>
      <c r="K353" s="191"/>
      <c r="L353" s="191"/>
      <c r="M353" s="191">
        <v>0</v>
      </c>
      <c r="N353" s="191">
        <v>0</v>
      </c>
      <c r="O353" s="191">
        <v>0</v>
      </c>
      <c r="P353" s="191">
        <v>0</v>
      </c>
      <c r="Q353" s="191">
        <v>0</v>
      </c>
      <c r="R353" s="191">
        <v>0</v>
      </c>
      <c r="S353" s="191">
        <v>0</v>
      </c>
      <c r="T353" s="191">
        <v>0</v>
      </c>
      <c r="U353" s="191"/>
    </row>
    <row r="354" spans="1:21" x14ac:dyDescent="0.25">
      <c r="A354" t="s">
        <v>39</v>
      </c>
      <c r="B354" t="s">
        <v>47</v>
      </c>
      <c r="C354" t="s">
        <v>91</v>
      </c>
      <c r="D354" t="s">
        <v>25</v>
      </c>
      <c r="E354" t="s">
        <v>79</v>
      </c>
      <c r="F354" s="191"/>
      <c r="G354" s="191"/>
      <c r="H354" s="191"/>
      <c r="I354" s="191"/>
      <c r="J354" s="191"/>
      <c r="K354" s="191"/>
      <c r="L354" s="191"/>
      <c r="M354" s="191">
        <v>0</v>
      </c>
      <c r="N354" s="191">
        <v>0</v>
      </c>
      <c r="O354" s="191">
        <v>0</v>
      </c>
      <c r="P354" s="191">
        <v>0.71064161319889996</v>
      </c>
      <c r="Q354" s="191">
        <v>0.68734188817598496</v>
      </c>
      <c r="R354" s="191">
        <v>0.67569202566452802</v>
      </c>
      <c r="S354" s="191">
        <v>0.67569202566452802</v>
      </c>
      <c r="T354" s="191">
        <v>0.65239230064161302</v>
      </c>
      <c r="U354" s="191"/>
    </row>
    <row r="355" spans="1:21" x14ac:dyDescent="0.25">
      <c r="A355" t="s">
        <v>39</v>
      </c>
      <c r="B355" t="s">
        <v>15</v>
      </c>
      <c r="C355" t="s">
        <v>92</v>
      </c>
      <c r="D355" t="s">
        <v>93</v>
      </c>
      <c r="E355" t="s">
        <v>79</v>
      </c>
      <c r="F355" s="186"/>
      <c r="G355" s="186"/>
      <c r="H355" s="186"/>
      <c r="I355" s="186"/>
      <c r="J355" s="186"/>
      <c r="K355" s="186"/>
      <c r="L355" s="186"/>
      <c r="M355" s="186">
        <v>0</v>
      </c>
      <c r="N355" s="186">
        <v>0</v>
      </c>
      <c r="O355" s="186">
        <v>0</v>
      </c>
      <c r="P355" s="186">
        <v>2.2999999999999998</v>
      </c>
      <c r="Q355" s="186">
        <v>2.2999999999999998</v>
      </c>
      <c r="R355" s="186">
        <v>2.2999999999999998</v>
      </c>
      <c r="S355" s="186">
        <v>6.22</v>
      </c>
      <c r="T355" s="186">
        <v>6.22</v>
      </c>
      <c r="U355" s="186"/>
    </row>
    <row r="356" spans="1:21" x14ac:dyDescent="0.25">
      <c r="A356" t="s">
        <v>39</v>
      </c>
      <c r="B356" t="s">
        <v>16</v>
      </c>
      <c r="C356" t="s">
        <v>94</v>
      </c>
      <c r="D356" t="s">
        <v>93</v>
      </c>
      <c r="E356" t="s">
        <v>79</v>
      </c>
      <c r="F356" s="186"/>
      <c r="G356" s="186"/>
      <c r="H356" s="186"/>
      <c r="I356" s="186"/>
      <c r="J356" s="186"/>
      <c r="K356" s="186"/>
      <c r="L356" s="186"/>
      <c r="M356" s="186">
        <v>0</v>
      </c>
      <c r="N356" s="186">
        <v>0</v>
      </c>
      <c r="O356" s="186">
        <v>0</v>
      </c>
      <c r="P356" s="186">
        <v>2.2999999999999998</v>
      </c>
      <c r="Q356" s="186">
        <v>2.2999999999999998</v>
      </c>
      <c r="R356" s="186">
        <v>2.2999999999999998</v>
      </c>
      <c r="S356" s="186">
        <v>6.22</v>
      </c>
      <c r="T356" s="186">
        <v>6.22</v>
      </c>
      <c r="U356" s="186"/>
    </row>
    <row r="357" spans="1:21" x14ac:dyDescent="0.25">
      <c r="A357" t="s">
        <v>39</v>
      </c>
      <c r="B357" t="s">
        <v>17</v>
      </c>
      <c r="C357" t="s">
        <v>95</v>
      </c>
      <c r="D357" t="s">
        <v>93</v>
      </c>
      <c r="E357" t="s">
        <v>79</v>
      </c>
      <c r="F357" s="186"/>
      <c r="G357" s="186"/>
      <c r="H357" s="186"/>
      <c r="I357" s="186"/>
      <c r="J357" s="186"/>
      <c r="K357" s="186"/>
      <c r="L357" s="186"/>
      <c r="M357" s="186">
        <v>0.17</v>
      </c>
      <c r="N357" s="186">
        <v>0.17</v>
      </c>
      <c r="O357" s="186">
        <v>0.17</v>
      </c>
      <c r="P357" s="186">
        <v>5.5917516360738997</v>
      </c>
      <c r="Q357" s="186">
        <v>6.5420703207909998</v>
      </c>
      <c r="R357" s="186">
        <v>7.4912227924267301</v>
      </c>
      <c r="S357" s="186">
        <v>8.4499709693931795</v>
      </c>
      <c r="T357" s="186">
        <v>9.4190677934449401</v>
      </c>
      <c r="U357" s="186"/>
    </row>
    <row r="358" spans="1:21" x14ac:dyDescent="0.25">
      <c r="A358" t="s">
        <v>39</v>
      </c>
      <c r="B358" t="s">
        <v>18</v>
      </c>
      <c r="C358" t="s">
        <v>96</v>
      </c>
      <c r="D358" t="s">
        <v>93</v>
      </c>
      <c r="E358" t="s">
        <v>79</v>
      </c>
      <c r="F358" s="186"/>
      <c r="G358" s="186"/>
      <c r="H358" s="186"/>
      <c r="I358" s="186"/>
      <c r="J358" s="186"/>
      <c r="K358" s="186"/>
      <c r="L358" s="186"/>
      <c r="M358" s="186">
        <v>0.17</v>
      </c>
      <c r="N358" s="186">
        <v>0.17</v>
      </c>
      <c r="O358" s="186">
        <v>0.17</v>
      </c>
      <c r="P358" s="186">
        <v>5.5917516360738997</v>
      </c>
      <c r="Q358" s="186">
        <v>6.5420703207910202</v>
      </c>
      <c r="R358" s="186">
        <v>7.4912227924267301</v>
      </c>
      <c r="S358" s="186">
        <v>8.4499709693931795</v>
      </c>
      <c r="T358" s="186">
        <v>9.4190677934449099</v>
      </c>
      <c r="U358" s="186"/>
    </row>
    <row r="359" spans="1:21" x14ac:dyDescent="0.25">
      <c r="A359" t="s">
        <v>39</v>
      </c>
      <c r="B359" t="s">
        <v>23</v>
      </c>
      <c r="C359" t="s">
        <v>97</v>
      </c>
      <c r="D359" t="s">
        <v>93</v>
      </c>
      <c r="E359" t="s">
        <v>79</v>
      </c>
      <c r="F359" s="186"/>
      <c r="G359" s="186"/>
      <c r="H359" s="186"/>
      <c r="I359" s="186"/>
      <c r="J359" s="186"/>
      <c r="K359" s="186"/>
      <c r="L359" s="186"/>
      <c r="M359" s="186">
        <v>86.8</v>
      </c>
      <c r="N359" s="186">
        <v>84</v>
      </c>
      <c r="O359" s="186">
        <v>84</v>
      </c>
      <c r="P359" s="186">
        <v>80.099999999999994</v>
      </c>
      <c r="Q359" s="186">
        <v>76.2</v>
      </c>
      <c r="R359" s="186">
        <v>72.3</v>
      </c>
      <c r="S359" s="186">
        <v>68.400000000000006</v>
      </c>
      <c r="T359" s="186">
        <v>64.400000000000006</v>
      </c>
      <c r="U359" s="186"/>
    </row>
    <row r="360" spans="1:21" x14ac:dyDescent="0.25">
      <c r="A360" t="s">
        <v>39</v>
      </c>
      <c r="B360" t="s">
        <v>48</v>
      </c>
      <c r="C360" t="s">
        <v>98</v>
      </c>
      <c r="D360" t="s">
        <v>99</v>
      </c>
      <c r="E360" t="s">
        <v>79</v>
      </c>
      <c r="F360" s="186"/>
      <c r="G360" s="186"/>
      <c r="H360" s="186"/>
      <c r="I360" s="186"/>
      <c r="J360" s="186"/>
      <c r="K360" s="186"/>
      <c r="L360" s="186"/>
      <c r="M360" s="186">
        <v>8490.91</v>
      </c>
      <c r="N360" s="186">
        <v>8570.81</v>
      </c>
      <c r="O360" s="186">
        <v>8651.91</v>
      </c>
      <c r="P360" s="186">
        <v>8731.07</v>
      </c>
      <c r="Q360" s="186">
        <v>8805.8799999999992</v>
      </c>
      <c r="R360" s="186">
        <v>8878.17</v>
      </c>
      <c r="S360" s="186">
        <v>8948.23</v>
      </c>
      <c r="T360" s="186">
        <v>9016.2000000000007</v>
      </c>
      <c r="U360" s="186"/>
    </row>
    <row r="361" spans="1:21" x14ac:dyDescent="0.25">
      <c r="A361" t="s">
        <v>39</v>
      </c>
      <c r="B361" t="s">
        <v>100</v>
      </c>
      <c r="C361" t="s">
        <v>101</v>
      </c>
      <c r="D361">
        <v>0</v>
      </c>
      <c r="E361" t="s">
        <v>79</v>
      </c>
      <c r="F361" s="192"/>
      <c r="G361" s="192"/>
      <c r="H361" s="192"/>
      <c r="I361" s="192"/>
      <c r="J361" s="192"/>
      <c r="K361" s="192"/>
      <c r="L361" s="192"/>
      <c r="M361" s="192">
        <v>735.85799999999995</v>
      </c>
      <c r="N361" s="192">
        <v>744.84370179257701</v>
      </c>
      <c r="O361" s="192">
        <v>753.94774969778302</v>
      </c>
      <c r="P361" s="192">
        <v>762.85746510250794</v>
      </c>
      <c r="Q361" s="192">
        <v>771.29584427752502</v>
      </c>
      <c r="R361" s="192">
        <v>779.34954073983101</v>
      </c>
      <c r="S361" s="192">
        <v>787.170099561337</v>
      </c>
      <c r="T361" s="192">
        <v>794.79173704289599</v>
      </c>
      <c r="U361" s="192"/>
    </row>
    <row r="362" spans="1:21" x14ac:dyDescent="0.25">
      <c r="A362" t="s">
        <v>39</v>
      </c>
      <c r="B362" t="s">
        <v>102</v>
      </c>
      <c r="C362" t="s">
        <v>103</v>
      </c>
      <c r="D362" t="s">
        <v>25</v>
      </c>
      <c r="E362" t="s">
        <v>79</v>
      </c>
      <c r="F362" s="191"/>
      <c r="G362" s="191"/>
      <c r="H362" s="191"/>
      <c r="I362" s="191"/>
      <c r="J362" s="191"/>
      <c r="K362" s="191"/>
      <c r="L362" s="191"/>
      <c r="M362" s="191"/>
      <c r="N362" s="191"/>
      <c r="O362" s="191"/>
      <c r="P362" s="191"/>
      <c r="Q362" s="191"/>
      <c r="R362" s="191"/>
      <c r="S362" s="191"/>
      <c r="T362" s="191"/>
      <c r="U362" s="191">
        <v>0</v>
      </c>
    </row>
    <row r="363" spans="1:21" x14ac:dyDescent="0.25">
      <c r="A363" t="s">
        <v>39</v>
      </c>
      <c r="B363" t="s">
        <v>104</v>
      </c>
      <c r="C363" t="s">
        <v>105</v>
      </c>
      <c r="D363" t="s">
        <v>25</v>
      </c>
      <c r="E363" t="s">
        <v>79</v>
      </c>
      <c r="F363" s="191"/>
      <c r="G363" s="191"/>
      <c r="H363" s="191"/>
      <c r="I363" s="191"/>
      <c r="J363" s="191"/>
      <c r="K363" s="191"/>
      <c r="L363" s="191"/>
      <c r="M363" s="191"/>
      <c r="N363" s="191"/>
      <c r="O363" s="191"/>
      <c r="P363" s="191"/>
      <c r="Q363" s="191"/>
      <c r="R363" s="191"/>
      <c r="S363" s="191"/>
      <c r="T363" s="191"/>
      <c r="U363" s="191">
        <v>0</v>
      </c>
    </row>
    <row r="364" spans="1:21" x14ac:dyDescent="0.25">
      <c r="A364" t="s">
        <v>40</v>
      </c>
      <c r="B364" t="s">
        <v>77</v>
      </c>
      <c r="C364" t="s">
        <v>78</v>
      </c>
      <c r="D364" t="s">
        <v>25</v>
      </c>
      <c r="E364" t="s">
        <v>79</v>
      </c>
      <c r="F364" s="186"/>
      <c r="G364" s="186">
        <v>3.2720920738711698</v>
      </c>
      <c r="H364" s="186">
        <v>2.42782571182053</v>
      </c>
      <c r="I364" s="186">
        <v>0.22196247464502999</v>
      </c>
      <c r="J364" s="186">
        <v>1.35855268655469E-2</v>
      </c>
      <c r="K364" s="186">
        <v>8.7396339434276202E-2</v>
      </c>
      <c r="L364" s="186">
        <v>0</v>
      </c>
      <c r="M364" s="186">
        <v>0</v>
      </c>
      <c r="N364" s="186">
        <v>0</v>
      </c>
      <c r="O364" s="186">
        <v>0</v>
      </c>
      <c r="P364" s="186">
        <v>0</v>
      </c>
      <c r="Q364" s="186">
        <v>0</v>
      </c>
      <c r="R364" s="186">
        <v>0</v>
      </c>
      <c r="S364" s="186">
        <v>0</v>
      </c>
      <c r="T364" s="186">
        <v>0</v>
      </c>
      <c r="U364" s="186"/>
    </row>
    <row r="365" spans="1:21" x14ac:dyDescent="0.25">
      <c r="A365" t="s">
        <v>40</v>
      </c>
      <c r="B365" t="s">
        <v>80</v>
      </c>
      <c r="C365" t="s">
        <v>81</v>
      </c>
      <c r="D365" t="s">
        <v>25</v>
      </c>
      <c r="E365" t="s">
        <v>79</v>
      </c>
      <c r="F365" s="186"/>
      <c r="G365" s="186">
        <v>0.27958098435981299</v>
      </c>
      <c r="H365" s="186">
        <v>1.6185504745470199E-2</v>
      </c>
      <c r="I365" s="186">
        <v>5.2848208248816803E-3</v>
      </c>
      <c r="J365" s="186">
        <v>0</v>
      </c>
      <c r="K365" s="186">
        <v>0</v>
      </c>
      <c r="L365" s="186">
        <v>0</v>
      </c>
      <c r="M365" s="186">
        <v>0</v>
      </c>
      <c r="N365" s="186">
        <v>0</v>
      </c>
      <c r="O365" s="186">
        <v>0</v>
      </c>
      <c r="P365" s="186">
        <v>0</v>
      </c>
      <c r="Q365" s="186">
        <v>0</v>
      </c>
      <c r="R365" s="186">
        <v>0</v>
      </c>
      <c r="S365" s="186">
        <v>0</v>
      </c>
      <c r="T365" s="186">
        <v>0</v>
      </c>
      <c r="U365" s="186"/>
    </row>
    <row r="366" spans="1:21" x14ac:dyDescent="0.25">
      <c r="A366" t="s">
        <v>40</v>
      </c>
      <c r="B366" t="s">
        <v>82</v>
      </c>
      <c r="C366" t="s">
        <v>83</v>
      </c>
      <c r="D366" t="s">
        <v>25</v>
      </c>
      <c r="E366" t="s">
        <v>79</v>
      </c>
      <c r="F366" s="186"/>
      <c r="G366" s="186">
        <v>0</v>
      </c>
      <c r="H366" s="186">
        <v>0</v>
      </c>
      <c r="I366" s="186">
        <v>0</v>
      </c>
      <c r="J366" s="186">
        <v>0</v>
      </c>
      <c r="K366" s="186">
        <v>0</v>
      </c>
      <c r="L366" s="186">
        <v>0</v>
      </c>
      <c r="M366" s="186">
        <v>0</v>
      </c>
      <c r="N366" s="186">
        <v>0</v>
      </c>
      <c r="O366" s="186">
        <v>0</v>
      </c>
      <c r="P366" s="186">
        <v>0</v>
      </c>
      <c r="Q366" s="186">
        <v>0</v>
      </c>
      <c r="R366" s="186">
        <v>0</v>
      </c>
      <c r="S366" s="186">
        <v>0</v>
      </c>
      <c r="T366" s="186">
        <v>0</v>
      </c>
      <c r="U366" s="186"/>
    </row>
    <row r="367" spans="1:21" x14ac:dyDescent="0.25">
      <c r="A367" t="s">
        <v>40</v>
      </c>
      <c r="B367" t="s">
        <v>84</v>
      </c>
      <c r="C367" t="s">
        <v>85</v>
      </c>
      <c r="D367" t="s">
        <v>25</v>
      </c>
      <c r="E367" t="s">
        <v>79</v>
      </c>
      <c r="F367" s="186"/>
      <c r="G367" s="186">
        <v>0.63099107537333199</v>
      </c>
      <c r="H367" s="186">
        <v>0.83948817946505605</v>
      </c>
      <c r="I367" s="186">
        <v>0.66905831643002001</v>
      </c>
      <c r="J367" s="186">
        <v>0.55805164201554303</v>
      </c>
      <c r="K367" s="186">
        <v>0.76575840266223005</v>
      </c>
      <c r="L367" s="186">
        <v>0.67122888797702096</v>
      </c>
      <c r="M367" s="186">
        <v>1.1739999999999999</v>
      </c>
      <c r="N367" s="186">
        <v>0</v>
      </c>
      <c r="O367" s="186">
        <v>0</v>
      </c>
      <c r="P367" s="186">
        <v>0</v>
      </c>
      <c r="Q367" s="186">
        <v>0</v>
      </c>
      <c r="R367" s="186">
        <v>0</v>
      </c>
      <c r="S367" s="186">
        <v>0</v>
      </c>
      <c r="T367" s="186">
        <v>0</v>
      </c>
      <c r="U367" s="186"/>
    </row>
    <row r="368" spans="1:21" x14ac:dyDescent="0.25">
      <c r="A368" t="s">
        <v>40</v>
      </c>
      <c r="B368" t="s">
        <v>86</v>
      </c>
      <c r="C368" t="s">
        <v>87</v>
      </c>
      <c r="D368" t="s">
        <v>25</v>
      </c>
      <c r="E368" t="s">
        <v>79</v>
      </c>
      <c r="F368" s="186"/>
      <c r="G368" s="186">
        <v>52.168927630997601</v>
      </c>
      <c r="H368" s="186">
        <v>46.444845383951602</v>
      </c>
      <c r="I368" s="186">
        <v>48.575959093982398</v>
      </c>
      <c r="J368" s="186">
        <v>46.034035263641698</v>
      </c>
      <c r="K368" s="186">
        <v>44.751087520798698</v>
      </c>
      <c r="L368" s="186">
        <v>49.336349610176299</v>
      </c>
      <c r="M368" s="186">
        <v>51.204999999999998</v>
      </c>
      <c r="N368" s="186">
        <v>52.362464734827803</v>
      </c>
      <c r="O368" s="186">
        <v>53.710573791836097</v>
      </c>
      <c r="P368" s="186">
        <v>52.777000000000001</v>
      </c>
      <c r="Q368" s="186">
        <v>57.543999999999997</v>
      </c>
      <c r="R368" s="186">
        <v>52.131</v>
      </c>
      <c r="S368" s="186">
        <v>46.371000000000002</v>
      </c>
      <c r="T368" s="186">
        <v>45.345999999999997</v>
      </c>
      <c r="U368" s="186"/>
    </row>
    <row r="369" spans="1:21" x14ac:dyDescent="0.25">
      <c r="A369" t="s">
        <v>40</v>
      </c>
      <c r="B369" t="s">
        <v>44</v>
      </c>
      <c r="C369" t="s">
        <v>88</v>
      </c>
      <c r="D369" t="s">
        <v>25</v>
      </c>
      <c r="E369" t="s">
        <v>79</v>
      </c>
      <c r="F369" s="191"/>
      <c r="G369" s="191"/>
      <c r="H369" s="191"/>
      <c r="I369" s="191"/>
      <c r="J369" s="191"/>
      <c r="K369" s="191"/>
      <c r="L369" s="191"/>
      <c r="M369" s="191">
        <v>0</v>
      </c>
      <c r="N369" s="191">
        <v>0</v>
      </c>
      <c r="O369" s="191">
        <v>0</v>
      </c>
      <c r="P369" s="191">
        <v>0</v>
      </c>
      <c r="Q369" s="191">
        <v>0</v>
      </c>
      <c r="R369" s="191">
        <v>0</v>
      </c>
      <c r="S369" s="191">
        <v>0</v>
      </c>
      <c r="T369" s="191">
        <v>0</v>
      </c>
      <c r="U369" s="191"/>
    </row>
    <row r="370" spans="1:21" x14ac:dyDescent="0.25">
      <c r="A370" t="s">
        <v>40</v>
      </c>
      <c r="B370" t="s">
        <v>45</v>
      </c>
      <c r="C370" t="s">
        <v>89</v>
      </c>
      <c r="D370" t="s">
        <v>25</v>
      </c>
      <c r="E370" t="s">
        <v>79</v>
      </c>
      <c r="F370" s="191"/>
      <c r="G370" s="191"/>
      <c r="H370" s="191"/>
      <c r="I370" s="191"/>
      <c r="J370" s="191"/>
      <c r="K370" s="191"/>
      <c r="L370" s="191"/>
      <c r="M370" s="191">
        <v>0</v>
      </c>
      <c r="N370" s="191">
        <v>0</v>
      </c>
      <c r="O370" s="191">
        <v>0</v>
      </c>
      <c r="P370" s="191">
        <v>0</v>
      </c>
      <c r="Q370" s="191">
        <v>0</v>
      </c>
      <c r="R370" s="191">
        <v>0</v>
      </c>
      <c r="S370" s="191">
        <v>0</v>
      </c>
      <c r="T370" s="191">
        <v>0</v>
      </c>
      <c r="U370" s="191"/>
    </row>
    <row r="371" spans="1:21" x14ac:dyDescent="0.25">
      <c r="A371" t="s">
        <v>40</v>
      </c>
      <c r="B371" t="s">
        <v>46</v>
      </c>
      <c r="C371" t="s">
        <v>90</v>
      </c>
      <c r="D371" t="s">
        <v>25</v>
      </c>
      <c r="E371" t="s">
        <v>79</v>
      </c>
      <c r="F371" s="191"/>
      <c r="G371" s="191"/>
      <c r="H371" s="191"/>
      <c r="I371" s="191"/>
      <c r="J371" s="191"/>
      <c r="K371" s="191"/>
      <c r="L371" s="191"/>
      <c r="M371" s="191">
        <v>0</v>
      </c>
      <c r="N371" s="191">
        <v>0</v>
      </c>
      <c r="O371" s="191">
        <v>0</v>
      </c>
      <c r="P371" s="191">
        <v>0</v>
      </c>
      <c r="Q371" s="191">
        <v>0</v>
      </c>
      <c r="R371" s="191">
        <v>0</v>
      </c>
      <c r="S371" s="191">
        <v>0</v>
      </c>
      <c r="T371" s="191">
        <v>0</v>
      </c>
      <c r="U371" s="191"/>
    </row>
    <row r="372" spans="1:21" x14ac:dyDescent="0.25">
      <c r="A372" t="s">
        <v>40</v>
      </c>
      <c r="B372" t="s">
        <v>47</v>
      </c>
      <c r="C372" t="s">
        <v>91</v>
      </c>
      <c r="D372" t="s">
        <v>25</v>
      </c>
      <c r="E372" t="s">
        <v>79</v>
      </c>
      <c r="F372" s="191"/>
      <c r="G372" s="191"/>
      <c r="H372" s="191"/>
      <c r="I372" s="191"/>
      <c r="J372" s="191"/>
      <c r="K372" s="191"/>
      <c r="L372" s="191"/>
      <c r="M372" s="191">
        <v>0</v>
      </c>
      <c r="N372" s="191">
        <v>0</v>
      </c>
      <c r="O372" s="191">
        <v>0</v>
      </c>
      <c r="P372" s="191">
        <v>0.53900000000000003</v>
      </c>
      <c r="Q372" s="191">
        <v>0.52900000000000003</v>
      </c>
      <c r="R372" s="191">
        <v>0.51800000000000002</v>
      </c>
      <c r="S372" s="191">
        <v>0.50700000000000001</v>
      </c>
      <c r="T372" s="191">
        <v>0.496</v>
      </c>
      <c r="U372" s="191"/>
    </row>
    <row r="373" spans="1:21" x14ac:dyDescent="0.25">
      <c r="A373" t="s">
        <v>40</v>
      </c>
      <c r="B373" t="s">
        <v>15</v>
      </c>
      <c r="C373" t="s">
        <v>92</v>
      </c>
      <c r="D373" t="s">
        <v>93</v>
      </c>
      <c r="E373" t="s">
        <v>79</v>
      </c>
      <c r="F373" s="186"/>
      <c r="G373" s="186"/>
      <c r="H373" s="186"/>
      <c r="I373" s="186"/>
      <c r="J373" s="186"/>
      <c r="K373" s="186"/>
      <c r="L373" s="186"/>
      <c r="M373" s="186">
        <v>0</v>
      </c>
      <c r="N373" s="186">
        <v>0</v>
      </c>
      <c r="O373" s="186">
        <v>0</v>
      </c>
      <c r="P373" s="186">
        <v>0</v>
      </c>
      <c r="Q373" s="186">
        <v>0</v>
      </c>
      <c r="R373" s="186">
        <v>0</v>
      </c>
      <c r="S373" s="186">
        <v>0</v>
      </c>
      <c r="T373" s="186">
        <v>0</v>
      </c>
      <c r="U373" s="186"/>
    </row>
    <row r="374" spans="1:21" x14ac:dyDescent="0.25">
      <c r="A374" t="s">
        <v>40</v>
      </c>
      <c r="B374" t="s">
        <v>16</v>
      </c>
      <c r="C374" t="s">
        <v>94</v>
      </c>
      <c r="D374" t="s">
        <v>93</v>
      </c>
      <c r="E374" t="s">
        <v>79</v>
      </c>
      <c r="F374" s="186"/>
      <c r="G374" s="186"/>
      <c r="H374" s="186"/>
      <c r="I374" s="186"/>
      <c r="J374" s="186"/>
      <c r="K374" s="186"/>
      <c r="L374" s="186"/>
      <c r="M374" s="186">
        <v>0</v>
      </c>
      <c r="N374" s="186">
        <v>0</v>
      </c>
      <c r="O374" s="186">
        <v>0</v>
      </c>
      <c r="P374" s="186">
        <v>0</v>
      </c>
      <c r="Q374" s="186">
        <v>0</v>
      </c>
      <c r="R374" s="186">
        <v>0</v>
      </c>
      <c r="S374" s="186">
        <v>0</v>
      </c>
      <c r="T374" s="186">
        <v>0</v>
      </c>
      <c r="U374" s="186"/>
    </row>
    <row r="375" spans="1:21" x14ac:dyDescent="0.25">
      <c r="A375" t="s">
        <v>40</v>
      </c>
      <c r="B375" t="s">
        <v>17</v>
      </c>
      <c r="C375" t="s">
        <v>95</v>
      </c>
      <c r="D375" t="s">
        <v>93</v>
      </c>
      <c r="E375" t="s">
        <v>79</v>
      </c>
      <c r="F375" s="186"/>
      <c r="G375" s="186"/>
      <c r="H375" s="186"/>
      <c r="I375" s="186"/>
      <c r="J375" s="186"/>
      <c r="K375" s="186"/>
      <c r="L375" s="186"/>
      <c r="M375" s="186">
        <v>0</v>
      </c>
      <c r="N375" s="186">
        <v>0</v>
      </c>
      <c r="O375" s="186">
        <v>0</v>
      </c>
      <c r="P375" s="186">
        <v>1.72</v>
      </c>
      <c r="Q375" s="186">
        <v>1.73</v>
      </c>
      <c r="R375" s="186">
        <v>1.73</v>
      </c>
      <c r="S375" s="186">
        <v>1.73</v>
      </c>
      <c r="T375" s="186">
        <v>1.73</v>
      </c>
      <c r="U375" s="186"/>
    </row>
    <row r="376" spans="1:21" x14ac:dyDescent="0.25">
      <c r="A376" t="s">
        <v>40</v>
      </c>
      <c r="B376" t="s">
        <v>18</v>
      </c>
      <c r="C376" t="s">
        <v>96</v>
      </c>
      <c r="D376" t="s">
        <v>93</v>
      </c>
      <c r="E376" t="s">
        <v>79</v>
      </c>
      <c r="F376" s="186"/>
      <c r="G376" s="186"/>
      <c r="H376" s="186"/>
      <c r="I376" s="186"/>
      <c r="J376" s="186"/>
      <c r="K376" s="186"/>
      <c r="L376" s="186"/>
      <c r="M376" s="186">
        <v>0</v>
      </c>
      <c r="N376" s="186">
        <v>0</v>
      </c>
      <c r="O376" s="186">
        <v>0</v>
      </c>
      <c r="P376" s="186">
        <v>1.72</v>
      </c>
      <c r="Q376" s="186">
        <v>1.73</v>
      </c>
      <c r="R376" s="186">
        <v>1.73</v>
      </c>
      <c r="S376" s="186">
        <v>1.73</v>
      </c>
      <c r="T376" s="186">
        <v>1.73</v>
      </c>
      <c r="U376" s="186"/>
    </row>
    <row r="377" spans="1:21" x14ac:dyDescent="0.25">
      <c r="A377" t="s">
        <v>40</v>
      </c>
      <c r="B377" t="s">
        <v>23</v>
      </c>
      <c r="C377" t="s">
        <v>97</v>
      </c>
      <c r="D377" t="s">
        <v>93</v>
      </c>
      <c r="E377" t="s">
        <v>79</v>
      </c>
      <c r="F377" s="186"/>
      <c r="G377" s="186"/>
      <c r="H377" s="186"/>
      <c r="I377" s="186"/>
      <c r="J377" s="186"/>
      <c r="K377" s="186"/>
      <c r="L377" s="186"/>
      <c r="M377" s="186">
        <v>24.16</v>
      </c>
      <c r="N377" s="186">
        <v>24.1</v>
      </c>
      <c r="O377" s="186">
        <v>24</v>
      </c>
      <c r="P377" s="186">
        <v>23.3</v>
      </c>
      <c r="Q377" s="186">
        <v>22.6</v>
      </c>
      <c r="R377" s="186">
        <v>21.8</v>
      </c>
      <c r="S377" s="186">
        <v>21.1</v>
      </c>
      <c r="T377" s="186">
        <v>20.399999999999999</v>
      </c>
      <c r="U377" s="186"/>
    </row>
    <row r="378" spans="1:21" x14ac:dyDescent="0.25">
      <c r="A378" t="s">
        <v>40</v>
      </c>
      <c r="B378" t="s">
        <v>48</v>
      </c>
      <c r="C378" t="s">
        <v>98</v>
      </c>
      <c r="D378" t="s">
        <v>99</v>
      </c>
      <c r="E378" t="s">
        <v>79</v>
      </c>
      <c r="F378" s="186"/>
      <c r="G378" s="186"/>
      <c r="H378" s="186"/>
      <c r="I378" s="186"/>
      <c r="J378" s="186"/>
      <c r="K378" s="186"/>
      <c r="L378" s="186"/>
      <c r="M378" s="186">
        <v>3481</v>
      </c>
      <c r="N378" s="186">
        <v>3497</v>
      </c>
      <c r="O378" s="186">
        <v>3504</v>
      </c>
      <c r="P378" s="186">
        <v>3511</v>
      </c>
      <c r="Q378" s="186">
        <v>3518</v>
      </c>
      <c r="R378" s="186">
        <v>3528</v>
      </c>
      <c r="S378" s="186">
        <v>3536</v>
      </c>
      <c r="T378" s="186">
        <v>3544</v>
      </c>
      <c r="U378" s="186"/>
    </row>
    <row r="379" spans="1:21" x14ac:dyDescent="0.25">
      <c r="A379" t="s">
        <v>40</v>
      </c>
      <c r="B379" t="s">
        <v>100</v>
      </c>
      <c r="C379" t="s">
        <v>101</v>
      </c>
      <c r="D379">
        <v>0</v>
      </c>
      <c r="E379" t="s">
        <v>79</v>
      </c>
      <c r="F379" s="192"/>
      <c r="G379" s="192"/>
      <c r="H379" s="192"/>
      <c r="I379" s="192"/>
      <c r="J379" s="192"/>
      <c r="K379" s="192"/>
      <c r="L379" s="192"/>
      <c r="M379" s="192">
        <v>291.35199999999998</v>
      </c>
      <c r="N379" s="192">
        <v>295.036</v>
      </c>
      <c r="O379" s="192">
        <v>297.0915</v>
      </c>
      <c r="P379" s="192">
        <v>299.07400000000001</v>
      </c>
      <c r="Q379" s="192">
        <v>301.15050000000002</v>
      </c>
      <c r="R379" s="192">
        <v>303.33749999999998</v>
      </c>
      <c r="S379" s="192">
        <v>305.58350000000002</v>
      </c>
      <c r="T379" s="192">
        <v>308.04450000000003</v>
      </c>
      <c r="U379" s="192"/>
    </row>
    <row r="380" spans="1:21" x14ac:dyDescent="0.25">
      <c r="A380" t="s">
        <v>40</v>
      </c>
      <c r="B380" t="s">
        <v>102</v>
      </c>
      <c r="C380" t="s">
        <v>103</v>
      </c>
      <c r="D380" t="s">
        <v>25</v>
      </c>
      <c r="E380" t="s">
        <v>79</v>
      </c>
      <c r="F380" s="191"/>
      <c r="G380" s="191"/>
      <c r="H380" s="191"/>
      <c r="I380" s="191"/>
      <c r="J380" s="191"/>
      <c r="K380" s="191"/>
      <c r="L380" s="191"/>
      <c r="M380" s="191"/>
      <c r="N380" s="191"/>
      <c r="O380" s="191"/>
      <c r="P380" s="191"/>
      <c r="Q380" s="191"/>
      <c r="R380" s="191"/>
      <c r="S380" s="191"/>
      <c r="T380" s="191"/>
      <c r="U380" s="191">
        <v>0</v>
      </c>
    </row>
    <row r="381" spans="1:21" x14ac:dyDescent="0.25">
      <c r="A381" t="s">
        <v>40</v>
      </c>
      <c r="B381" t="s">
        <v>104</v>
      </c>
      <c r="C381" t="s">
        <v>105</v>
      </c>
      <c r="D381" t="s">
        <v>25</v>
      </c>
      <c r="E381" t="s">
        <v>79</v>
      </c>
      <c r="F381" s="191"/>
      <c r="G381" s="191"/>
      <c r="H381" s="191"/>
      <c r="I381" s="191"/>
      <c r="J381" s="191"/>
      <c r="K381" s="191"/>
      <c r="L381" s="191"/>
      <c r="M381" s="191"/>
      <c r="N381" s="191"/>
      <c r="O381" s="191"/>
      <c r="P381" s="191"/>
      <c r="Q381" s="191"/>
      <c r="R381" s="191"/>
      <c r="S381" s="191"/>
      <c r="T381" s="191"/>
      <c r="U381" s="191">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N71"/>
  <sheetViews>
    <sheetView zoomScaleNormal="100" workbookViewId="0"/>
  </sheetViews>
  <sheetFormatPr defaultColWidth="8.7109375" defaultRowHeight="15" x14ac:dyDescent="0.3"/>
  <cols>
    <col min="1" max="1" width="7.28515625" style="2" customWidth="1"/>
    <col min="2" max="2" width="53" style="2" customWidth="1"/>
    <col min="3" max="3" width="20" style="2" customWidth="1"/>
    <col min="4" max="4" width="17.85546875" style="2" customWidth="1"/>
    <col min="5" max="5" width="10.28515625" style="38" customWidth="1"/>
    <col min="6" max="6" width="14.7109375" style="2" customWidth="1"/>
    <col min="7" max="7" width="68.28515625" style="2" customWidth="1"/>
    <col min="8" max="9" width="11.7109375" style="2" customWidth="1"/>
    <col min="10" max="10" width="11" style="2" bestFit="1" customWidth="1"/>
    <col min="11" max="12" width="8.28515625" style="2" customWidth="1"/>
    <col min="13" max="13" width="14" style="2" customWidth="1"/>
    <col min="14" max="16384" width="8.7109375" style="2"/>
  </cols>
  <sheetData>
    <row r="1" spans="2:9" s="4" customFormat="1" ht="21.75" x14ac:dyDescent="0.3">
      <c r="B1" s="6" t="s">
        <v>764</v>
      </c>
      <c r="C1" s="1"/>
      <c r="D1" s="1"/>
      <c r="E1" s="45"/>
      <c r="F1" s="1"/>
      <c r="G1" s="2"/>
      <c r="H1" s="10"/>
      <c r="I1" s="11"/>
    </row>
    <row r="2" spans="2:9" s="4" customFormat="1" ht="22.5" thickBot="1" x14ac:dyDescent="0.35">
      <c r="B2" s="5"/>
      <c r="C2" s="8"/>
      <c r="D2" s="8"/>
      <c r="E2" s="38"/>
      <c r="F2" s="2"/>
      <c r="G2" s="2"/>
      <c r="H2" s="10"/>
      <c r="I2" s="11"/>
    </row>
    <row r="3" spans="2:9" s="4" customFormat="1" ht="22.5" thickBot="1" x14ac:dyDescent="0.35">
      <c r="B3" s="5" t="s">
        <v>1</v>
      </c>
      <c r="C3" s="8"/>
      <c r="D3" s="8"/>
      <c r="E3" s="38"/>
      <c r="F3" s="394" t="s">
        <v>385</v>
      </c>
      <c r="G3" s="2"/>
      <c r="H3" s="10"/>
    </row>
    <row r="4" spans="2:9" x14ac:dyDescent="0.3">
      <c r="B4" s="354" t="s">
        <v>471</v>
      </c>
      <c r="C4" s="711" t="s">
        <v>387</v>
      </c>
      <c r="D4" s="712"/>
      <c r="F4" s="395" t="str">
        <f>IF(ROUND(C10,3)-ROUND((F61+F62),3)=0,"OK","ERROR")</f>
        <v>OK</v>
      </c>
      <c r="G4" s="2" t="s">
        <v>798</v>
      </c>
    </row>
    <row r="5" spans="2:9" ht="15.75" thickBot="1" x14ac:dyDescent="0.35">
      <c r="B5" s="355" t="s">
        <v>388</v>
      </c>
      <c r="C5" s="713">
        <v>43616</v>
      </c>
      <c r="D5" s="714"/>
      <c r="F5" s="396" t="str">
        <f>IF(ROUND(D28,3)-ROUND((C10),3)=0,"OK","ERROR")</f>
        <v>OK</v>
      </c>
      <c r="G5" s="2" t="s">
        <v>819</v>
      </c>
    </row>
    <row r="6" spans="2:9" ht="15.75" thickBot="1" x14ac:dyDescent="0.35">
      <c r="B6" s="356" t="s">
        <v>389</v>
      </c>
      <c r="C6" s="715" t="s">
        <v>932</v>
      </c>
      <c r="D6" s="716"/>
    </row>
    <row r="7" spans="2:9" x14ac:dyDescent="0.3">
      <c r="B7" s="16"/>
      <c r="C7" s="16"/>
      <c r="D7" s="17"/>
    </row>
    <row r="8" spans="2:9" ht="15.75" thickBot="1" x14ac:dyDescent="0.35">
      <c r="B8" s="5" t="s">
        <v>6</v>
      </c>
    </row>
    <row r="9" spans="2:9" x14ac:dyDescent="0.3">
      <c r="B9" s="357" t="s">
        <v>312</v>
      </c>
      <c r="C9" s="360" t="s">
        <v>40</v>
      </c>
      <c r="D9" s="402"/>
    </row>
    <row r="10" spans="2:9" x14ac:dyDescent="0.3">
      <c r="B10" s="358" t="s">
        <v>474</v>
      </c>
      <c r="C10" s="361">
        <f>INDEX(Analysis!L5:L21,MATCH(C9,Analysis!B5:B21,0))</f>
        <v>20.032</v>
      </c>
      <c r="D10" s="5"/>
    </row>
    <row r="11" spans="2:9" x14ac:dyDescent="0.3">
      <c r="B11" s="358" t="s">
        <v>475</v>
      </c>
      <c r="C11" s="361">
        <v>0</v>
      </c>
      <c r="D11" s="15"/>
      <c r="E11" s="63"/>
      <c r="G11" s="15"/>
    </row>
    <row r="12" spans="2:9" x14ac:dyDescent="0.3">
      <c r="B12" s="358" t="s">
        <v>476</v>
      </c>
      <c r="C12" s="362">
        <f>C10+C11</f>
        <v>20.032</v>
      </c>
      <c r="D12" s="15"/>
      <c r="E12" s="63"/>
      <c r="G12" s="15"/>
    </row>
    <row r="13" spans="2:9" x14ac:dyDescent="0.3">
      <c r="B13" s="358" t="s">
        <v>477</v>
      </c>
      <c r="C13" s="362">
        <v>0</v>
      </c>
      <c r="D13" s="15"/>
      <c r="E13" s="63"/>
      <c r="G13" s="15"/>
    </row>
    <row r="14" spans="2:9" ht="15.75" thickBot="1" x14ac:dyDescent="0.35">
      <c r="B14" s="359" t="s">
        <v>478</v>
      </c>
      <c r="C14" s="363">
        <f ca="1">F28</f>
        <v>2.5889999999999995</v>
      </c>
      <c r="D14" s="15"/>
      <c r="E14" s="63"/>
      <c r="G14" s="15"/>
    </row>
    <row r="15" spans="2:9" x14ac:dyDescent="0.3">
      <c r="B15" s="337"/>
      <c r="C15" s="15"/>
      <c r="D15" s="15"/>
      <c r="E15" s="63"/>
      <c r="G15" s="15"/>
    </row>
    <row r="16" spans="2:9" ht="15.75" thickBot="1" x14ac:dyDescent="0.35">
      <c r="B16" s="5" t="s">
        <v>391</v>
      </c>
      <c r="C16" s="82"/>
    </row>
    <row r="17" spans="1:9" ht="15.75" thickBot="1" x14ac:dyDescent="0.35">
      <c r="B17" s="364" t="s">
        <v>479</v>
      </c>
      <c r="C17" s="365">
        <f ca="1">C13+C14</f>
        <v>2.5889999999999995</v>
      </c>
      <c r="D17" s="5"/>
    </row>
    <row r="18" spans="1:9" x14ac:dyDescent="0.3">
      <c r="A18" s="44"/>
    </row>
    <row r="19" spans="1:9" ht="16.5" thickBot="1" x14ac:dyDescent="0.35">
      <c r="A19" s="44"/>
      <c r="B19" s="172" t="s">
        <v>480</v>
      </c>
      <c r="C19" s="35"/>
      <c r="D19" s="16"/>
      <c r="E19" s="22"/>
      <c r="F19" s="40"/>
      <c r="G19" s="64"/>
    </row>
    <row r="20" spans="1:9" s="31" customFormat="1" ht="45" x14ac:dyDescent="0.3">
      <c r="A20" s="372" t="s">
        <v>481</v>
      </c>
      <c r="B20" s="373" t="s">
        <v>482</v>
      </c>
      <c r="C20" s="382" t="s">
        <v>483</v>
      </c>
      <c r="D20" s="382" t="s">
        <v>484</v>
      </c>
      <c r="E20" s="382" t="s">
        <v>485</v>
      </c>
      <c r="F20" s="382" t="s">
        <v>486</v>
      </c>
      <c r="G20" s="470" t="s">
        <v>340</v>
      </c>
    </row>
    <row r="21" spans="1:9" ht="30" x14ac:dyDescent="0.3">
      <c r="A21" s="374">
        <v>1</v>
      </c>
      <c r="B21" s="166" t="s">
        <v>411</v>
      </c>
      <c r="C21" s="367">
        <f>SUM(C22:C23)</f>
        <v>2.2679999999999998</v>
      </c>
      <c r="D21" s="367">
        <f>SUM(D22:D23)</f>
        <v>2.5889999999999995</v>
      </c>
      <c r="E21" s="367">
        <f>C21</f>
        <v>2.2679999999999998</v>
      </c>
      <c r="F21" s="368">
        <f ca="1">E21*MIN(C31,D31)</f>
        <v>2.5889999999999995</v>
      </c>
      <c r="G21" s="471" t="s">
        <v>1064</v>
      </c>
    </row>
    <row r="22" spans="1:9" x14ac:dyDescent="0.3">
      <c r="A22" s="374" t="s">
        <v>487</v>
      </c>
      <c r="B22" s="166" t="s">
        <v>408</v>
      </c>
      <c r="C22" s="384">
        <v>0</v>
      </c>
      <c r="D22" s="385">
        <v>0</v>
      </c>
      <c r="E22" s="371"/>
      <c r="F22" s="371"/>
      <c r="G22" s="619"/>
    </row>
    <row r="23" spans="1:9" ht="30" x14ac:dyDescent="0.3">
      <c r="A23" s="374" t="s">
        <v>488</v>
      </c>
      <c r="B23" s="166" t="s">
        <v>409</v>
      </c>
      <c r="C23" s="384">
        <f>0.45*(D71-C24)</f>
        <v>2.2679999999999998</v>
      </c>
      <c r="D23" s="384">
        <f>F70-C50</f>
        <v>2.5889999999999995</v>
      </c>
      <c r="E23" s="371"/>
      <c r="F23" s="371"/>
      <c r="G23" s="619" t="s">
        <v>820</v>
      </c>
    </row>
    <row r="24" spans="1:9" ht="135" x14ac:dyDescent="0.3">
      <c r="A24" s="374">
        <v>2</v>
      </c>
      <c r="B24" s="166" t="s">
        <v>412</v>
      </c>
      <c r="C24" s="405">
        <f>Analysis!C91-Analysis!D91</f>
        <v>3.6000000000000014</v>
      </c>
      <c r="D24" s="405">
        <f>C49+C50</f>
        <v>17.443000000000001</v>
      </c>
      <c r="E24" s="371"/>
      <c r="F24" s="368">
        <f>INDEX('Leakage assessment'!B5:B21,MATCH(B59,'Leakage assessment'!A5:A21,0))</f>
        <v>0</v>
      </c>
      <c r="G24" s="472" t="s">
        <v>1044</v>
      </c>
    </row>
    <row r="25" spans="1:9" x14ac:dyDescent="0.3">
      <c r="A25" s="374">
        <v>3</v>
      </c>
      <c r="B25" s="166" t="s">
        <v>413</v>
      </c>
      <c r="C25" s="371"/>
      <c r="D25" s="370">
        <v>0</v>
      </c>
      <c r="E25" s="371"/>
      <c r="F25" s="367">
        <v>0</v>
      </c>
      <c r="G25" s="473" t="s">
        <v>489</v>
      </c>
    </row>
    <row r="26" spans="1:9" x14ac:dyDescent="0.3">
      <c r="A26" s="374">
        <v>4</v>
      </c>
      <c r="B26" s="166" t="s">
        <v>415</v>
      </c>
      <c r="C26" s="371"/>
      <c r="D26" s="370">
        <v>0</v>
      </c>
      <c r="E26" s="371"/>
      <c r="F26" s="367">
        <f>D26*C34</f>
        <v>0</v>
      </c>
      <c r="G26" s="473" t="s">
        <v>489</v>
      </c>
    </row>
    <row r="27" spans="1:9" ht="15.75" thickBot="1" x14ac:dyDescent="0.35">
      <c r="A27" s="375">
        <v>5</v>
      </c>
      <c r="B27" s="376" t="s">
        <v>416</v>
      </c>
      <c r="C27" s="377"/>
      <c r="D27" s="378">
        <v>0</v>
      </c>
      <c r="E27" s="377"/>
      <c r="F27" s="378">
        <f>D27</f>
        <v>0</v>
      </c>
      <c r="G27" s="475" t="s">
        <v>489</v>
      </c>
    </row>
    <row r="28" spans="1:9" ht="27" customHeight="1" thickBot="1" x14ac:dyDescent="0.35">
      <c r="A28" s="44"/>
      <c r="B28" s="379" t="s">
        <v>313</v>
      </c>
      <c r="C28" s="380"/>
      <c r="D28" s="380">
        <f>SUM(D21,D24:D27)</f>
        <v>20.032</v>
      </c>
      <c r="E28" s="380"/>
      <c r="F28" s="380">
        <f ca="1">SUM(F21,F24:F27)</f>
        <v>2.5889999999999995</v>
      </c>
      <c r="G28" s="407">
        <f>SUM(G21:G27)</f>
        <v>0</v>
      </c>
    </row>
    <row r="29" spans="1:9" x14ac:dyDescent="0.3">
      <c r="B29" s="71"/>
      <c r="C29" s="71"/>
      <c r="D29" s="75"/>
      <c r="E29" s="70"/>
      <c r="F29" s="71"/>
      <c r="G29" s="70"/>
      <c r="H29" s="71"/>
      <c r="I29" s="71"/>
    </row>
    <row r="30" spans="1:9" ht="30.75" thickBot="1" x14ac:dyDescent="0.35">
      <c r="B30" s="172" t="s">
        <v>490</v>
      </c>
      <c r="C30" s="386" t="s">
        <v>491</v>
      </c>
      <c r="D30" s="386" t="s">
        <v>492</v>
      </c>
      <c r="E30" s="22"/>
      <c r="F30" s="16"/>
      <c r="G30" s="70"/>
      <c r="H30" s="71"/>
      <c r="I30" s="71"/>
    </row>
    <row r="31" spans="1:9" x14ac:dyDescent="0.3">
      <c r="B31" s="387" t="s">
        <v>418</v>
      </c>
      <c r="C31" s="388">
        <f>IFERROR(D21/C21,0)</f>
        <v>1.1415343915343914</v>
      </c>
      <c r="D31" s="389">
        <f ca="1">'Unit costs'!B3</f>
        <v>1.2</v>
      </c>
      <c r="E31" s="22"/>
      <c r="F31" s="16"/>
      <c r="G31" s="65"/>
      <c r="H31" s="16"/>
      <c r="I31" s="16"/>
    </row>
    <row r="32" spans="1:9" ht="15.75" thickBot="1" x14ac:dyDescent="0.35">
      <c r="B32" s="390" t="s">
        <v>420</v>
      </c>
      <c r="C32" s="391">
        <f>D24/C24</f>
        <v>4.8452777777777767</v>
      </c>
      <c r="D32" s="392">
        <f ca="1">'Unit costs'!B4</f>
        <v>2.0302304832713758</v>
      </c>
      <c r="E32" s="22"/>
      <c r="F32" s="16"/>
      <c r="G32" s="65"/>
      <c r="H32" s="16"/>
      <c r="I32" s="16"/>
    </row>
    <row r="33" spans="1:14" ht="15.75" thickBot="1" x14ac:dyDescent="0.35">
      <c r="B33" s="16"/>
      <c r="C33" s="179"/>
      <c r="D33" s="179"/>
      <c r="E33" s="22"/>
      <c r="F33" s="16"/>
      <c r="G33" s="65"/>
      <c r="H33" s="16"/>
      <c r="I33" s="16"/>
    </row>
    <row r="34" spans="1:14" ht="15.75" thickBot="1" x14ac:dyDescent="0.35">
      <c r="B34" s="437" t="s">
        <v>747</v>
      </c>
      <c r="C34" s="438">
        <v>0.05</v>
      </c>
      <c r="D34" s="455"/>
      <c r="E34" s="22"/>
      <c r="F34" s="16"/>
      <c r="G34" s="70"/>
      <c r="H34" s="16"/>
      <c r="I34" s="71"/>
    </row>
    <row r="36" spans="1:14" x14ac:dyDescent="0.3">
      <c r="B36" s="66" t="s">
        <v>303</v>
      </c>
    </row>
    <row r="37" spans="1:14" x14ac:dyDescent="0.3">
      <c r="B37" s="66"/>
    </row>
    <row r="38" spans="1:14" x14ac:dyDescent="0.3">
      <c r="A38" s="331">
        <v>1</v>
      </c>
      <c r="B38" s="335" t="s">
        <v>411</v>
      </c>
    </row>
    <row r="39" spans="1:14" x14ac:dyDescent="0.3">
      <c r="A39" s="331"/>
      <c r="B39" s="335"/>
    </row>
    <row r="40" spans="1:14" s="46" customFormat="1" ht="15.75" x14ac:dyDescent="0.3">
      <c r="A40" s="44" t="s">
        <v>487</v>
      </c>
      <c r="B40" s="335" t="s">
        <v>408</v>
      </c>
      <c r="C40" s="248"/>
      <c r="D40" s="248"/>
      <c r="E40" s="248"/>
      <c r="F40" s="248"/>
      <c r="G40" s="248"/>
      <c r="H40" s="248"/>
      <c r="I40" s="49"/>
      <c r="J40" s="49"/>
      <c r="K40" s="218"/>
      <c r="L40" s="218"/>
      <c r="M40" s="218"/>
      <c r="N40" s="219"/>
    </row>
    <row r="41" spans="1:14" s="46" customFormat="1" ht="15.75" x14ac:dyDescent="0.3">
      <c r="A41" s="44"/>
      <c r="B41" s="335"/>
      <c r="C41" s="248"/>
      <c r="D41" s="248"/>
      <c r="E41" s="248"/>
      <c r="F41" s="248"/>
      <c r="G41" s="248"/>
      <c r="H41" s="248"/>
      <c r="I41" s="49"/>
      <c r="J41" s="49"/>
      <c r="K41" s="218"/>
      <c r="L41" s="218"/>
      <c r="M41" s="218"/>
      <c r="N41" s="219"/>
    </row>
    <row r="42" spans="1:14" s="46" customFormat="1" ht="15.75" x14ac:dyDescent="0.3">
      <c r="A42" s="331" t="s">
        <v>488</v>
      </c>
      <c r="B42" s="335" t="s">
        <v>409</v>
      </c>
      <c r="C42" s="248"/>
      <c r="D42" s="248"/>
      <c r="E42" s="248"/>
      <c r="F42" s="248"/>
      <c r="G42" s="248"/>
      <c r="H42" s="248"/>
      <c r="I42" s="49"/>
      <c r="J42" s="49"/>
      <c r="K42" s="218"/>
      <c r="L42" s="218"/>
      <c r="M42" s="218"/>
      <c r="N42" s="219"/>
    </row>
    <row r="43" spans="1:14" x14ac:dyDescent="0.3">
      <c r="B43" s="71" t="s">
        <v>821</v>
      </c>
    </row>
    <row r="44" spans="1:14" x14ac:dyDescent="0.3">
      <c r="B44" s="71"/>
    </row>
    <row r="45" spans="1:14" x14ac:dyDescent="0.3">
      <c r="A45" s="331">
        <v>2</v>
      </c>
      <c r="B45" s="335" t="s">
        <v>412</v>
      </c>
    </row>
    <row r="46" spans="1:14" x14ac:dyDescent="0.3">
      <c r="B46" s="71" t="s">
        <v>822</v>
      </c>
    </row>
    <row r="47" spans="1:14" x14ac:dyDescent="0.3">
      <c r="B47" s="73" t="s">
        <v>823</v>
      </c>
      <c r="C47" s="16"/>
      <c r="D47" s="16"/>
    </row>
    <row r="48" spans="1:14" x14ac:dyDescent="0.3">
      <c r="B48" s="73" t="s">
        <v>949</v>
      </c>
      <c r="C48" s="16"/>
      <c r="D48" s="16"/>
    </row>
    <row r="49" spans="1:13" x14ac:dyDescent="0.3">
      <c r="B49" s="16" t="s">
        <v>343</v>
      </c>
      <c r="C49" s="165">
        <v>14.951000000000001</v>
      </c>
      <c r="D49" s="16" t="s">
        <v>466</v>
      </c>
    </row>
    <row r="50" spans="1:13" x14ac:dyDescent="0.3">
      <c r="B50" s="16" t="s">
        <v>343</v>
      </c>
      <c r="C50" s="165">
        <v>2.492</v>
      </c>
      <c r="D50" s="16" t="s">
        <v>620</v>
      </c>
    </row>
    <row r="51" spans="1:13" x14ac:dyDescent="0.3">
      <c r="B51" s="16"/>
    </row>
    <row r="52" spans="1:13" x14ac:dyDescent="0.3">
      <c r="A52" s="331">
        <v>3</v>
      </c>
      <c r="B52" s="335" t="s">
        <v>413</v>
      </c>
    </row>
    <row r="54" spans="1:13" x14ac:dyDescent="0.3">
      <c r="A54" s="338">
        <v>4</v>
      </c>
      <c r="B54" s="328" t="s">
        <v>415</v>
      </c>
    </row>
    <row r="55" spans="1:13" x14ac:dyDescent="0.3">
      <c r="A55" s="44"/>
      <c r="B55" s="180"/>
    </row>
    <row r="56" spans="1:13" x14ac:dyDescent="0.3">
      <c r="A56" s="338">
        <v>5</v>
      </c>
      <c r="B56" s="328" t="s">
        <v>416</v>
      </c>
      <c r="J56" s="211"/>
      <c r="K56" s="211"/>
      <c r="L56" s="211"/>
      <c r="M56" s="211"/>
    </row>
    <row r="57" spans="1:13" x14ac:dyDescent="0.3">
      <c r="A57" s="338"/>
      <c r="B57" s="70"/>
      <c r="J57" s="211"/>
      <c r="K57" s="211"/>
      <c r="L57" s="211"/>
      <c r="M57" s="211"/>
    </row>
    <row r="58" spans="1:13" x14ac:dyDescent="0.3">
      <c r="A58" s="44">
        <v>6</v>
      </c>
      <c r="B58" s="328" t="s">
        <v>494</v>
      </c>
      <c r="J58" s="211"/>
      <c r="K58" s="211"/>
      <c r="L58" s="211"/>
      <c r="M58" s="211"/>
    </row>
    <row r="59" spans="1:13" ht="15.75" thickBot="1" x14ac:dyDescent="0.35">
      <c r="B59" s="2" t="str">
        <f>C9</f>
        <v>SES</v>
      </c>
      <c r="E59" s="43"/>
      <c r="F59" s="82"/>
      <c r="J59" s="211"/>
      <c r="K59" s="211"/>
      <c r="L59" s="211"/>
      <c r="M59" s="211"/>
    </row>
    <row r="60" spans="1:13" x14ac:dyDescent="0.3">
      <c r="B60" s="153" t="s">
        <v>392</v>
      </c>
      <c r="C60" s="154"/>
      <c r="D60" s="156" t="s">
        <v>393</v>
      </c>
      <c r="E60" s="158" t="s">
        <v>394</v>
      </c>
      <c r="F60" s="68" t="s">
        <v>395</v>
      </c>
      <c r="G60" s="340" t="s">
        <v>385</v>
      </c>
      <c r="I60" s="211"/>
      <c r="J60" s="211"/>
      <c r="K60" s="211"/>
      <c r="L60" s="211"/>
    </row>
    <row r="61" spans="1:13" x14ac:dyDescent="0.3">
      <c r="B61" s="85" t="s">
        <v>396</v>
      </c>
      <c r="C61" s="71" t="s">
        <v>25</v>
      </c>
      <c r="D61" s="240">
        <f t="shared" ref="D61:F62" si="0">D65+D69</f>
        <v>0</v>
      </c>
      <c r="E61" s="240">
        <f t="shared" si="0"/>
        <v>14.951000000000001</v>
      </c>
      <c r="F61" s="240">
        <f t="shared" si="0"/>
        <v>14.951000000000001</v>
      </c>
      <c r="G61" s="409" t="str">
        <f>IF(ABS(SUM(D61,E61)-F61)&lt;0.001,"OK","ERROR")</f>
        <v>OK</v>
      </c>
      <c r="I61" s="211"/>
      <c r="J61" s="211"/>
      <c r="K61" s="211"/>
      <c r="L61" s="211"/>
    </row>
    <row r="62" spans="1:13" x14ac:dyDescent="0.3">
      <c r="B62" s="155" t="s">
        <v>397</v>
      </c>
      <c r="C62" s="71" t="s">
        <v>25</v>
      </c>
      <c r="D62" s="240">
        <f t="shared" si="0"/>
        <v>2.589</v>
      </c>
      <c r="E62" s="240">
        <f t="shared" si="0"/>
        <v>2.492</v>
      </c>
      <c r="F62" s="240">
        <f t="shared" si="0"/>
        <v>5.0809999999999995</v>
      </c>
      <c r="G62" s="409" t="str">
        <f>IF(ABS(SUM(D62,E62)-F62)&lt;0.001,"OK","ERROR")</f>
        <v>OK</v>
      </c>
      <c r="I62" s="211"/>
      <c r="J62" s="211"/>
      <c r="K62" s="211"/>
      <c r="L62" s="211"/>
    </row>
    <row r="63" spans="1:13" x14ac:dyDescent="0.3">
      <c r="B63" s="85" t="s">
        <v>398</v>
      </c>
      <c r="C63" s="71" t="s">
        <v>93</v>
      </c>
      <c r="D63" s="175">
        <f>D67+D71</f>
        <v>8.64</v>
      </c>
      <c r="E63" s="175" t="s">
        <v>341</v>
      </c>
      <c r="F63" s="175">
        <f>D63</f>
        <v>8.64</v>
      </c>
      <c r="G63" s="409" t="str">
        <f>IF(ABS(SUM(D63,E63)-F63)&lt;0.001,"OK","ERROR")</f>
        <v>OK</v>
      </c>
      <c r="I63" s="211"/>
      <c r="J63" s="211"/>
      <c r="K63" s="211"/>
      <c r="L63" s="211"/>
    </row>
    <row r="64" spans="1:13" x14ac:dyDescent="0.3">
      <c r="B64" s="34"/>
      <c r="C64" s="16"/>
      <c r="D64" s="177"/>
      <c r="E64" s="177"/>
      <c r="F64" s="177"/>
      <c r="G64" s="409"/>
    </row>
    <row r="65" spans="2:7" x14ac:dyDescent="0.3">
      <c r="B65" s="85" t="s">
        <v>399</v>
      </c>
      <c r="C65" s="71" t="s">
        <v>25</v>
      </c>
      <c r="D65" s="240">
        <f>INDEX(Analysis!H$101:H$117,MATCH($B$59,Analysis!$B$101:$B$117,0))</f>
        <v>0</v>
      </c>
      <c r="E65" s="240">
        <f>INDEX(Analysis!I$101:I$117,MATCH($B$59,Analysis!$B$101:$B$117,0))</f>
        <v>0</v>
      </c>
      <c r="F65" s="240">
        <f>SUM(D65:E65)</f>
        <v>0</v>
      </c>
      <c r="G65" s="409" t="str">
        <f t="shared" ref="G65:G69" si="1">IF(ABS(SUM(D65,E65)-F65)&lt;0.001,"OK","ERROR")</f>
        <v>OK</v>
      </c>
    </row>
    <row r="66" spans="2:7" x14ac:dyDescent="0.3">
      <c r="B66" s="155" t="s">
        <v>400</v>
      </c>
      <c r="C66" s="157" t="s">
        <v>25</v>
      </c>
      <c r="D66" s="240">
        <f>INDEX(Analysis!H$150:H$166,MATCH($B$59,Analysis!$B$150:$B$166,0))</f>
        <v>0</v>
      </c>
      <c r="E66" s="240">
        <f>INDEX(Analysis!I$150:I$166,MATCH($B$59,Analysis!$B$150:$B$166,0))</f>
        <v>0</v>
      </c>
      <c r="F66" s="240">
        <f>SUM(D66:E66)</f>
        <v>0</v>
      </c>
      <c r="G66" s="409" t="str">
        <f>IF(ABS(SUM(D66,E66)-F66)&lt;0.001,"OK","ERROR")</f>
        <v>OK</v>
      </c>
    </row>
    <row r="67" spans="2:7" x14ac:dyDescent="0.3">
      <c r="B67" s="85" t="s">
        <v>401</v>
      </c>
      <c r="C67" s="71" t="s">
        <v>93</v>
      </c>
      <c r="D67" s="175">
        <f>INDEX(Analysis!$H$26:$H$42,MATCH($B$59,Analysis!$B$26:$B$42,0))</f>
        <v>0</v>
      </c>
      <c r="E67" s="175" t="s">
        <v>341</v>
      </c>
      <c r="F67" s="175">
        <f>D67</f>
        <v>0</v>
      </c>
      <c r="G67" s="409" t="str">
        <f>IF(ABS(SUM(D67,E67)-F67)&lt;0.001,"OK","ERROR")</f>
        <v>OK</v>
      </c>
    </row>
    <row r="68" spans="2:7" x14ac:dyDescent="0.3">
      <c r="B68" s="34"/>
      <c r="C68" s="16"/>
      <c r="D68" s="177"/>
      <c r="E68" s="177"/>
      <c r="F68" s="177"/>
      <c r="G68" s="409"/>
    </row>
    <row r="69" spans="2:7" x14ac:dyDescent="0.3">
      <c r="B69" s="85" t="s">
        <v>402</v>
      </c>
      <c r="C69" s="71" t="s">
        <v>403</v>
      </c>
      <c r="D69" s="240">
        <f>INDEX(Analysis!H$125:H$141,MATCH($B$59,Analysis!$B$125:$B$141,0))</f>
        <v>0</v>
      </c>
      <c r="E69" s="240">
        <f>INDEX(Analysis!I$125:I$141,MATCH($B$59,Analysis!$B$125:$B$141,0))</f>
        <v>14.951000000000001</v>
      </c>
      <c r="F69" s="240">
        <f>SUM(D69:E69)</f>
        <v>14.951000000000001</v>
      </c>
      <c r="G69" s="409" t="str">
        <f t="shared" si="1"/>
        <v>OK</v>
      </c>
    </row>
    <row r="70" spans="2:7" x14ac:dyDescent="0.3">
      <c r="B70" s="155" t="s">
        <v>404</v>
      </c>
      <c r="C70" s="71" t="s">
        <v>403</v>
      </c>
      <c r="D70" s="240">
        <f>INDEX(Analysis!H$175:H$191,MATCH($B$59,Analysis!$B$175:$B$191,0))</f>
        <v>2.589</v>
      </c>
      <c r="E70" s="240">
        <f>INDEX(Analysis!I$175:I$191,MATCH($B$59,Analysis!$B$175:$B$191,0))</f>
        <v>2.492</v>
      </c>
      <c r="F70" s="240">
        <f>SUM(D70:E70)</f>
        <v>5.0809999999999995</v>
      </c>
      <c r="G70" s="409" t="str">
        <f>IF(ABS(SUM(D70,E70)-F70)&lt;0.001,"OK","ERROR")</f>
        <v>OK</v>
      </c>
    </row>
    <row r="71" spans="2:7" ht="15.75" thickBot="1" x14ac:dyDescent="0.35">
      <c r="B71" s="151" t="s">
        <v>405</v>
      </c>
      <c r="C71" s="74" t="s">
        <v>93</v>
      </c>
      <c r="D71" s="178">
        <f>INDEX(Analysis!$H$51:$H$67,MATCH($B$59,Analysis!$B$51:$B$67,0))</f>
        <v>8.64</v>
      </c>
      <c r="E71" s="178" t="s">
        <v>341</v>
      </c>
      <c r="F71" s="178">
        <f>D71</f>
        <v>8.64</v>
      </c>
      <c r="G71" s="410" t="str">
        <f>IF(ABS(SUM(D71,E71)-F71)&lt;0.001,"OK","ERROR")</f>
        <v>OK</v>
      </c>
    </row>
  </sheetData>
  <mergeCells count="3">
    <mergeCell ref="C4:D4"/>
    <mergeCell ref="C5:D5"/>
    <mergeCell ref="C6:D6"/>
  </mergeCells>
  <conditionalFormatting sqref="D59 G61:G63 G65:G67 G69:G71">
    <cfRule type="cellIs" dxfId="21" priority="45" operator="equal">
      <formula>"OK"</formula>
    </cfRule>
    <cfRule type="cellIs" dxfId="20" priority="46" operator="equal">
      <formula>"ERROR"</formula>
    </cfRule>
  </conditionalFormatting>
  <conditionalFormatting sqref="F4">
    <cfRule type="cellIs" dxfId="19" priority="5" operator="equal">
      <formula>"OK"</formula>
    </cfRule>
    <cfRule type="cellIs" dxfId="18" priority="6" operator="equal">
      <formula>"ERROR"</formula>
    </cfRule>
  </conditionalFormatting>
  <conditionalFormatting sqref="F5">
    <cfRule type="cellIs" dxfId="17" priority="1" operator="equal">
      <formula>"OK"</formula>
    </cfRule>
    <cfRule type="cellIs" dxfId="16"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M89"/>
  <sheetViews>
    <sheetView zoomScaleNormal="100" workbookViewId="0"/>
  </sheetViews>
  <sheetFormatPr defaultColWidth="8.7109375" defaultRowHeight="15" x14ac:dyDescent="0.3"/>
  <cols>
    <col min="1" max="1" width="9.7109375" style="2" customWidth="1"/>
    <col min="2" max="2" width="53" style="2" customWidth="1"/>
    <col min="3" max="4" width="14" style="2" customWidth="1"/>
    <col min="5" max="5" width="14" style="38" customWidth="1"/>
    <col min="6" max="6" width="14" style="2" customWidth="1"/>
    <col min="7" max="7" width="80.7109375" style="2" customWidth="1"/>
    <col min="8" max="11" width="11.28515625" style="2" customWidth="1"/>
    <col min="12" max="12" width="25" style="2" customWidth="1"/>
    <col min="13" max="13" width="8.28515625" style="211" customWidth="1"/>
    <col min="14" max="16384" width="8.7109375" style="2"/>
  </cols>
  <sheetData>
    <row r="1" spans="2:13" s="4" customFormat="1" ht="21.75" x14ac:dyDescent="0.3">
      <c r="B1" s="6" t="s">
        <v>697</v>
      </c>
      <c r="C1" s="1"/>
      <c r="D1" s="1"/>
      <c r="E1" s="45"/>
      <c r="F1" s="1"/>
      <c r="G1" s="2"/>
      <c r="H1" s="10"/>
      <c r="I1" s="11"/>
      <c r="M1" s="211"/>
    </row>
    <row r="2" spans="2:13" s="4" customFormat="1" ht="22.5" thickBot="1" x14ac:dyDescent="0.35">
      <c r="B2" s="5"/>
      <c r="C2" s="8"/>
      <c r="D2" s="8"/>
      <c r="E2" s="38"/>
      <c r="F2" s="2"/>
      <c r="G2" s="2"/>
      <c r="H2" s="10"/>
      <c r="I2" s="11"/>
      <c r="M2" s="211"/>
    </row>
    <row r="3" spans="2:13" s="4" customFormat="1" ht="22.5" thickBot="1" x14ac:dyDescent="0.35">
      <c r="B3" s="5" t="s">
        <v>1</v>
      </c>
      <c r="C3" s="8"/>
      <c r="D3" s="8"/>
      <c r="E3" s="38"/>
      <c r="F3" s="394" t="s">
        <v>385</v>
      </c>
      <c r="G3" s="2"/>
      <c r="H3" s="10"/>
    </row>
    <row r="4" spans="2:13" x14ac:dyDescent="0.3">
      <c r="B4" s="354" t="s">
        <v>471</v>
      </c>
      <c r="C4" s="711" t="s">
        <v>540</v>
      </c>
      <c r="D4" s="712"/>
      <c r="F4" s="395" t="str">
        <f>IF(ROUND(C10,3)-ROUND((F75+F76-58.27),3)=0,"OK","ERROR")</f>
        <v>OK</v>
      </c>
      <c r="G4" s="2" t="s">
        <v>1039</v>
      </c>
      <c r="M4" s="2"/>
    </row>
    <row r="5" spans="2:13" ht="15.75" thickBot="1" x14ac:dyDescent="0.35">
      <c r="B5" s="355" t="s">
        <v>388</v>
      </c>
      <c r="C5" s="713">
        <v>43616</v>
      </c>
      <c r="D5" s="714"/>
      <c r="F5" s="396" t="str">
        <f>IF(ROUND(D28,3)-ROUND(C10,3)=0,"OK","ERROR")</f>
        <v>OK</v>
      </c>
      <c r="G5" s="2" t="s">
        <v>473</v>
      </c>
      <c r="M5" s="2"/>
    </row>
    <row r="6" spans="2:13" ht="15.75" thickBot="1" x14ac:dyDescent="0.35">
      <c r="B6" s="356" t="s">
        <v>389</v>
      </c>
      <c r="C6" s="715" t="s">
        <v>932</v>
      </c>
      <c r="D6" s="716"/>
      <c r="M6" s="2"/>
    </row>
    <row r="7" spans="2:13" x14ac:dyDescent="0.3">
      <c r="B7" s="16"/>
      <c r="C7" s="16"/>
      <c r="D7" s="17"/>
      <c r="M7" s="2"/>
    </row>
    <row r="8" spans="2:13" ht="15.75" thickBot="1" x14ac:dyDescent="0.35">
      <c r="B8" s="5" t="s">
        <v>6</v>
      </c>
      <c r="M8" s="2"/>
    </row>
    <row r="9" spans="2:13" x14ac:dyDescent="0.3">
      <c r="B9" s="357" t="s">
        <v>312</v>
      </c>
      <c r="C9" s="360" t="s">
        <v>38</v>
      </c>
      <c r="D9" s="402"/>
      <c r="M9" s="2"/>
    </row>
    <row r="10" spans="2:13" x14ac:dyDescent="0.3">
      <c r="B10" s="358" t="s">
        <v>474</v>
      </c>
      <c r="C10" s="361">
        <f>INDEX(Analysis!L5:L21,MATCH(C9,Analysis!B5:B21,0))</f>
        <v>75.950592114470624</v>
      </c>
      <c r="D10" s="5"/>
      <c r="M10" s="2"/>
    </row>
    <row r="11" spans="2:13" x14ac:dyDescent="0.3">
      <c r="B11" s="358" t="s">
        <v>475</v>
      </c>
      <c r="C11" s="361">
        <v>0</v>
      </c>
      <c r="D11" s="15"/>
      <c r="E11" s="63"/>
      <c r="G11" s="15"/>
      <c r="M11" s="2"/>
    </row>
    <row r="12" spans="2:13" x14ac:dyDescent="0.3">
      <c r="B12" s="358" t="s">
        <v>476</v>
      </c>
      <c r="C12" s="362">
        <f>C10+C11</f>
        <v>75.950592114470624</v>
      </c>
      <c r="D12" s="15"/>
      <c r="E12" s="63"/>
      <c r="G12" s="15"/>
      <c r="M12" s="2"/>
    </row>
    <row r="13" spans="2:13" x14ac:dyDescent="0.3">
      <c r="B13" s="358" t="s">
        <v>477</v>
      </c>
      <c r="C13" s="362">
        <v>0</v>
      </c>
      <c r="D13" s="15"/>
      <c r="E13" s="63"/>
      <c r="G13" s="15"/>
      <c r="M13" s="2"/>
    </row>
    <row r="14" spans="2:13" ht="15.75" thickBot="1" x14ac:dyDescent="0.35">
      <c r="B14" s="359" t="s">
        <v>478</v>
      </c>
      <c r="C14" s="363">
        <f ca="1">F28</f>
        <v>48.972573877708335</v>
      </c>
      <c r="D14" s="15"/>
      <c r="E14" s="63"/>
      <c r="G14" s="15"/>
      <c r="M14" s="2"/>
    </row>
    <row r="15" spans="2:13" x14ac:dyDescent="0.3">
      <c r="B15" s="337"/>
      <c r="C15" s="15"/>
      <c r="D15" s="15"/>
      <c r="E15" s="63"/>
      <c r="G15" s="15"/>
      <c r="M15" s="2"/>
    </row>
    <row r="16" spans="2:13" ht="15.75" thickBot="1" x14ac:dyDescent="0.35">
      <c r="B16" s="5" t="s">
        <v>391</v>
      </c>
      <c r="C16" s="82"/>
      <c r="M16" s="2"/>
    </row>
    <row r="17" spans="1:13" ht="15.75" thickBot="1" x14ac:dyDescent="0.35">
      <c r="B17" s="364" t="s">
        <v>479</v>
      </c>
      <c r="C17" s="365">
        <f ca="1">C13+C14</f>
        <v>48.972573877708335</v>
      </c>
      <c r="D17" s="5"/>
      <c r="M17" s="2"/>
    </row>
    <row r="18" spans="1:13" x14ac:dyDescent="0.3">
      <c r="A18" s="44"/>
      <c r="I18" s="211"/>
      <c r="M18" s="2"/>
    </row>
    <row r="19" spans="1:13" ht="16.5" customHeight="1" thickBot="1" x14ac:dyDescent="0.35">
      <c r="A19" s="44"/>
      <c r="B19" s="172" t="s">
        <v>480</v>
      </c>
      <c r="C19" s="35"/>
      <c r="D19" s="16"/>
      <c r="E19" s="22"/>
      <c r="F19" s="40"/>
      <c r="G19" s="64"/>
      <c r="I19" s="211"/>
      <c r="M19" s="2"/>
    </row>
    <row r="20" spans="1:13" s="31" customFormat="1" ht="45" x14ac:dyDescent="0.3">
      <c r="A20" s="372" t="s">
        <v>481</v>
      </c>
      <c r="B20" s="373" t="s">
        <v>482</v>
      </c>
      <c r="C20" s="382" t="s">
        <v>483</v>
      </c>
      <c r="D20" s="382" t="s">
        <v>484</v>
      </c>
      <c r="E20" s="382" t="s">
        <v>485</v>
      </c>
      <c r="F20" s="382" t="s">
        <v>486</v>
      </c>
      <c r="G20" s="470" t="s">
        <v>340</v>
      </c>
    </row>
    <row r="21" spans="1:13" ht="45" x14ac:dyDescent="0.3">
      <c r="A21" s="374">
        <v>1</v>
      </c>
      <c r="B21" s="166" t="s">
        <v>411</v>
      </c>
      <c r="C21" s="367">
        <f>SUM(C22:C23)</f>
        <v>32.18</v>
      </c>
      <c r="D21" s="367">
        <f>SUM(D22:D23)</f>
        <v>37.75</v>
      </c>
      <c r="E21" s="367">
        <f>C22+C23</f>
        <v>32.18</v>
      </c>
      <c r="F21" s="368">
        <f ca="1">E21*MIN(C31,D31)</f>
        <v>37.75</v>
      </c>
      <c r="G21" s="471" t="s">
        <v>1065</v>
      </c>
      <c r="H21" s="82"/>
      <c r="M21" s="2"/>
    </row>
    <row r="22" spans="1:13" ht="60" x14ac:dyDescent="0.3">
      <c r="A22" s="374" t="s">
        <v>487</v>
      </c>
      <c r="B22" s="166" t="s">
        <v>408</v>
      </c>
      <c r="C22" s="384">
        <f>C51</f>
        <v>18.18</v>
      </c>
      <c r="D22" s="406">
        <f>D51+E51+C42</f>
        <v>30.91</v>
      </c>
      <c r="E22" s="371"/>
      <c r="F22" s="371"/>
      <c r="G22" s="619" t="s">
        <v>826</v>
      </c>
      <c r="M22" s="2"/>
    </row>
    <row r="23" spans="1:13" ht="30" x14ac:dyDescent="0.3">
      <c r="A23" s="374" t="s">
        <v>488</v>
      </c>
      <c r="B23" s="166" t="s">
        <v>409</v>
      </c>
      <c r="C23" s="384">
        <f>C49</f>
        <v>14</v>
      </c>
      <c r="D23" s="406">
        <f>E49</f>
        <v>6.84</v>
      </c>
      <c r="E23" s="371"/>
      <c r="F23" s="371"/>
      <c r="G23" s="619" t="s">
        <v>827</v>
      </c>
      <c r="M23" s="2"/>
    </row>
    <row r="24" spans="1:13" ht="135" x14ac:dyDescent="0.3">
      <c r="A24" s="374">
        <v>2</v>
      </c>
      <c r="B24" s="166" t="s">
        <v>412</v>
      </c>
      <c r="C24" s="405">
        <f>C50</f>
        <v>12.61</v>
      </c>
      <c r="D24" s="405">
        <f>D50+E50</f>
        <v>29.61</v>
      </c>
      <c r="E24" s="371"/>
      <c r="F24" s="368">
        <f ca="1">INDEX('Leakage assessment'!B5:B21,MATCH(B73,'Leakage assessment'!A5:A21,0))</f>
        <v>4.6390738777083378</v>
      </c>
      <c r="G24" s="472" t="s">
        <v>1032</v>
      </c>
      <c r="H24" s="82"/>
      <c r="M24" s="2"/>
    </row>
    <row r="25" spans="1:13" ht="120" x14ac:dyDescent="0.3">
      <c r="A25" s="374">
        <v>3</v>
      </c>
      <c r="B25" s="166" t="s">
        <v>413</v>
      </c>
      <c r="C25" s="371"/>
      <c r="D25" s="405">
        <f>D57+D58</f>
        <v>4.57</v>
      </c>
      <c r="E25" s="371"/>
      <c r="F25" s="367">
        <f>D25*(1-C34)</f>
        <v>4.3414999999999999</v>
      </c>
      <c r="G25" s="472" t="s">
        <v>1066</v>
      </c>
      <c r="H25" s="82"/>
      <c r="M25" s="2"/>
    </row>
    <row r="26" spans="1:13" ht="45" x14ac:dyDescent="0.3">
      <c r="A26" s="374">
        <v>4</v>
      </c>
      <c r="B26" s="166" t="s">
        <v>415</v>
      </c>
      <c r="C26" s="371"/>
      <c r="D26" s="405">
        <f>D65</f>
        <v>2.36</v>
      </c>
      <c r="E26" s="371"/>
      <c r="F26" s="367">
        <f>D26*(100%-C34)</f>
        <v>2.242</v>
      </c>
      <c r="G26" s="474" t="s">
        <v>1067</v>
      </c>
      <c r="H26" s="82"/>
      <c r="M26" s="2"/>
    </row>
    <row r="27" spans="1:13" ht="60.75" thickBot="1" x14ac:dyDescent="0.35">
      <c r="A27" s="375">
        <v>5</v>
      </c>
      <c r="B27" s="376" t="s">
        <v>416</v>
      </c>
      <c r="C27" s="377"/>
      <c r="D27" s="378">
        <f>D70-0.339</f>
        <v>1.661</v>
      </c>
      <c r="E27" s="377"/>
      <c r="F27" s="378">
        <v>0</v>
      </c>
      <c r="G27" s="475" t="s">
        <v>1068</v>
      </c>
      <c r="M27" s="2"/>
    </row>
    <row r="28" spans="1:13" ht="15.75" thickBot="1" x14ac:dyDescent="0.35">
      <c r="A28" s="44"/>
      <c r="B28" s="379" t="s">
        <v>313</v>
      </c>
      <c r="C28" s="426"/>
      <c r="D28" s="426">
        <f>SUM(D21,D24:D27)</f>
        <v>75.951000000000008</v>
      </c>
      <c r="E28" s="426"/>
      <c r="F28" s="426">
        <f ca="1">SUM(F21,F24:F27)</f>
        <v>48.972573877708335</v>
      </c>
      <c r="G28" s="407"/>
      <c r="H28" s="82"/>
      <c r="M28" s="2"/>
    </row>
    <row r="29" spans="1:13" x14ac:dyDescent="0.3">
      <c r="B29" s="71"/>
      <c r="C29" s="71"/>
      <c r="D29" s="75"/>
      <c r="E29" s="70"/>
      <c r="F29" s="71"/>
      <c r="G29" s="70"/>
      <c r="I29" s="211"/>
      <c r="M29" s="2"/>
    </row>
    <row r="30" spans="1:13" ht="30.75" thickBot="1" x14ac:dyDescent="0.35">
      <c r="B30" s="172" t="s">
        <v>490</v>
      </c>
      <c r="C30" s="386" t="s">
        <v>491</v>
      </c>
      <c r="D30" s="386" t="s">
        <v>492</v>
      </c>
      <c r="E30" s="22"/>
      <c r="F30" s="16"/>
      <c r="G30" s="70"/>
      <c r="H30" s="71"/>
      <c r="I30" s="71"/>
    </row>
    <row r="31" spans="1:13" x14ac:dyDescent="0.3">
      <c r="B31" s="387" t="s">
        <v>418</v>
      </c>
      <c r="C31" s="388">
        <f>IFERROR(D21/C21,0)</f>
        <v>1.173088875077688</v>
      </c>
      <c r="D31" s="389">
        <f ca="1">'Unit costs'!B3</f>
        <v>1.2</v>
      </c>
      <c r="E31" s="22"/>
      <c r="F31" s="320"/>
      <c r="G31" s="65"/>
      <c r="H31" s="16"/>
      <c r="I31" s="16"/>
    </row>
    <row r="32" spans="1:13" ht="15.75" thickBot="1" x14ac:dyDescent="0.35">
      <c r="B32" s="390" t="s">
        <v>420</v>
      </c>
      <c r="C32" s="391">
        <f>D24/C24</f>
        <v>2.3481363996827915</v>
      </c>
      <c r="D32" s="392">
        <f ca="1">'Unit costs'!B4</f>
        <v>2.0302304832713758</v>
      </c>
      <c r="E32" s="22"/>
      <c r="F32" s="320"/>
      <c r="G32" s="65"/>
      <c r="H32" s="16"/>
      <c r="I32" s="16"/>
    </row>
    <row r="33" spans="1:11" ht="15.75" thickBot="1" x14ac:dyDescent="0.35">
      <c r="B33" s="70"/>
      <c r="C33" s="70"/>
      <c r="D33" s="70"/>
      <c r="E33" s="70"/>
      <c r="F33" s="70"/>
      <c r="G33" s="65"/>
      <c r="H33" s="16"/>
      <c r="I33" s="16"/>
    </row>
    <row r="34" spans="1:11" ht="15.75" thickBot="1" x14ac:dyDescent="0.35">
      <c r="B34" s="456" t="s">
        <v>747</v>
      </c>
      <c r="C34" s="457">
        <v>0.05</v>
      </c>
      <c r="D34" s="70"/>
      <c r="E34" s="70"/>
      <c r="F34" s="70"/>
      <c r="G34" s="70"/>
      <c r="H34" s="16"/>
      <c r="I34" s="71"/>
    </row>
    <row r="35" spans="1:11" x14ac:dyDescent="0.3">
      <c r="B35" s="20"/>
      <c r="C35" s="69"/>
      <c r="D35" s="16"/>
      <c r="E35" s="22"/>
      <c r="F35" s="16"/>
      <c r="G35" s="70"/>
      <c r="H35" s="16"/>
      <c r="I35" s="71"/>
    </row>
    <row r="36" spans="1:11" x14ac:dyDescent="0.3">
      <c r="B36" s="66" t="s">
        <v>303</v>
      </c>
    </row>
    <row r="37" spans="1:11" x14ac:dyDescent="0.3">
      <c r="A37" s="331">
        <v>1</v>
      </c>
      <c r="B37" s="335" t="s">
        <v>411</v>
      </c>
    </row>
    <row r="38" spans="1:11" x14ac:dyDescent="0.3">
      <c r="B38" s="66"/>
    </row>
    <row r="39" spans="1:11" s="308" customFormat="1" ht="15.75" x14ac:dyDescent="0.3">
      <c r="A39" s="44" t="s">
        <v>487</v>
      </c>
      <c r="B39" s="335" t="s">
        <v>408</v>
      </c>
      <c r="C39" s="2"/>
      <c r="D39" s="2"/>
      <c r="E39" s="38"/>
      <c r="F39" s="2"/>
      <c r="G39" s="2"/>
      <c r="H39" s="2"/>
      <c r="I39" s="2"/>
      <c r="J39" s="215"/>
      <c r="K39" s="218"/>
    </row>
    <row r="40" spans="1:11" x14ac:dyDescent="0.3">
      <c r="B40" s="5" t="s">
        <v>716</v>
      </c>
    </row>
    <row r="41" spans="1:11" ht="30" x14ac:dyDescent="0.3">
      <c r="B41" s="9"/>
      <c r="C41" s="617" t="s">
        <v>950</v>
      </c>
      <c r="D41" s="617" t="s">
        <v>951</v>
      </c>
    </row>
    <row r="42" spans="1:11" x14ac:dyDescent="0.3">
      <c r="B42" s="9" t="s">
        <v>1037</v>
      </c>
      <c r="C42" s="325">
        <v>4.71</v>
      </c>
      <c r="D42" s="325">
        <v>4.3499999999999996</v>
      </c>
    </row>
    <row r="43" spans="1:11" x14ac:dyDescent="0.3">
      <c r="B43" s="16"/>
      <c r="C43" s="16"/>
      <c r="D43" s="16"/>
    </row>
    <row r="44" spans="1:11" s="308" customFormat="1" ht="15.75" x14ac:dyDescent="0.3">
      <c r="A44" s="331" t="s">
        <v>488</v>
      </c>
      <c r="B44" s="335" t="s">
        <v>409</v>
      </c>
      <c r="C44" s="401"/>
      <c r="D44" s="401"/>
      <c r="E44" s="401"/>
      <c r="F44" s="401"/>
      <c r="G44" s="401"/>
      <c r="H44" s="401"/>
      <c r="I44" s="2"/>
      <c r="J44" s="217"/>
      <c r="K44" s="218"/>
    </row>
    <row r="45" spans="1:11" s="308" customFormat="1" ht="15.75" x14ac:dyDescent="0.3">
      <c r="A45" s="331"/>
      <c r="B45" s="335"/>
      <c r="C45" s="693"/>
      <c r="D45" s="693"/>
      <c r="E45" s="693"/>
      <c r="F45" s="693"/>
      <c r="G45" s="693"/>
      <c r="H45" s="693"/>
      <c r="I45" s="2"/>
      <c r="J45" s="217"/>
      <c r="K45" s="218"/>
    </row>
    <row r="46" spans="1:11" s="308" customFormat="1" ht="15.75" x14ac:dyDescent="0.3">
      <c r="A46" s="331">
        <v>2</v>
      </c>
      <c r="B46" s="335" t="s">
        <v>412</v>
      </c>
      <c r="C46" s="401"/>
      <c r="D46" s="401"/>
      <c r="E46" s="401"/>
      <c r="F46" s="401"/>
      <c r="G46" s="401"/>
      <c r="H46" s="401"/>
      <c r="I46" s="2"/>
      <c r="J46" s="217"/>
      <c r="K46" s="218"/>
    </row>
    <row r="47" spans="1:11" x14ac:dyDescent="0.3">
      <c r="B47" s="5" t="s">
        <v>698</v>
      </c>
    </row>
    <row r="48" spans="1:11" ht="30" x14ac:dyDescent="0.3">
      <c r="B48" s="324" t="s">
        <v>699</v>
      </c>
      <c r="C48" s="697" t="s">
        <v>700</v>
      </c>
      <c r="D48" s="698" t="s">
        <v>701</v>
      </c>
      <c r="E48" s="698" t="s">
        <v>702</v>
      </c>
    </row>
    <row r="49" spans="1:8" x14ac:dyDescent="0.3">
      <c r="B49" s="9" t="s">
        <v>703</v>
      </c>
      <c r="C49" s="699">
        <v>14</v>
      </c>
      <c r="D49" s="699">
        <v>0</v>
      </c>
      <c r="E49" s="699">
        <v>6.84</v>
      </c>
    </row>
    <row r="50" spans="1:8" x14ac:dyDescent="0.3">
      <c r="B50" s="9" t="s">
        <v>704</v>
      </c>
      <c r="C50" s="699">
        <v>12.61</v>
      </c>
      <c r="D50" s="699">
        <v>18.61</v>
      </c>
      <c r="E50" s="699">
        <v>11</v>
      </c>
      <c r="F50" s="2" t="s">
        <v>705</v>
      </c>
    </row>
    <row r="51" spans="1:8" x14ac:dyDescent="0.3">
      <c r="B51" s="9" t="s">
        <v>706</v>
      </c>
      <c r="C51" s="699">
        <v>18.18</v>
      </c>
      <c r="D51" s="699">
        <v>25.83</v>
      </c>
      <c r="E51" s="699">
        <v>0.37</v>
      </c>
      <c r="F51" s="2" t="s">
        <v>705</v>
      </c>
    </row>
    <row r="53" spans="1:8" x14ac:dyDescent="0.3">
      <c r="A53" s="331">
        <v>3</v>
      </c>
      <c r="B53" s="335" t="s">
        <v>413</v>
      </c>
      <c r="C53" s="401"/>
      <c r="D53" s="401"/>
      <c r="E53" s="401"/>
      <c r="F53" s="401"/>
      <c r="G53" s="401"/>
      <c r="H53" s="401"/>
    </row>
    <row r="54" spans="1:8" x14ac:dyDescent="0.3">
      <c r="A54" s="331"/>
      <c r="B54" s="5" t="s">
        <v>707</v>
      </c>
      <c r="F54" s="693"/>
      <c r="G54" s="693"/>
      <c r="H54" s="693"/>
    </row>
    <row r="55" spans="1:8" ht="60" x14ac:dyDescent="0.3">
      <c r="A55" s="331"/>
      <c r="B55" s="324" t="s">
        <v>708</v>
      </c>
      <c r="C55" s="616" t="s">
        <v>709</v>
      </c>
      <c r="D55" s="617" t="s">
        <v>710</v>
      </c>
      <c r="E55" s="617" t="s">
        <v>711</v>
      </c>
      <c r="F55" s="693"/>
      <c r="G55" s="693"/>
      <c r="H55" s="693"/>
    </row>
    <row r="56" spans="1:8" x14ac:dyDescent="0.3">
      <c r="A56" s="331"/>
      <c r="B56" s="9" t="s">
        <v>1038</v>
      </c>
      <c r="C56" s="325">
        <v>2025</v>
      </c>
      <c r="D56" s="325">
        <v>5.21</v>
      </c>
      <c r="E56" s="325">
        <v>5.21</v>
      </c>
      <c r="F56" s="70" t="s">
        <v>1035</v>
      </c>
      <c r="G56" s="693"/>
      <c r="H56" s="693"/>
    </row>
    <row r="57" spans="1:8" x14ac:dyDescent="0.3">
      <c r="A57" s="331"/>
      <c r="B57" s="9" t="s">
        <v>712</v>
      </c>
      <c r="C57" s="325">
        <v>2035</v>
      </c>
      <c r="D57" s="325">
        <v>1.59</v>
      </c>
      <c r="E57" s="325">
        <v>129.53</v>
      </c>
      <c r="F57" s="693"/>
      <c r="G57" s="693"/>
      <c r="H57" s="693"/>
    </row>
    <row r="58" spans="1:8" x14ac:dyDescent="0.3">
      <c r="A58" s="331"/>
      <c r="B58" s="9" t="s">
        <v>713</v>
      </c>
      <c r="C58" s="325">
        <v>2033</v>
      </c>
      <c r="D58" s="325">
        <v>2.98</v>
      </c>
      <c r="E58" s="325">
        <v>104.03</v>
      </c>
      <c r="F58" s="693"/>
      <c r="G58" s="693"/>
      <c r="H58" s="693"/>
    </row>
    <row r="59" spans="1:8" x14ac:dyDescent="0.3">
      <c r="A59" s="331"/>
      <c r="E59" s="2"/>
      <c r="F59" s="693"/>
      <c r="G59" s="693"/>
      <c r="H59" s="693"/>
    </row>
    <row r="60" spans="1:8" ht="85.5" customHeight="1" x14ac:dyDescent="0.3">
      <c r="A60" s="331"/>
      <c r="B60" s="719" t="s">
        <v>1036</v>
      </c>
      <c r="C60" s="719"/>
      <c r="D60" s="719"/>
      <c r="E60" s="719"/>
      <c r="F60" s="719"/>
      <c r="G60" s="719"/>
      <c r="H60" s="719"/>
    </row>
    <row r="61" spans="1:8" x14ac:dyDescent="0.3">
      <c r="A61" s="331"/>
      <c r="B61" s="70"/>
      <c r="C61" s="401"/>
      <c r="D61" s="401"/>
      <c r="E61" s="401"/>
      <c r="F61" s="401"/>
      <c r="G61" s="401"/>
      <c r="H61" s="401"/>
    </row>
    <row r="62" spans="1:8" x14ac:dyDescent="0.3">
      <c r="A62" s="338">
        <v>4</v>
      </c>
      <c r="B62" s="328" t="s">
        <v>415</v>
      </c>
      <c r="C62" s="73"/>
      <c r="D62" s="73"/>
      <c r="E62" s="76"/>
      <c r="F62" s="4"/>
      <c r="G62" s="4"/>
      <c r="H62" s="4"/>
    </row>
    <row r="63" spans="1:8" x14ac:dyDescent="0.3">
      <c r="A63" s="338"/>
      <c r="B63" s="5" t="s">
        <v>707</v>
      </c>
      <c r="F63" s="4"/>
      <c r="G63" s="4"/>
      <c r="H63" s="4"/>
    </row>
    <row r="64" spans="1:8" ht="60" x14ac:dyDescent="0.3">
      <c r="A64" s="338"/>
      <c r="B64" s="324" t="s">
        <v>708</v>
      </c>
      <c r="C64" s="696" t="s">
        <v>709</v>
      </c>
      <c r="D64" s="617" t="s">
        <v>710</v>
      </c>
      <c r="E64" s="617" t="s">
        <v>711</v>
      </c>
      <c r="F64" s="4"/>
      <c r="G64" s="4"/>
      <c r="H64" s="4"/>
    </row>
    <row r="65" spans="1:13" x14ac:dyDescent="0.3">
      <c r="A65" s="44"/>
      <c r="B65" s="9" t="s">
        <v>714</v>
      </c>
      <c r="C65" s="325">
        <v>2030</v>
      </c>
      <c r="D65" s="325">
        <v>2.36</v>
      </c>
      <c r="E65" s="325">
        <v>17.64</v>
      </c>
      <c r="F65" s="180"/>
      <c r="G65" s="180"/>
      <c r="H65" s="180"/>
    </row>
    <row r="66" spans="1:13" x14ac:dyDescent="0.3">
      <c r="A66" s="44"/>
      <c r="B66" s="16"/>
      <c r="C66" s="455"/>
      <c r="D66" s="455"/>
      <c r="E66" s="455"/>
      <c r="F66" s="180"/>
      <c r="G66" s="180"/>
      <c r="H66" s="180"/>
    </row>
    <row r="67" spans="1:13" x14ac:dyDescent="0.3">
      <c r="A67" s="338">
        <v>5</v>
      </c>
      <c r="B67" s="328" t="s">
        <v>416</v>
      </c>
      <c r="C67" s="400"/>
      <c r="D67" s="400"/>
      <c r="E67" s="400"/>
      <c r="F67" s="400"/>
      <c r="G67" s="400"/>
      <c r="H67" s="400"/>
    </row>
    <row r="68" spans="1:13" x14ac:dyDescent="0.3">
      <c r="A68" s="338"/>
      <c r="B68" s="5" t="s">
        <v>707</v>
      </c>
      <c r="F68" s="694"/>
      <c r="G68" s="694"/>
      <c r="H68" s="694"/>
    </row>
    <row r="69" spans="1:13" ht="60" x14ac:dyDescent="0.3">
      <c r="A69" s="338"/>
      <c r="B69" s="324" t="s">
        <v>708</v>
      </c>
      <c r="C69" s="323" t="s">
        <v>709</v>
      </c>
      <c r="D69" s="324" t="s">
        <v>710</v>
      </c>
      <c r="E69" s="695" t="s">
        <v>711</v>
      </c>
      <c r="F69" s="694"/>
      <c r="G69" s="694"/>
      <c r="H69" s="694"/>
    </row>
    <row r="70" spans="1:13" x14ac:dyDescent="0.3">
      <c r="A70" s="338"/>
      <c r="B70" s="9" t="s">
        <v>715</v>
      </c>
      <c r="C70" s="325">
        <v>2025</v>
      </c>
      <c r="D70" s="622">
        <v>2</v>
      </c>
      <c r="E70" s="622">
        <v>2</v>
      </c>
      <c r="F70" s="694"/>
      <c r="G70" s="694"/>
      <c r="H70" s="694"/>
    </row>
    <row r="71" spans="1:13" x14ac:dyDescent="0.3">
      <c r="A71" s="338"/>
      <c r="B71" s="70"/>
      <c r="C71" s="400"/>
      <c r="D71" s="400"/>
      <c r="E71" s="400"/>
      <c r="F71" s="400"/>
      <c r="G71" s="400"/>
      <c r="H71" s="400"/>
    </row>
    <row r="72" spans="1:13" x14ac:dyDescent="0.3">
      <c r="A72" s="44">
        <v>6</v>
      </c>
      <c r="B72" s="328" t="s">
        <v>494</v>
      </c>
      <c r="C72" s="180"/>
      <c r="D72" s="180"/>
      <c r="E72" s="180"/>
      <c r="F72" s="180"/>
      <c r="G72" s="180"/>
      <c r="H72" s="400"/>
    </row>
    <row r="73" spans="1:13" ht="15.75" thickBot="1" x14ac:dyDescent="0.35">
      <c r="B73" s="2" t="str">
        <f>C9</f>
        <v>SEW</v>
      </c>
      <c r="E73" s="43"/>
      <c r="H73" s="400"/>
    </row>
    <row r="74" spans="1:13" x14ac:dyDescent="0.3">
      <c r="B74" s="153" t="s">
        <v>392</v>
      </c>
      <c r="C74" s="154"/>
      <c r="D74" s="156" t="s">
        <v>393</v>
      </c>
      <c r="E74" s="158" t="s">
        <v>394</v>
      </c>
      <c r="F74" s="68" t="s">
        <v>395</v>
      </c>
      <c r="G74" s="340" t="s">
        <v>385</v>
      </c>
      <c r="H74" s="400"/>
    </row>
    <row r="75" spans="1:13" x14ac:dyDescent="0.3">
      <c r="B75" s="85" t="s">
        <v>396</v>
      </c>
      <c r="C75" s="71" t="s">
        <v>25</v>
      </c>
      <c r="D75" s="240">
        <f t="shared" ref="D75:F76" si="0">D79+D83</f>
        <v>115.80722850453959</v>
      </c>
      <c r="E75" s="240">
        <f t="shared" si="0"/>
        <v>0</v>
      </c>
      <c r="F75" s="240">
        <f t="shared" si="0"/>
        <v>115.80722850453959</v>
      </c>
      <c r="G75" s="36" t="str">
        <f>IF(ABS(SUM(D75,E75)-F75)&lt;0.001,"OK","ERROR")</f>
        <v>OK</v>
      </c>
      <c r="H75" s="400"/>
    </row>
    <row r="76" spans="1:13" x14ac:dyDescent="0.3">
      <c r="B76" s="155" t="s">
        <v>397</v>
      </c>
      <c r="C76" s="71" t="s">
        <v>25</v>
      </c>
      <c r="D76" s="240">
        <f t="shared" si="0"/>
        <v>18.41336360993105</v>
      </c>
      <c r="E76" s="240">
        <f t="shared" si="0"/>
        <v>0</v>
      </c>
      <c r="F76" s="240">
        <f t="shared" si="0"/>
        <v>18.41336360993105</v>
      </c>
      <c r="G76" s="36" t="str">
        <f>IF(ABS(SUM(D76,E76)-F76)&lt;0.001,"OK","ERROR")</f>
        <v>OK</v>
      </c>
      <c r="H76" s="400"/>
    </row>
    <row r="77" spans="1:13" ht="15.75" x14ac:dyDescent="0.3">
      <c r="B77" s="85" t="s">
        <v>398</v>
      </c>
      <c r="C77" s="71" t="s">
        <v>93</v>
      </c>
      <c r="D77" s="240">
        <f>D81+D85</f>
        <v>44.79</v>
      </c>
      <c r="E77" s="240" t="s">
        <v>341</v>
      </c>
      <c r="F77" s="240">
        <f>D77</f>
        <v>44.79</v>
      </c>
      <c r="G77" s="36" t="str">
        <f>IF(ABS(SUM(D77,E77)-F77)&lt;0.001,"OK","ERROR")</f>
        <v>OK</v>
      </c>
      <c r="H77" s="400"/>
      <c r="J77" s="308"/>
      <c r="K77" s="308"/>
      <c r="L77" s="308"/>
      <c r="M77" s="237"/>
    </row>
    <row r="78" spans="1:13" ht="15.75" x14ac:dyDescent="0.3">
      <c r="B78" s="34"/>
      <c r="C78" s="16"/>
      <c r="D78" s="265"/>
      <c r="E78" s="265"/>
      <c r="F78" s="265"/>
      <c r="G78" s="36"/>
      <c r="H78" s="400"/>
      <c r="J78" s="308"/>
      <c r="K78" s="308"/>
      <c r="L78" s="308"/>
      <c r="M78" s="238"/>
    </row>
    <row r="79" spans="1:13" ht="15.75" x14ac:dyDescent="0.3">
      <c r="B79" s="85" t="s">
        <v>399</v>
      </c>
      <c r="C79" s="71" t="s">
        <v>25</v>
      </c>
      <c r="D79" s="240">
        <f>INDEX(Analysis!H$101:H$117,MATCH($B$73,Analysis!$B$101:$B$117,0))</f>
        <v>31.352435937195782</v>
      </c>
      <c r="E79" s="240">
        <f>INDEX(Analysis!I$101:I$117,MATCH($B$73,Analysis!$B$101:$B$117,0))</f>
        <v>0</v>
      </c>
      <c r="F79" s="240">
        <f>SUM(D79:E79)</f>
        <v>31.352435937195782</v>
      </c>
      <c r="G79" s="36" t="str">
        <f t="shared" ref="G79:G83" si="1">IF(ABS(SUM(D79,E79)-F79)&lt;0.001,"OK","ERROR")</f>
        <v>OK</v>
      </c>
      <c r="H79" s="400"/>
      <c r="J79" s="308"/>
      <c r="K79" s="308"/>
      <c r="L79" s="308"/>
      <c r="M79" s="238"/>
    </row>
    <row r="80" spans="1:13" x14ac:dyDescent="0.3">
      <c r="B80" s="155" t="s">
        <v>400</v>
      </c>
      <c r="C80" s="157" t="s">
        <v>25</v>
      </c>
      <c r="D80" s="239">
        <f>INDEX(Analysis!H$150:H$166,MATCH($B$73,Analysis!$B$150:$B$166,0))</f>
        <v>0.35304626385199989</v>
      </c>
      <c r="E80" s="239">
        <f>INDEX(Analysis!I$150:I$166,MATCH($B$73,Analysis!$B$150:$B$166,0))</f>
        <v>0</v>
      </c>
      <c r="F80" s="240">
        <f>SUM(D80:E80)</f>
        <v>0.35304626385199989</v>
      </c>
      <c r="G80" s="36" t="str">
        <f>IF(ABS(SUM(D80,E80)-F80)&lt;0.001,"OK","ERROR")</f>
        <v>OK</v>
      </c>
      <c r="H80" s="400"/>
      <c r="M80" s="238"/>
    </row>
    <row r="81" spans="2:13" x14ac:dyDescent="0.3">
      <c r="B81" s="85" t="s">
        <v>401</v>
      </c>
      <c r="C81" s="71" t="s">
        <v>93</v>
      </c>
      <c r="D81" s="240">
        <f>INDEX(Analysis!$H$26:$H$42,MATCH($B$73,Analysis!$B$26:$B$42,0))</f>
        <v>18.18</v>
      </c>
      <c r="E81" s="240" t="s">
        <v>341</v>
      </c>
      <c r="F81" s="240">
        <f>D81</f>
        <v>18.18</v>
      </c>
      <c r="G81" s="36" t="str">
        <f>IF(ABS(SUM(D81,E81)-F81)&lt;0.001,"OK","ERROR")</f>
        <v>OK</v>
      </c>
      <c r="H81" s="400"/>
      <c r="M81" s="238"/>
    </row>
    <row r="82" spans="2:13" x14ac:dyDescent="0.3">
      <c r="B82" s="34"/>
      <c r="C82" s="16"/>
      <c r="D82" s="265"/>
      <c r="E82" s="265"/>
      <c r="F82" s="265"/>
      <c r="G82" s="36"/>
      <c r="H82" s="400"/>
      <c r="M82" s="2"/>
    </row>
    <row r="83" spans="2:13" x14ac:dyDescent="0.3">
      <c r="B83" s="85" t="s">
        <v>402</v>
      </c>
      <c r="C83" s="71" t="s">
        <v>403</v>
      </c>
      <c r="D83" s="240">
        <f>INDEX(Analysis!H$125:H$141,MATCH($B$73,Analysis!$B$125:$B$141,0))</f>
        <v>84.454792567343816</v>
      </c>
      <c r="E83" s="240">
        <f>INDEX(Analysis!I$125:I$141,MATCH($B$73,Analysis!$B$125:$B$141,0))</f>
        <v>0</v>
      </c>
      <c r="F83" s="240">
        <f>SUM(D83:E83)</f>
        <v>84.454792567343816</v>
      </c>
      <c r="G83" s="36" t="str">
        <f t="shared" si="1"/>
        <v>OK</v>
      </c>
      <c r="H83" s="400"/>
      <c r="M83" s="2"/>
    </row>
    <row r="84" spans="2:13" x14ac:dyDescent="0.3">
      <c r="B84" s="155" t="s">
        <v>404</v>
      </c>
      <c r="C84" s="71" t="s">
        <v>403</v>
      </c>
      <c r="D84" s="239">
        <f>INDEX(Analysis!H$175:H$191,MATCH($B$73,Analysis!$B$175:$B$191,0))</f>
        <v>18.060317346079049</v>
      </c>
      <c r="E84" s="239">
        <f>INDEX(Analysis!I$175:I$191,MATCH($B$73,Analysis!$B$175:$B$191,0))</f>
        <v>0</v>
      </c>
      <c r="F84" s="240">
        <f>SUM(D84:E84)</f>
        <v>18.060317346079049</v>
      </c>
      <c r="G84" s="36" t="str">
        <f>IF(ABS(SUM(D84,E84)-F84)&lt;0.001,"OK","ERROR")</f>
        <v>OK</v>
      </c>
      <c r="H84" s="400"/>
      <c r="M84" s="2"/>
    </row>
    <row r="85" spans="2:13" ht="15.75" thickBot="1" x14ac:dyDescent="0.35">
      <c r="B85" s="151" t="s">
        <v>405</v>
      </c>
      <c r="C85" s="74" t="s">
        <v>93</v>
      </c>
      <c r="D85" s="266">
        <f>INDEX(Analysis!$H$51:$H$67,MATCH($B$73,Analysis!$B$51:$B$67,0))</f>
        <v>26.61</v>
      </c>
      <c r="E85" s="266" t="s">
        <v>341</v>
      </c>
      <c r="F85" s="266">
        <f>D85</f>
        <v>26.61</v>
      </c>
      <c r="G85" s="37" t="str">
        <f>IF(ABS(SUM(D85,E85)-F85)&lt;0.001,"OK","ERROR")</f>
        <v>OK</v>
      </c>
      <c r="H85" s="400"/>
      <c r="M85" s="2"/>
    </row>
    <row r="86" spans="2:13" x14ac:dyDescent="0.3">
      <c r="H86" s="400"/>
      <c r="M86" s="2"/>
    </row>
    <row r="87" spans="2:13" x14ac:dyDescent="0.3">
      <c r="H87" s="400"/>
      <c r="M87" s="2"/>
    </row>
    <row r="88" spans="2:13" x14ac:dyDescent="0.3">
      <c r="M88" s="2"/>
    </row>
    <row r="89" spans="2:13" x14ac:dyDescent="0.3">
      <c r="M89" s="2"/>
    </row>
  </sheetData>
  <mergeCells count="4">
    <mergeCell ref="C4:D4"/>
    <mergeCell ref="C5:D5"/>
    <mergeCell ref="C6:D6"/>
    <mergeCell ref="B60:H60"/>
  </mergeCells>
  <conditionalFormatting sqref="D73 G75:G77 G79:G81 G83:G85">
    <cfRule type="cellIs" dxfId="15" priority="53" operator="equal">
      <formula>"OK"</formula>
    </cfRule>
    <cfRule type="cellIs" dxfId="14" priority="54" operator="equal">
      <formula>"ERROR"</formula>
    </cfRule>
  </conditionalFormatting>
  <conditionalFormatting sqref="F4">
    <cfRule type="cellIs" dxfId="13" priority="7" operator="equal">
      <formula>"OK"</formula>
    </cfRule>
    <cfRule type="cellIs" dxfId="12" priority="8" operator="equal">
      <formula>"ERROR"</formula>
    </cfRule>
  </conditionalFormatting>
  <conditionalFormatting sqref="F5">
    <cfRule type="cellIs" dxfId="11" priority="5" operator="equal">
      <formula>"OK"</formula>
    </cfRule>
    <cfRule type="cellIs" dxfId="10" priority="6" operator="equal">
      <formula>"ERROR"</formula>
    </cfRule>
  </conditionalFormatting>
  <conditionalFormatting sqref="F6">
    <cfRule type="cellIs" dxfId="9" priority="3" operator="equal">
      <formula>"OK"</formula>
    </cfRule>
    <cfRule type="cellIs" dxfId="8" priority="4" operator="equal">
      <formula>"ERROR"</formula>
    </cfRule>
  </conditionalFormatting>
  <conditionalFormatting sqref="F5">
    <cfRule type="cellIs" dxfId="7" priority="1" operator="equal">
      <formula>"OK"</formula>
    </cfRule>
    <cfRule type="cellIs" dxfId="6" priority="2"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AP86"/>
  <sheetViews>
    <sheetView zoomScaleNormal="100" workbookViewId="0"/>
  </sheetViews>
  <sheetFormatPr defaultColWidth="8.7109375" defaultRowHeight="15" x14ac:dyDescent="0.3"/>
  <cols>
    <col min="1" max="1" width="9.28515625" style="46" customWidth="1"/>
    <col min="2" max="2" width="67.85546875" style="46" customWidth="1"/>
    <col min="3" max="3" width="20" style="46" customWidth="1"/>
    <col min="4" max="4" width="18" style="46" customWidth="1"/>
    <col min="5" max="5" width="13" style="48" customWidth="1"/>
    <col min="6" max="6" width="17.85546875" style="46" customWidth="1"/>
    <col min="7" max="7" width="69.28515625" style="46" customWidth="1"/>
    <col min="8" max="9" width="11.7109375" style="46" customWidth="1"/>
    <col min="10" max="10" width="10.7109375" style="46" customWidth="1"/>
    <col min="11" max="13" width="8.28515625" style="46" customWidth="1"/>
    <col min="14" max="42" width="8.7109375" style="219"/>
    <col min="43" max="16384" width="8.7109375" style="46"/>
  </cols>
  <sheetData>
    <row r="1" spans="2:42" s="4" customFormat="1" ht="21.75" x14ac:dyDescent="0.3">
      <c r="B1" s="6" t="s">
        <v>717</v>
      </c>
      <c r="C1" s="1"/>
      <c r="D1" s="1"/>
      <c r="E1" s="45"/>
      <c r="F1" s="1"/>
      <c r="G1" s="2"/>
      <c r="H1" s="10"/>
      <c r="I1" s="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row>
    <row r="2" spans="2:42" s="4" customFormat="1" ht="22.5" thickBot="1" x14ac:dyDescent="0.35">
      <c r="B2" s="5"/>
      <c r="C2" s="8"/>
      <c r="D2" s="8"/>
      <c r="E2" s="38"/>
      <c r="F2" s="2"/>
      <c r="G2" s="2"/>
      <c r="H2" s="10"/>
      <c r="I2" s="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row>
    <row r="3" spans="2:42" s="4" customFormat="1" ht="22.5" thickBot="1" x14ac:dyDescent="0.35">
      <c r="B3" s="5" t="s">
        <v>1</v>
      </c>
      <c r="C3" s="8"/>
      <c r="D3" s="8"/>
      <c r="E3" s="38"/>
      <c r="F3" s="394" t="s">
        <v>385</v>
      </c>
      <c r="G3" s="2"/>
      <c r="H3" s="10"/>
    </row>
    <row r="4" spans="2:42" s="2" customFormat="1" x14ac:dyDescent="0.3">
      <c r="B4" s="354" t="s">
        <v>471</v>
      </c>
      <c r="C4" s="711" t="s">
        <v>387</v>
      </c>
      <c r="D4" s="712"/>
      <c r="E4" s="38"/>
      <c r="F4" s="395" t="str">
        <f>IF(ROUND(C10,3)-ROUND((F74+F75),3)=0,"OK","ERROR")</f>
        <v>OK</v>
      </c>
      <c r="G4" s="2" t="s">
        <v>472</v>
      </c>
    </row>
    <row r="5" spans="2:42" s="2" customFormat="1" ht="15.75" thickBot="1" x14ac:dyDescent="0.35">
      <c r="B5" s="355" t="s">
        <v>388</v>
      </c>
      <c r="C5" s="713">
        <v>43616</v>
      </c>
      <c r="D5" s="714"/>
      <c r="E5" s="38"/>
      <c r="F5" s="396" t="str">
        <f>IF(ROUND(D28,3)-ROUND(C10,3)=0,"OK","ERROR")</f>
        <v>ERROR</v>
      </c>
      <c r="G5" s="2" t="s">
        <v>781</v>
      </c>
    </row>
    <row r="6" spans="2:42" s="2" customFormat="1" ht="15.75" thickBot="1" x14ac:dyDescent="0.35">
      <c r="B6" s="356" t="s">
        <v>389</v>
      </c>
      <c r="C6" s="715" t="s">
        <v>932</v>
      </c>
      <c r="D6" s="716"/>
      <c r="E6" s="38"/>
    </row>
    <row r="7" spans="2:42" s="2" customFormat="1" x14ac:dyDescent="0.3">
      <c r="B7" s="16"/>
      <c r="C7" s="16"/>
      <c r="D7" s="17"/>
      <c r="E7" s="38"/>
    </row>
    <row r="8" spans="2:42" s="2" customFormat="1" ht="15.75" thickBot="1" x14ac:dyDescent="0.35">
      <c r="B8" s="5" t="s">
        <v>6</v>
      </c>
      <c r="E8" s="38"/>
    </row>
    <row r="9" spans="2:42" s="2" customFormat="1" x14ac:dyDescent="0.3">
      <c r="B9" s="357" t="s">
        <v>312</v>
      </c>
      <c r="C9" s="360" t="s">
        <v>39</v>
      </c>
      <c r="D9" s="402"/>
      <c r="E9" s="38"/>
    </row>
    <row r="10" spans="2:42" s="2" customFormat="1" x14ac:dyDescent="0.3">
      <c r="B10" s="358" t="s">
        <v>474</v>
      </c>
      <c r="C10" s="361">
        <f>INDEX(Analysis!L5:L21,MATCH(C9,Analysis!B5:B21,0))</f>
        <v>16.132873292303312</v>
      </c>
      <c r="D10" s="5"/>
      <c r="E10" s="38"/>
    </row>
    <row r="11" spans="2:42" s="2" customFormat="1" x14ac:dyDescent="0.3">
      <c r="B11" s="358" t="s">
        <v>475</v>
      </c>
      <c r="C11" s="361">
        <v>0</v>
      </c>
      <c r="D11" s="15"/>
      <c r="E11" s="63"/>
      <c r="G11" s="15"/>
    </row>
    <row r="12" spans="2:42" s="2" customFormat="1" x14ac:dyDescent="0.3">
      <c r="B12" s="358" t="s">
        <v>476</v>
      </c>
      <c r="C12" s="362">
        <f>C10+C11</f>
        <v>16.132873292303312</v>
      </c>
      <c r="D12" s="15"/>
      <c r="E12" s="63"/>
      <c r="G12" s="15"/>
    </row>
    <row r="13" spans="2:42" s="2" customFormat="1" x14ac:dyDescent="0.3">
      <c r="B13" s="358" t="s">
        <v>477</v>
      </c>
      <c r="C13" s="362">
        <v>0</v>
      </c>
      <c r="D13" s="15"/>
      <c r="E13" s="63"/>
      <c r="G13" s="15"/>
    </row>
    <row r="14" spans="2:42" s="2" customFormat="1" ht="15.75" thickBot="1" x14ac:dyDescent="0.35">
      <c r="B14" s="359" t="s">
        <v>478</v>
      </c>
      <c r="C14" s="363">
        <f ca="1">F28</f>
        <v>5.8599766351691125</v>
      </c>
      <c r="D14" s="15"/>
      <c r="E14" s="63"/>
      <c r="G14" s="15"/>
    </row>
    <row r="15" spans="2:42" s="2" customFormat="1" x14ac:dyDescent="0.3">
      <c r="B15" s="337"/>
      <c r="C15" s="15"/>
      <c r="D15" s="15"/>
      <c r="E15" s="63"/>
      <c r="G15" s="15"/>
    </row>
    <row r="16" spans="2:42" s="2" customFormat="1" ht="15.75" thickBot="1" x14ac:dyDescent="0.35">
      <c r="B16" s="5" t="s">
        <v>391</v>
      </c>
      <c r="C16" s="82"/>
      <c r="E16" s="38"/>
    </row>
    <row r="17" spans="1:36" s="2" customFormat="1" ht="15.75" thickBot="1" x14ac:dyDescent="0.35">
      <c r="B17" s="364" t="s">
        <v>479</v>
      </c>
      <c r="C17" s="365">
        <f ca="1">C13+C14</f>
        <v>5.8599766351691125</v>
      </c>
      <c r="D17" s="5"/>
      <c r="E17" s="38"/>
    </row>
    <row r="18" spans="1:36" s="2" customFormat="1" x14ac:dyDescent="0.3">
      <c r="E18" s="82"/>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row>
    <row r="19" spans="1:36" s="2" customFormat="1" ht="16.5" customHeight="1" thickBot="1" x14ac:dyDescent="0.35">
      <c r="A19" s="44"/>
      <c r="B19" s="172" t="s">
        <v>480</v>
      </c>
      <c r="C19" s="35"/>
      <c r="D19" s="16"/>
      <c r="E19" s="22"/>
      <c r="F19" s="40"/>
      <c r="G19" s="64"/>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row>
    <row r="20" spans="1:36" s="31" customFormat="1" ht="45" x14ac:dyDescent="0.3">
      <c r="A20" s="372" t="s">
        <v>481</v>
      </c>
      <c r="B20" s="373" t="s">
        <v>482</v>
      </c>
      <c r="C20" s="382" t="s">
        <v>483</v>
      </c>
      <c r="D20" s="382" t="s">
        <v>484</v>
      </c>
      <c r="E20" s="382" t="s">
        <v>485</v>
      </c>
      <c r="F20" s="382" t="s">
        <v>486</v>
      </c>
      <c r="G20" s="470" t="s">
        <v>340</v>
      </c>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row>
    <row r="21" spans="1:36" s="2" customFormat="1" ht="121.5" customHeight="1" x14ac:dyDescent="0.3">
      <c r="A21" s="560">
        <v>1</v>
      </c>
      <c r="B21" s="561" t="s">
        <v>411</v>
      </c>
      <c r="C21" s="367">
        <f>SUM(C22:C23)</f>
        <v>4.91</v>
      </c>
      <c r="D21" s="367">
        <f>SUM(D22:D23)</f>
        <v>5.83</v>
      </c>
      <c r="E21" s="367">
        <f>C22+C63</f>
        <v>4.9352461884528882</v>
      </c>
      <c r="F21" s="368">
        <f ca="1">E21*MIN(C31,D31)</f>
        <v>5.8599766351691125</v>
      </c>
      <c r="G21" s="471" t="s">
        <v>1028</v>
      </c>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row>
    <row r="22" spans="1:36" s="2" customFormat="1" x14ac:dyDescent="0.3">
      <c r="A22" s="560" t="s">
        <v>487</v>
      </c>
      <c r="B22" s="561" t="s">
        <v>408</v>
      </c>
      <c r="C22" s="384">
        <f>C47</f>
        <v>3.92</v>
      </c>
      <c r="D22" s="385">
        <f>C57</f>
        <v>2.92</v>
      </c>
      <c r="E22" s="371"/>
      <c r="F22" s="371"/>
      <c r="G22" s="619"/>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row>
    <row r="23" spans="1:36" s="2" customFormat="1" x14ac:dyDescent="0.3">
      <c r="A23" s="560" t="s">
        <v>488</v>
      </c>
      <c r="B23" s="561" t="s">
        <v>409</v>
      </c>
      <c r="C23" s="384">
        <f>SUM(F58:J58)</f>
        <v>0.99</v>
      </c>
      <c r="D23" s="384">
        <f>C58</f>
        <v>2.91</v>
      </c>
      <c r="E23" s="371"/>
      <c r="F23" s="371"/>
      <c r="G23" s="619"/>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row>
    <row r="24" spans="1:36" s="2" customFormat="1" ht="120" x14ac:dyDescent="0.3">
      <c r="A24" s="560">
        <v>2</v>
      </c>
      <c r="B24" s="561" t="s">
        <v>412</v>
      </c>
      <c r="C24" s="405">
        <f>SUM(F56:J56)</f>
        <v>19.61</v>
      </c>
      <c r="D24" s="405">
        <f>E56</f>
        <v>10.3</v>
      </c>
      <c r="E24" s="371"/>
      <c r="F24" s="368">
        <f>INDEX('Leakage assessment'!B5:B21,MATCH(B72,'Leakage assessment'!A5:A21,0))</f>
        <v>0</v>
      </c>
      <c r="G24" s="472" t="s">
        <v>1029</v>
      </c>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row>
    <row r="25" spans="1:36" s="2" customFormat="1" x14ac:dyDescent="0.3">
      <c r="A25" s="560">
        <v>3</v>
      </c>
      <c r="B25" s="561" t="s">
        <v>413</v>
      </c>
      <c r="C25" s="371"/>
      <c r="D25" s="370">
        <v>0</v>
      </c>
      <c r="E25" s="371"/>
      <c r="F25" s="367">
        <v>0</v>
      </c>
      <c r="G25" s="473" t="s">
        <v>489</v>
      </c>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row>
    <row r="26" spans="1:36" s="2" customFormat="1" x14ac:dyDescent="0.3">
      <c r="A26" s="560">
        <v>4</v>
      </c>
      <c r="B26" s="561" t="s">
        <v>415</v>
      </c>
      <c r="C26" s="371"/>
      <c r="D26" s="370">
        <v>0</v>
      </c>
      <c r="E26" s="371"/>
      <c r="F26" s="367">
        <v>0</v>
      </c>
      <c r="G26" s="474" t="s">
        <v>557</v>
      </c>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row>
    <row r="27" spans="1:36" s="2" customFormat="1" ht="15.75" thickBot="1" x14ac:dyDescent="0.35">
      <c r="A27" s="562">
        <v>5</v>
      </c>
      <c r="B27" s="563" t="s">
        <v>416</v>
      </c>
      <c r="C27" s="377"/>
      <c r="D27" s="378">
        <v>0</v>
      </c>
      <c r="E27" s="377"/>
      <c r="F27" s="378">
        <v>0</v>
      </c>
      <c r="G27" s="475" t="s">
        <v>489</v>
      </c>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row>
    <row r="28" spans="1:36" s="2" customFormat="1" ht="15.75" thickBot="1" x14ac:dyDescent="0.35">
      <c r="A28" s="44"/>
      <c r="B28" s="379" t="s">
        <v>313</v>
      </c>
      <c r="C28" s="380"/>
      <c r="D28" s="380">
        <f>SUM(D21,D24:D27)</f>
        <v>16.130000000000003</v>
      </c>
      <c r="E28" s="380"/>
      <c r="F28" s="380">
        <f ca="1">SUM(F21,F24:F27)</f>
        <v>5.8599766351691125</v>
      </c>
      <c r="G28" s="476"/>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row>
    <row r="29" spans="1:36" s="2" customFormat="1" x14ac:dyDescent="0.3">
      <c r="B29" s="71"/>
      <c r="C29" s="71"/>
      <c r="D29" s="75"/>
      <c r="E29" s="70"/>
      <c r="F29" s="71"/>
      <c r="G29" s="70"/>
      <c r="H29" s="71"/>
      <c r="I29" s="7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row>
    <row r="30" spans="1:36" s="2" customFormat="1" ht="15.75" thickBot="1" x14ac:dyDescent="0.35">
      <c r="B30" s="172" t="s">
        <v>490</v>
      </c>
      <c r="C30" s="386" t="s">
        <v>491</v>
      </c>
      <c r="D30" s="386" t="s">
        <v>492</v>
      </c>
      <c r="E30" s="22"/>
      <c r="F30" s="16"/>
      <c r="G30" s="70"/>
      <c r="H30" s="71"/>
      <c r="I30" s="7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row>
    <row r="31" spans="1:36" s="2" customFormat="1" x14ac:dyDescent="0.3">
      <c r="B31" s="387" t="s">
        <v>418</v>
      </c>
      <c r="C31" s="388">
        <f>IFERROR(D21/C21,0)</f>
        <v>1.1873727087576376</v>
      </c>
      <c r="D31" s="389">
        <f ca="1">'Unit costs'!B3</f>
        <v>1.2</v>
      </c>
      <c r="E31" s="22"/>
      <c r="F31" s="16"/>
      <c r="G31" s="65"/>
      <c r="H31" s="16"/>
      <c r="I31" s="16"/>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row>
    <row r="32" spans="1:36" s="2" customFormat="1" ht="15.75" thickBot="1" x14ac:dyDescent="0.35">
      <c r="B32" s="390" t="s">
        <v>420</v>
      </c>
      <c r="C32" s="391">
        <f>D24/C24</f>
        <v>0.52524222335543091</v>
      </c>
      <c r="D32" s="392">
        <f ca="1">'Unit costs'!B4</f>
        <v>2.0302304832713758</v>
      </c>
      <c r="E32" s="22"/>
      <c r="F32" s="16"/>
      <c r="G32" s="65"/>
      <c r="H32" s="16"/>
      <c r="I32" s="16"/>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row>
    <row r="33" spans="1:42" s="2" customFormat="1" ht="15.75" thickBot="1" x14ac:dyDescent="0.35">
      <c r="B33" s="16"/>
      <c r="C33" s="179"/>
      <c r="D33" s="179"/>
      <c r="E33" s="22"/>
      <c r="F33" s="16"/>
      <c r="G33" s="65"/>
      <c r="H33" s="16"/>
      <c r="I33" s="16"/>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row>
    <row r="34" spans="1:42" s="2" customFormat="1" ht="15.75" thickBot="1" x14ac:dyDescent="0.35">
      <c r="B34" s="437" t="s">
        <v>747</v>
      </c>
      <c r="C34" s="460">
        <v>5.0631445131408964E-2</v>
      </c>
      <c r="D34" s="458"/>
      <c r="E34" s="22"/>
      <c r="F34" s="16"/>
      <c r="G34" s="70"/>
      <c r="H34" s="16"/>
      <c r="I34" s="7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row>
    <row r="35" spans="1:42" x14ac:dyDescent="0.3">
      <c r="B35" s="49"/>
      <c r="C35" s="49"/>
      <c r="D35" s="49"/>
      <c r="E35" s="459"/>
      <c r="F35" s="49"/>
      <c r="J35" s="219"/>
      <c r="K35" s="219"/>
      <c r="L35" s="219"/>
      <c r="M35" s="219"/>
      <c r="AJ35" s="46"/>
      <c r="AK35" s="46"/>
      <c r="AL35" s="46"/>
      <c r="AM35" s="46"/>
      <c r="AN35" s="46"/>
      <c r="AO35" s="46"/>
      <c r="AP35" s="46"/>
    </row>
    <row r="36" spans="1:42" x14ac:dyDescent="0.3">
      <c r="B36" s="54" t="s">
        <v>303</v>
      </c>
      <c r="J36" s="219"/>
      <c r="K36" s="219"/>
      <c r="L36" s="219"/>
      <c r="M36" s="219"/>
      <c r="AJ36" s="46"/>
      <c r="AK36" s="46"/>
      <c r="AL36" s="46"/>
      <c r="AM36" s="46"/>
      <c r="AN36" s="46"/>
      <c r="AO36" s="46"/>
      <c r="AP36" s="46"/>
    </row>
    <row r="37" spans="1:42" x14ac:dyDescent="0.3">
      <c r="B37" s="54"/>
      <c r="J37" s="219"/>
      <c r="K37" s="219"/>
      <c r="L37" s="219"/>
      <c r="M37" s="219"/>
      <c r="AJ37" s="46"/>
      <c r="AK37" s="46"/>
      <c r="AL37" s="46"/>
      <c r="AM37" s="46"/>
      <c r="AN37" s="46"/>
      <c r="AO37" s="46"/>
      <c r="AP37" s="46"/>
    </row>
    <row r="38" spans="1:42" x14ac:dyDescent="0.3">
      <c r="A38" s="331">
        <v>1</v>
      </c>
      <c r="B38" s="335" t="s">
        <v>411</v>
      </c>
      <c r="J38" s="219"/>
      <c r="K38" s="219"/>
      <c r="L38" s="219"/>
      <c r="M38" s="219"/>
      <c r="AJ38" s="46"/>
      <c r="AK38" s="46"/>
      <c r="AL38" s="46"/>
      <c r="AM38" s="46"/>
      <c r="AN38" s="46"/>
      <c r="AO38" s="46"/>
      <c r="AP38" s="46"/>
    </row>
    <row r="39" spans="1:42" x14ac:dyDescent="0.3">
      <c r="A39" s="44" t="s">
        <v>487</v>
      </c>
      <c r="B39" s="335" t="s">
        <v>408</v>
      </c>
      <c r="D39" s="248"/>
      <c r="E39" s="248"/>
      <c r="F39" s="248"/>
      <c r="G39" s="248"/>
      <c r="H39" s="248"/>
      <c r="I39" s="49"/>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row>
    <row r="40" spans="1:42" x14ac:dyDescent="0.3">
      <c r="B40" s="310" t="s">
        <v>873</v>
      </c>
      <c r="D40" s="248"/>
      <c r="E40" s="248"/>
      <c r="F40" s="248"/>
      <c r="G40" s="258" t="s">
        <v>718</v>
      </c>
      <c r="H40" s="248"/>
      <c r="I40" s="49"/>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row>
    <row r="41" spans="1:42" x14ac:dyDescent="0.3">
      <c r="B41" s="310" t="s">
        <v>719</v>
      </c>
      <c r="C41" s="258"/>
      <c r="D41" s="248"/>
      <c r="E41" s="248"/>
      <c r="F41" s="248"/>
      <c r="G41" s="248"/>
      <c r="H41" s="248"/>
      <c r="I41" s="49"/>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row>
    <row r="42" spans="1:42" x14ac:dyDescent="0.3">
      <c r="B42" s="310" t="s">
        <v>1047</v>
      </c>
      <c r="C42" s="258"/>
      <c r="D42" s="248"/>
      <c r="E42" s="248"/>
      <c r="F42" s="248"/>
      <c r="G42" s="248"/>
      <c r="H42" s="248"/>
      <c r="I42" s="49"/>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row>
    <row r="43" spans="1:42" ht="15.75" x14ac:dyDescent="0.3">
      <c r="B43" s="310"/>
      <c r="C43" s="248" t="s">
        <v>555</v>
      </c>
      <c r="D43" s="248" t="s">
        <v>874</v>
      </c>
      <c r="E43" s="248"/>
      <c r="F43" s="248"/>
      <c r="G43" s="248"/>
      <c r="H43" s="248"/>
      <c r="I43" s="49"/>
      <c r="J43" s="49"/>
      <c r="K43" s="218"/>
      <c r="L43" s="218"/>
      <c r="M43" s="218"/>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row>
    <row r="44" spans="1:42" ht="15.75" x14ac:dyDescent="0.3">
      <c r="B44" s="248" t="s">
        <v>720</v>
      </c>
      <c r="C44" s="248">
        <v>1.62</v>
      </c>
      <c r="D44" s="248"/>
      <c r="E44" s="248"/>
      <c r="F44" s="248"/>
      <c r="G44" s="248"/>
      <c r="H44" s="248"/>
      <c r="I44" s="49"/>
      <c r="J44" s="49"/>
      <c r="K44" s="218"/>
      <c r="L44" s="218"/>
      <c r="M44" s="218"/>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row>
    <row r="45" spans="1:42" ht="15.75" x14ac:dyDescent="0.3">
      <c r="B45" s="248" t="s">
        <v>721</v>
      </c>
      <c r="C45" s="248">
        <v>1.4</v>
      </c>
      <c r="D45" s="248"/>
      <c r="E45" s="248"/>
      <c r="F45" s="248"/>
      <c r="G45" s="248"/>
      <c r="H45" s="248"/>
      <c r="I45" s="49"/>
      <c r="J45" s="49"/>
      <c r="K45" s="218"/>
      <c r="L45" s="218"/>
      <c r="M45" s="218"/>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row>
    <row r="46" spans="1:42" ht="15.75" x14ac:dyDescent="0.3">
      <c r="B46" s="248" t="s">
        <v>722</v>
      </c>
      <c r="C46" s="248">
        <v>0.9</v>
      </c>
      <c r="D46" s="248"/>
      <c r="E46" s="248"/>
      <c r="F46" s="248"/>
      <c r="G46" s="248"/>
      <c r="H46" s="248"/>
      <c r="I46" s="49"/>
      <c r="J46" s="49"/>
      <c r="K46" s="218"/>
      <c r="L46" s="218"/>
      <c r="M46" s="218"/>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row>
    <row r="47" spans="1:42" ht="15.75" x14ac:dyDescent="0.3">
      <c r="B47" s="248"/>
      <c r="C47" s="248">
        <f>SUM(C44:C46)</f>
        <v>3.92</v>
      </c>
      <c r="D47" s="248">
        <v>2.274</v>
      </c>
      <c r="E47" s="248"/>
      <c r="F47" s="248"/>
      <c r="G47" s="248"/>
      <c r="H47" s="248"/>
      <c r="I47" s="49"/>
      <c r="J47" s="49"/>
      <c r="K47" s="218"/>
      <c r="L47" s="218"/>
      <c r="M47" s="218"/>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row>
    <row r="48" spans="1:42" ht="15.75" x14ac:dyDescent="0.3">
      <c r="B48" s="258" t="s">
        <v>952</v>
      </c>
      <c r="C48" s="258"/>
      <c r="D48" s="248"/>
      <c r="E48" s="248"/>
      <c r="F48" s="248"/>
      <c r="G48" s="248"/>
      <c r="H48" s="248"/>
      <c r="I48" s="49"/>
      <c r="J48" s="49"/>
      <c r="K48" s="218"/>
      <c r="L48" s="218"/>
      <c r="M48" s="218"/>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row>
    <row r="49" spans="1:42" ht="15.75" x14ac:dyDescent="0.3">
      <c r="B49" s="316"/>
      <c r="C49" s="258"/>
      <c r="D49" s="248"/>
      <c r="E49" s="248"/>
      <c r="F49" s="248"/>
      <c r="G49" s="248"/>
      <c r="H49" s="248"/>
      <c r="I49" s="49"/>
      <c r="J49" s="49"/>
      <c r="K49" s="218"/>
      <c r="L49" s="218"/>
      <c r="M49" s="218"/>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row>
    <row r="50" spans="1:42" ht="15.75" x14ac:dyDescent="0.3">
      <c r="A50" s="331" t="s">
        <v>488</v>
      </c>
      <c r="B50" s="335" t="s">
        <v>409</v>
      </c>
      <c r="C50" s="258"/>
      <c r="D50" s="248"/>
      <c r="E50" s="248"/>
      <c r="F50" s="248"/>
      <c r="G50" s="248"/>
      <c r="H50" s="248"/>
      <c r="I50" s="49"/>
      <c r="J50" s="49"/>
      <c r="K50" s="218"/>
      <c r="L50" s="218"/>
      <c r="M50" s="218"/>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row>
    <row r="51" spans="1:42" ht="15.75" x14ac:dyDescent="0.3">
      <c r="A51" s="331">
        <v>2</v>
      </c>
      <c r="B51" s="335" t="s">
        <v>412</v>
      </c>
      <c r="C51" s="258"/>
      <c r="D51" s="248"/>
      <c r="E51" s="248"/>
      <c r="F51" s="248"/>
      <c r="G51" s="248"/>
      <c r="H51" s="248"/>
      <c r="I51" s="49"/>
      <c r="J51" s="49"/>
      <c r="K51" s="218"/>
      <c r="L51" s="218"/>
      <c r="M51" s="218"/>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row>
    <row r="52" spans="1:42" ht="16.5" thickBot="1" x14ac:dyDescent="0.35">
      <c r="B52" s="250"/>
      <c r="C52" s="248"/>
      <c r="D52" s="248"/>
      <c r="E52" s="248"/>
      <c r="F52" s="248"/>
      <c r="G52" s="248"/>
      <c r="H52" s="248"/>
      <c r="I52" s="49"/>
      <c r="J52" s="49"/>
      <c r="K52" s="218"/>
      <c r="L52" s="218"/>
      <c r="M52" s="218"/>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row>
    <row r="53" spans="1:42" ht="30.75" thickBot="1" x14ac:dyDescent="0.35">
      <c r="B53" s="164" t="s">
        <v>875</v>
      </c>
      <c r="C53" s="735" t="s">
        <v>410</v>
      </c>
      <c r="D53" s="736"/>
      <c r="E53" s="737"/>
      <c r="F53" s="738" t="s">
        <v>318</v>
      </c>
      <c r="G53" s="739"/>
      <c r="H53" s="739"/>
      <c r="I53" s="739"/>
      <c r="J53" s="740"/>
      <c r="K53" s="218"/>
      <c r="L53" s="218"/>
      <c r="M53" s="218"/>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row>
    <row r="54" spans="1:42" ht="16.5" thickBot="1" x14ac:dyDescent="0.35">
      <c r="B54" s="250"/>
      <c r="C54" s="700" t="s">
        <v>349</v>
      </c>
      <c r="D54" s="701" t="s">
        <v>350</v>
      </c>
      <c r="E54" s="702" t="s">
        <v>723</v>
      </c>
      <c r="F54" s="703" t="s">
        <v>73</v>
      </c>
      <c r="G54" s="703" t="s">
        <v>74</v>
      </c>
      <c r="H54" s="703" t="s">
        <v>75</v>
      </c>
      <c r="I54" s="703" t="s">
        <v>76</v>
      </c>
      <c r="J54" s="703" t="s">
        <v>24</v>
      </c>
      <c r="K54" s="218"/>
      <c r="L54" s="218"/>
      <c r="M54" s="218"/>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row>
    <row r="55" spans="1:42" ht="18" thickBot="1" x14ac:dyDescent="0.35">
      <c r="B55" s="315" t="s">
        <v>1048</v>
      </c>
      <c r="C55" s="312"/>
      <c r="D55" s="312"/>
      <c r="E55" s="312"/>
      <c r="F55" s="313">
        <v>2.2999999999999998</v>
      </c>
      <c r="G55" s="313"/>
      <c r="H55" s="313"/>
      <c r="I55" s="313"/>
      <c r="J55" s="313"/>
      <c r="K55" s="218"/>
      <c r="L55" s="218"/>
      <c r="M55" s="218"/>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row>
    <row r="56" spans="1:42" ht="16.5" thickBot="1" x14ac:dyDescent="0.35">
      <c r="B56" s="311" t="s">
        <v>343</v>
      </c>
      <c r="C56" s="313">
        <v>6.9</v>
      </c>
      <c r="D56" s="313">
        <v>3.4</v>
      </c>
      <c r="E56" s="313">
        <v>10.3</v>
      </c>
      <c r="F56" s="313">
        <v>4.55</v>
      </c>
      <c r="G56" s="313">
        <v>3.76</v>
      </c>
      <c r="H56" s="313">
        <v>3.76</v>
      </c>
      <c r="I56" s="313">
        <v>3.77</v>
      </c>
      <c r="J56" s="313">
        <v>3.77</v>
      </c>
      <c r="K56" s="218"/>
      <c r="L56" s="218"/>
      <c r="M56" s="218"/>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row>
    <row r="57" spans="1:42" ht="18" thickBot="1" x14ac:dyDescent="0.35">
      <c r="B57" s="311" t="s">
        <v>724</v>
      </c>
      <c r="C57" s="313">
        <v>2.92</v>
      </c>
      <c r="D57" s="313">
        <v>0</v>
      </c>
      <c r="E57" s="313">
        <v>2.92</v>
      </c>
      <c r="F57" s="313"/>
      <c r="G57" s="313"/>
      <c r="H57" s="313"/>
      <c r="I57" s="313">
        <v>3.92</v>
      </c>
      <c r="J57" s="313"/>
      <c r="K57" s="218"/>
      <c r="L57" s="218"/>
      <c r="M57" s="218"/>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row>
    <row r="58" spans="1:42" ht="16.5" thickBot="1" x14ac:dyDescent="0.35">
      <c r="B58" s="311" t="s">
        <v>725</v>
      </c>
      <c r="C58" s="313">
        <v>2.91</v>
      </c>
      <c r="D58" s="314">
        <v>1.05</v>
      </c>
      <c r="E58" s="313">
        <v>3.96</v>
      </c>
      <c r="F58" s="313">
        <v>0.23</v>
      </c>
      <c r="G58" s="313">
        <v>0.19</v>
      </c>
      <c r="H58" s="313">
        <v>0.19</v>
      </c>
      <c r="I58" s="313">
        <v>0.19</v>
      </c>
      <c r="J58" s="313">
        <v>0.19</v>
      </c>
      <c r="K58" s="218"/>
      <c r="L58" s="218"/>
      <c r="M58" s="218"/>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row>
    <row r="59" spans="1:42" ht="18" thickBot="1" x14ac:dyDescent="0.35">
      <c r="B59" s="311" t="s">
        <v>726</v>
      </c>
      <c r="C59" s="313">
        <v>12.68</v>
      </c>
      <c r="D59" s="313">
        <v>0</v>
      </c>
      <c r="E59" s="313">
        <v>12.68</v>
      </c>
      <c r="F59" s="313">
        <v>0.81</v>
      </c>
      <c r="G59" s="313">
        <v>0.67</v>
      </c>
      <c r="H59" s="313">
        <v>0.67</v>
      </c>
      <c r="I59" s="313">
        <v>0.67</v>
      </c>
      <c r="J59" s="313">
        <v>0.67</v>
      </c>
      <c r="K59" s="218"/>
      <c r="L59" s="218"/>
      <c r="M59" s="218"/>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row>
    <row r="60" spans="1:42" ht="15.75" x14ac:dyDescent="0.3">
      <c r="B60" s="310" t="s">
        <v>780</v>
      </c>
      <c r="C60" s="248"/>
      <c r="D60" s="248"/>
      <c r="E60" s="248"/>
      <c r="F60" s="248"/>
      <c r="G60" s="248"/>
      <c r="H60" s="248"/>
      <c r="I60" s="49"/>
      <c r="J60" s="49"/>
      <c r="K60" s="218"/>
      <c r="L60" s="218"/>
      <c r="M60" s="218"/>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row>
    <row r="61" spans="1:42" ht="15.75" x14ac:dyDescent="0.3">
      <c r="B61" s="310"/>
      <c r="C61" s="248"/>
      <c r="D61" s="248"/>
      <c r="E61" s="248"/>
      <c r="F61" s="248"/>
      <c r="G61" s="248"/>
      <c r="H61" s="248"/>
      <c r="I61" s="49"/>
      <c r="J61" s="49"/>
      <c r="K61" s="218"/>
      <c r="L61" s="218"/>
      <c r="M61" s="218"/>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row>
    <row r="62" spans="1:42" ht="15.75" x14ac:dyDescent="0.3">
      <c r="B62" s="5" t="s">
        <v>876</v>
      </c>
      <c r="C62" s="2" t="s">
        <v>727</v>
      </c>
      <c r="D62" s="2"/>
      <c r="E62" s="2"/>
      <c r="F62" s="2"/>
      <c r="J62" s="217"/>
      <c r="K62" s="218"/>
      <c r="L62" s="218"/>
      <c r="M62" s="218"/>
    </row>
    <row r="63" spans="1:42" ht="15.75" x14ac:dyDescent="0.3">
      <c r="B63" s="2" t="s">
        <v>518</v>
      </c>
      <c r="C63" s="30">
        <v>1.0152461884528883</v>
      </c>
      <c r="D63" s="2" t="s">
        <v>93</v>
      </c>
      <c r="E63" s="32" t="s">
        <v>1046</v>
      </c>
      <c r="F63" s="2"/>
    </row>
    <row r="64" spans="1:42" x14ac:dyDescent="0.3">
      <c r="B64" s="2"/>
      <c r="C64" s="30"/>
      <c r="D64" s="2"/>
      <c r="E64" s="2"/>
      <c r="F64" s="2"/>
    </row>
    <row r="65" spans="1:42" x14ac:dyDescent="0.3">
      <c r="A65" s="331">
        <v>3</v>
      </c>
      <c r="B65" s="335" t="s">
        <v>413</v>
      </c>
      <c r="C65" s="30"/>
      <c r="D65" s="2"/>
      <c r="E65" s="2"/>
      <c r="F65" s="2"/>
    </row>
    <row r="66" spans="1:42" x14ac:dyDescent="0.3">
      <c r="B66" s="2"/>
      <c r="C66" s="61"/>
      <c r="D66" s="61"/>
      <c r="E66" s="2"/>
      <c r="F66" s="2"/>
    </row>
    <row r="67" spans="1:42" x14ac:dyDescent="0.3">
      <c r="A67" s="338">
        <v>4</v>
      </c>
      <c r="B67" s="328" t="s">
        <v>415</v>
      </c>
      <c r="C67" s="44"/>
      <c r="D67" s="44"/>
      <c r="E67" s="2"/>
      <c r="F67" s="2"/>
    </row>
    <row r="68" spans="1:42" x14ac:dyDescent="0.3">
      <c r="A68" s="338"/>
      <c r="B68" s="152"/>
      <c r="C68" s="59"/>
      <c r="D68" s="62"/>
      <c r="E68" s="2"/>
      <c r="F68" s="2"/>
    </row>
    <row r="69" spans="1:42" x14ac:dyDescent="0.3">
      <c r="A69" s="338">
        <v>5</v>
      </c>
      <c r="B69" s="328" t="s">
        <v>416</v>
      </c>
      <c r="E69" s="2"/>
      <c r="F69" s="2"/>
    </row>
    <row r="70" spans="1:42" x14ac:dyDescent="0.3">
      <c r="A70" s="338"/>
      <c r="B70" s="70"/>
      <c r="E70" s="2"/>
      <c r="F70" s="2"/>
    </row>
    <row r="71" spans="1:42" x14ac:dyDescent="0.3">
      <c r="A71" s="44">
        <v>6</v>
      </c>
      <c r="B71" s="328" t="s">
        <v>494</v>
      </c>
      <c r="E71" s="2"/>
      <c r="F71" s="2"/>
    </row>
    <row r="72" spans="1:42" ht="15.75" thickBot="1" x14ac:dyDescent="0.35">
      <c r="B72" s="2" t="str">
        <f>C9</f>
        <v>SSC</v>
      </c>
      <c r="C72" s="2"/>
      <c r="D72" s="2"/>
      <c r="E72" s="43"/>
      <c r="F72" s="82"/>
      <c r="G72" s="2"/>
      <c r="H72" s="2"/>
    </row>
    <row r="73" spans="1:42" x14ac:dyDescent="0.3">
      <c r="B73" s="153" t="s">
        <v>392</v>
      </c>
      <c r="C73" s="154"/>
      <c r="D73" s="156" t="s">
        <v>393</v>
      </c>
      <c r="E73" s="158" t="s">
        <v>394</v>
      </c>
      <c r="F73" s="68" t="s">
        <v>395</v>
      </c>
      <c r="G73" s="340" t="s">
        <v>385</v>
      </c>
      <c r="M73" s="219"/>
      <c r="AP73" s="46"/>
    </row>
    <row r="74" spans="1:42" x14ac:dyDescent="0.3">
      <c r="B74" s="85" t="s">
        <v>396</v>
      </c>
      <c r="C74" s="71" t="s">
        <v>25</v>
      </c>
      <c r="D74" s="240">
        <f t="shared" ref="D74:F75" si="0">D78+D82</f>
        <v>12.73111343895776</v>
      </c>
      <c r="E74" s="240">
        <f t="shared" si="0"/>
        <v>0</v>
      </c>
      <c r="F74" s="240">
        <f t="shared" si="0"/>
        <v>12.73111343895776</v>
      </c>
      <c r="G74" s="36" t="str">
        <f>IF(ABS(SUM(D74,E74)-F74)&lt;0.001,"OK","ERROR")</f>
        <v>OK</v>
      </c>
      <c r="M74" s="219"/>
      <c r="AP74" s="46"/>
    </row>
    <row r="75" spans="1:42" x14ac:dyDescent="0.3">
      <c r="B75" s="155" t="s">
        <v>397</v>
      </c>
      <c r="C75" s="71" t="s">
        <v>25</v>
      </c>
      <c r="D75" s="240">
        <f t="shared" si="0"/>
        <v>3.4017598533455535</v>
      </c>
      <c r="E75" s="240">
        <f t="shared" si="0"/>
        <v>0</v>
      </c>
      <c r="F75" s="240">
        <f t="shared" si="0"/>
        <v>3.4017598533455535</v>
      </c>
      <c r="G75" s="36" t="str">
        <f>IF(ABS(SUM(D75,E75)-F75)&lt;0.001,"OK","ERROR")</f>
        <v>OK</v>
      </c>
      <c r="M75" s="219"/>
      <c r="AP75" s="46"/>
    </row>
    <row r="76" spans="1:42" x14ac:dyDescent="0.3">
      <c r="B76" s="85" t="s">
        <v>398</v>
      </c>
      <c r="C76" s="71" t="s">
        <v>93</v>
      </c>
      <c r="D76" s="175">
        <f>D80+D84</f>
        <v>30.32</v>
      </c>
      <c r="E76" s="175" t="s">
        <v>341</v>
      </c>
      <c r="F76" s="175">
        <f>D76</f>
        <v>30.32</v>
      </c>
      <c r="G76" s="36" t="str">
        <f>IF(ABS(SUM(D76,E76)-F76)&lt;0.001,"OK","ERROR")</f>
        <v>OK</v>
      </c>
      <c r="M76" s="219"/>
      <c r="AP76" s="46"/>
    </row>
    <row r="77" spans="1:42" x14ac:dyDescent="0.3">
      <c r="B77" s="34"/>
      <c r="C77" s="16"/>
      <c r="D77" s="177"/>
      <c r="E77" s="177"/>
      <c r="F77" s="177"/>
      <c r="G77" s="36"/>
      <c r="M77" s="219"/>
      <c r="AP77" s="46"/>
    </row>
    <row r="78" spans="1:42" x14ac:dyDescent="0.3">
      <c r="B78" s="85" t="s">
        <v>399</v>
      </c>
      <c r="C78" s="71" t="s">
        <v>25</v>
      </c>
      <c r="D78" s="240">
        <f>INDEX(Analysis!H$101:H$117,MATCH($B$72,Analysis!$B$101:$B$117,0))</f>
        <v>2.9207270639335579</v>
      </c>
      <c r="E78" s="240">
        <f>INDEX(Analysis!I$101:I$117,MATCH($B$72,Analysis!$B$101:$B$117,0))</f>
        <v>0</v>
      </c>
      <c r="F78" s="240">
        <f>SUM(D78:E78)</f>
        <v>2.9207270639335579</v>
      </c>
      <c r="G78" s="36" t="str">
        <f t="shared" ref="G78:G82" si="1">IF(ABS(SUM(D78,E78)-F78)&lt;0.001,"OK","ERROR")</f>
        <v>OK</v>
      </c>
      <c r="M78" s="219"/>
      <c r="AP78" s="46"/>
    </row>
    <row r="79" spans="1:42" x14ac:dyDescent="0.3">
      <c r="B79" s="155" t="s">
        <v>400</v>
      </c>
      <c r="C79" s="157" t="s">
        <v>25</v>
      </c>
      <c r="D79" s="239">
        <f>INDEX(Analysis!H$150:H$166,MATCH($B$72,Analysis!$B$150:$B$166,0))</f>
        <v>0</v>
      </c>
      <c r="E79" s="239">
        <f>INDEX(Analysis!I$150:I$166,MATCH($B$72,Analysis!$B$150:$B$166,0))</f>
        <v>0</v>
      </c>
      <c r="F79" s="240">
        <f>SUM(D79:E79)</f>
        <v>0</v>
      </c>
      <c r="G79" s="36" t="str">
        <f>IF(ABS(SUM(D79,E79)-F79)&lt;0.001,"OK","ERROR")</f>
        <v>OK</v>
      </c>
      <c r="M79" s="219"/>
      <c r="AP79" s="46"/>
    </row>
    <row r="80" spans="1:42" x14ac:dyDescent="0.3">
      <c r="B80" s="85" t="s">
        <v>401</v>
      </c>
      <c r="C80" s="71" t="s">
        <v>93</v>
      </c>
      <c r="D80" s="175">
        <f>INDEX(Analysis!$H$26:$H$42,MATCH($B$72,Analysis!$B$26:$B$42,0))</f>
        <v>6.22</v>
      </c>
      <c r="E80" s="175" t="s">
        <v>341</v>
      </c>
      <c r="F80" s="175">
        <f>D80</f>
        <v>6.22</v>
      </c>
      <c r="G80" s="36" t="str">
        <f>IF(ABS(SUM(D80,E80)-F80)&lt;0.001,"OK","ERROR")</f>
        <v>OK</v>
      </c>
      <c r="M80" s="219"/>
      <c r="AP80" s="46"/>
    </row>
    <row r="81" spans="2:42" x14ac:dyDescent="0.3">
      <c r="B81" s="34"/>
      <c r="C81" s="16"/>
      <c r="D81" s="177"/>
      <c r="E81" s="177"/>
      <c r="F81" s="177"/>
      <c r="G81" s="36"/>
      <c r="M81" s="219"/>
      <c r="AP81" s="46"/>
    </row>
    <row r="82" spans="2:42" x14ac:dyDescent="0.3">
      <c r="B82" s="85" t="s">
        <v>402</v>
      </c>
      <c r="C82" s="71" t="s">
        <v>403</v>
      </c>
      <c r="D82" s="240">
        <f>INDEX(Analysis!H$125:H$141,MATCH($B$72,Analysis!$B$125:$B$141,0))</f>
        <v>9.8103863750242013</v>
      </c>
      <c r="E82" s="240">
        <f>INDEX(Analysis!I$125:I$141,MATCH($B$72,Analysis!$B$125:$B$141,0))</f>
        <v>0</v>
      </c>
      <c r="F82" s="240">
        <f>SUM(D82:E82)</f>
        <v>9.8103863750242013</v>
      </c>
      <c r="G82" s="36" t="str">
        <f t="shared" si="1"/>
        <v>OK</v>
      </c>
      <c r="M82" s="219"/>
      <c r="AP82" s="46"/>
    </row>
    <row r="83" spans="2:42" x14ac:dyDescent="0.3">
      <c r="B83" s="155" t="s">
        <v>404</v>
      </c>
      <c r="C83" s="71" t="s">
        <v>403</v>
      </c>
      <c r="D83" s="239">
        <f>INDEX(Analysis!H$175:H$191,MATCH($B$72,Analysis!$B$175:$B$191,0))</f>
        <v>3.4017598533455535</v>
      </c>
      <c r="E83" s="239">
        <f>INDEX(Analysis!I$175:I$191,MATCH($B$72,Analysis!$B$175:$B$191,0))</f>
        <v>0</v>
      </c>
      <c r="F83" s="240">
        <f>SUM(D83:E83)</f>
        <v>3.4017598533455535</v>
      </c>
      <c r="G83" s="36" t="str">
        <f>IF(ABS(SUM(D83,E83)-F83)&lt;0.001,"OK","ERROR")</f>
        <v>OK</v>
      </c>
      <c r="M83" s="219"/>
      <c r="AP83" s="46"/>
    </row>
    <row r="84" spans="2:42" ht="15.75" thickBot="1" x14ac:dyDescent="0.35">
      <c r="B84" s="151" t="s">
        <v>405</v>
      </c>
      <c r="C84" s="74" t="s">
        <v>93</v>
      </c>
      <c r="D84" s="178">
        <f>INDEX(Analysis!$H$51:$H$67,MATCH($B$72,Analysis!$B$51:$B$67,0))</f>
        <v>24.1</v>
      </c>
      <c r="E84" s="178" t="s">
        <v>341</v>
      </c>
      <c r="F84" s="178">
        <f>D84</f>
        <v>24.1</v>
      </c>
      <c r="G84" s="37" t="str">
        <f>IF(ABS(SUM(D84,E84)-F84)&lt;0.001,"OK","ERROR")</f>
        <v>OK</v>
      </c>
      <c r="M84" s="219"/>
      <c r="AP84" s="46"/>
    </row>
    <row r="85" spans="2:42" x14ac:dyDescent="0.3">
      <c r="B85" s="5"/>
      <c r="C85" s="2"/>
      <c r="D85" s="2"/>
      <c r="E85" s="2"/>
      <c r="F85" s="2"/>
    </row>
    <row r="86" spans="2:42" ht="15.75" x14ac:dyDescent="0.3">
      <c r="B86" s="2"/>
      <c r="C86" s="48"/>
      <c r="D86" s="48"/>
      <c r="F86" s="57"/>
      <c r="G86" s="32"/>
    </row>
  </sheetData>
  <mergeCells count="5">
    <mergeCell ref="C53:E53"/>
    <mergeCell ref="F53:J53"/>
    <mergeCell ref="C4:D4"/>
    <mergeCell ref="C5:D5"/>
    <mergeCell ref="C6:D6"/>
  </mergeCells>
  <conditionalFormatting sqref="D72 G74:G76 G78:G80 G82:G84">
    <cfRule type="cellIs" dxfId="5" priority="49" operator="equal">
      <formula>"OK"</formula>
    </cfRule>
    <cfRule type="cellIs" dxfId="4" priority="50" operator="equal">
      <formula>"ERROR"</formula>
    </cfRule>
  </conditionalFormatting>
  <conditionalFormatting sqref="F5">
    <cfRule type="cellIs" dxfId="3" priority="3" operator="equal">
      <formula>"OK"</formula>
    </cfRule>
    <cfRule type="cellIs" dxfId="2" priority="4" operator="equal">
      <formula>"ERROR"</formula>
    </cfRule>
  </conditionalFormatting>
  <conditionalFormatting sqref="F4">
    <cfRule type="cellIs" dxfId="1" priority="5" operator="equal">
      <formula>"OK"</formula>
    </cfRule>
    <cfRule type="cellIs" dxfId="0" priority="6" operator="equal">
      <formula>"ERROR"</formula>
    </cfRule>
  </conditionalFormatting>
  <dataValidations disablePrompts="1" count="1">
    <dataValidation type="list" allowBlank="1" showInputMessage="1" showErrorMessage="1" sqref="C9">
      <formula1>"ANH,NES,NWT,SRN,SVE,SWB,TMS,WSH,WSX,YKY,AFW,BRL,HDD,PRT,SES,SEW,SSC"</formula1>
    </dataValidation>
  </dataValidations>
  <hyperlinks>
    <hyperlink ref="E63" r:id="rId1" display="https://www.ofwat.gov.uk/wp-content/uploads/2019/01/FM_E_WW_SDB_IAP.xlsx"/>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B1:N32"/>
  <sheetViews>
    <sheetView zoomScaleNormal="100" workbookViewId="0"/>
  </sheetViews>
  <sheetFormatPr defaultColWidth="9" defaultRowHeight="12.75" x14ac:dyDescent="0.2"/>
  <cols>
    <col min="1" max="1" width="2.28515625" style="7" customWidth="1"/>
    <col min="2" max="2" width="4" style="7" customWidth="1"/>
    <col min="3" max="3" width="14.28515625" style="7" customWidth="1"/>
    <col min="4" max="4" width="21.85546875" style="7" customWidth="1"/>
    <col min="5" max="9" width="19.28515625" style="7" customWidth="1"/>
    <col min="10" max="10" width="18.28515625" style="7" customWidth="1"/>
    <col min="11" max="11" width="11.85546875" style="7" customWidth="1"/>
    <col min="12" max="12" width="11.28515625" style="7" bestFit="1" customWidth="1"/>
    <col min="13" max="13" width="11.28515625" style="7" customWidth="1"/>
    <col min="14" max="14" width="11.85546875" style="7" customWidth="1"/>
    <col min="15" max="16" width="9" style="7"/>
    <col min="17" max="18" width="16.7109375" style="7" customWidth="1"/>
    <col min="19" max="19" width="9" style="7"/>
    <col min="20" max="20" width="16.28515625" style="7" customWidth="1"/>
    <col min="21" max="21" width="8.28515625" style="7" customWidth="1"/>
    <col min="22" max="16384" width="9" style="7"/>
  </cols>
  <sheetData>
    <row r="1" spans="2:14" ht="18.75" x14ac:dyDescent="0.3">
      <c r="B1" s="78" t="s">
        <v>728</v>
      </c>
      <c r="C1" s="107"/>
      <c r="D1" s="103"/>
      <c r="E1" s="103"/>
      <c r="F1" s="103"/>
      <c r="G1" s="103"/>
      <c r="H1" s="103"/>
      <c r="I1" s="103"/>
      <c r="J1" s="103"/>
      <c r="K1" s="103"/>
      <c r="L1" s="103"/>
      <c r="M1" s="103"/>
      <c r="N1" s="103"/>
    </row>
    <row r="3" spans="2:14" x14ac:dyDescent="0.2">
      <c r="C3" s="94" t="s">
        <v>386</v>
      </c>
      <c r="D3" s="95" t="s">
        <v>387</v>
      </c>
      <c r="E3" s="96"/>
      <c r="F3" s="96"/>
      <c r="G3" s="96"/>
      <c r="H3" s="96"/>
      <c r="I3" s="96"/>
    </row>
    <row r="4" spans="2:14" x14ac:dyDescent="0.2">
      <c r="C4" s="94" t="s">
        <v>729</v>
      </c>
      <c r="D4" s="95" t="s">
        <v>390</v>
      </c>
      <c r="E4" s="96"/>
      <c r="F4" s="96"/>
      <c r="G4" s="96"/>
      <c r="H4" s="96"/>
      <c r="I4" s="96"/>
    </row>
    <row r="5" spans="2:14" ht="102" x14ac:dyDescent="0.2">
      <c r="C5" s="94" t="s">
        <v>770</v>
      </c>
      <c r="D5" s="461" t="s">
        <v>771</v>
      </c>
      <c r="E5" s="97"/>
      <c r="F5" s="97"/>
      <c r="G5" s="97"/>
      <c r="H5" s="97"/>
      <c r="I5" s="97"/>
    </row>
    <row r="6" spans="2:14" ht="15" x14ac:dyDescent="0.3">
      <c r="C6" s="94" t="s">
        <v>730</v>
      </c>
      <c r="D6" s="27" t="s">
        <v>731</v>
      </c>
    </row>
    <row r="8" spans="2:14" x14ac:dyDescent="0.2">
      <c r="E8" s="100"/>
    </row>
    <row r="9" spans="2:14" ht="12.75" customHeight="1" x14ac:dyDescent="0.2">
      <c r="B9" s="79" t="s">
        <v>732</v>
      </c>
    </row>
    <row r="10" spans="2:14" ht="12.75" customHeight="1" x14ac:dyDescent="0.2">
      <c r="B10" s="98" t="s">
        <v>733</v>
      </c>
      <c r="C10" s="98"/>
      <c r="D10" s="98"/>
      <c r="E10" s="98"/>
      <c r="F10" s="98"/>
      <c r="G10" s="98"/>
      <c r="H10" s="98"/>
      <c r="I10" s="98"/>
      <c r="K10" s="98"/>
    </row>
    <row r="11" spans="2:14" ht="51" x14ac:dyDescent="0.2">
      <c r="C11" s="80" t="s">
        <v>312</v>
      </c>
      <c r="D11" s="80" t="s">
        <v>734</v>
      </c>
      <c r="E11" s="80" t="s">
        <v>768</v>
      </c>
      <c r="F11" s="80" t="s">
        <v>769</v>
      </c>
      <c r="G11" s="463" t="s">
        <v>772</v>
      </c>
      <c r="H11" s="463" t="s">
        <v>773</v>
      </c>
      <c r="I11" s="80" t="s">
        <v>363</v>
      </c>
      <c r="J11" s="80" t="s">
        <v>735</v>
      </c>
      <c r="K11" s="80" t="s">
        <v>736</v>
      </c>
      <c r="L11" s="80" t="s">
        <v>737</v>
      </c>
      <c r="N11" s="80" t="s">
        <v>738</v>
      </c>
    </row>
    <row r="12" spans="2:14" x14ac:dyDescent="0.2">
      <c r="B12" s="104">
        <v>1</v>
      </c>
      <c r="C12" s="105" t="s">
        <v>26</v>
      </c>
      <c r="D12" s="264">
        <f>INDEX(Analysis!$H$5:$H$21,MATCH($C12,Analysis!$B$5:$B$21,0))</f>
        <v>304.55202092030862</v>
      </c>
      <c r="E12" s="264">
        <f>INDEX(Analysis!$I$5:$I$21,MATCH($C12,Analysis!$B$5:$B$21,0))</f>
        <v>352.92299999999994</v>
      </c>
      <c r="F12" s="264">
        <f>D12+E12</f>
        <v>657.47502092030857</v>
      </c>
      <c r="G12" s="264">
        <f ca="1">'Deep dive_ANH'!C62</f>
        <v>121.78906523999999</v>
      </c>
      <c r="H12" s="264">
        <f ca="1">F12-G12</f>
        <v>535.68595568030855</v>
      </c>
      <c r="I12" s="264">
        <f ca="1">INDEX(Analysis!$S$5:$S$21,MATCH($C12,Analysis!$B$5:$B$21,0))</f>
        <v>354.54837465668732</v>
      </c>
      <c r="J12" s="264">
        <f ca="1">MIN(F12,I12)</f>
        <v>354.54837465668732</v>
      </c>
      <c r="K12" s="264">
        <f t="shared" ref="K12:K28" ca="1" si="0">$J12*$N12</f>
        <v>21.110304951436145</v>
      </c>
      <c r="L12" s="264">
        <f t="shared" ref="L12:L28" ca="1" si="1">$J12*(1-$N12)</f>
        <v>333.43806970525117</v>
      </c>
      <c r="N12" s="282">
        <v>5.9541395364955382E-2</v>
      </c>
    </row>
    <row r="13" spans="2:14" x14ac:dyDescent="0.2">
      <c r="B13" s="104">
        <v>2</v>
      </c>
      <c r="C13" s="105" t="s">
        <v>106</v>
      </c>
      <c r="D13" s="264">
        <f>INDEX(Analysis!$H$5:$H$21,MATCH($C13,Analysis!$B$5:$B$21,0))</f>
        <v>0</v>
      </c>
      <c r="E13" s="264">
        <f>INDEX(Analysis!$I$5:$I$21,MATCH($C13,Analysis!$B$5:$B$21,0))</f>
        <v>0</v>
      </c>
      <c r="F13" s="264">
        <f t="shared" ref="F13:F28" si="2">D13+E13</f>
        <v>0</v>
      </c>
      <c r="G13" s="264">
        <v>0</v>
      </c>
      <c r="H13" s="264">
        <f t="shared" ref="H13:H28" si="3">F13-G13</f>
        <v>0</v>
      </c>
      <c r="I13" s="264">
        <f>INDEX(Analysis!$S$5:$S$21,MATCH($C13,Analysis!$B$5:$B$21,0))</f>
        <v>0</v>
      </c>
      <c r="J13" s="264">
        <f t="shared" ref="J13:J28" si="4">MIN(F13,I13)</f>
        <v>0</v>
      </c>
      <c r="K13" s="264">
        <f t="shared" si="0"/>
        <v>0</v>
      </c>
      <c r="L13" s="264">
        <f t="shared" si="1"/>
        <v>0</v>
      </c>
      <c r="N13" s="282">
        <v>0</v>
      </c>
    </row>
    <row r="14" spans="2:14" x14ac:dyDescent="0.2">
      <c r="B14" s="104">
        <v>3</v>
      </c>
      <c r="C14" s="105" t="s">
        <v>28</v>
      </c>
      <c r="D14" s="264">
        <f>INDEX(Analysis!$H$5:$H$21,MATCH($C14,Analysis!$B$5:$B$21,0))</f>
        <v>0</v>
      </c>
      <c r="E14" s="264">
        <f>INDEX(Analysis!$I$5:$I$21,MATCH($C14,Analysis!$B$5:$B$21,0))</f>
        <v>0</v>
      </c>
      <c r="F14" s="264">
        <f t="shared" si="2"/>
        <v>0</v>
      </c>
      <c r="G14" s="264">
        <v>0</v>
      </c>
      <c r="H14" s="264">
        <f t="shared" si="3"/>
        <v>0</v>
      </c>
      <c r="I14" s="264">
        <f>INDEX(Analysis!$S$5:$S$21,MATCH($C14,Analysis!$B$5:$B$21,0))</f>
        <v>0</v>
      </c>
      <c r="J14" s="264">
        <f t="shared" si="4"/>
        <v>0</v>
      </c>
      <c r="K14" s="264">
        <f t="shared" si="0"/>
        <v>0</v>
      </c>
      <c r="L14" s="264">
        <f t="shared" si="1"/>
        <v>0</v>
      </c>
      <c r="N14" s="282">
        <v>0</v>
      </c>
    </row>
    <row r="15" spans="2:14" x14ac:dyDescent="0.2">
      <c r="B15" s="104">
        <v>4</v>
      </c>
      <c r="C15" s="105" t="s">
        <v>32</v>
      </c>
      <c r="D15" s="264">
        <f>INDEX(Analysis!$H$5:$H$21,MATCH($C15,Analysis!$B$5:$B$21,0))</f>
        <v>51.206169887814674</v>
      </c>
      <c r="E15" s="264">
        <f>INDEX(Analysis!$I$5:$I$21,MATCH($C15,Analysis!$B$5:$B$21,0))</f>
        <v>0</v>
      </c>
      <c r="F15" s="264">
        <f t="shared" si="2"/>
        <v>51.206169887814674</v>
      </c>
      <c r="G15" s="264">
        <v>0</v>
      </c>
      <c r="H15" s="264">
        <f t="shared" si="3"/>
        <v>51.206169887814674</v>
      </c>
      <c r="I15" s="264">
        <f ca="1">INDEX(Analysis!$S$5:$S$21,MATCH($C15,Analysis!$B$5:$B$21,0))</f>
        <v>9.5</v>
      </c>
      <c r="J15" s="264">
        <f t="shared" ca="1" si="4"/>
        <v>9.5</v>
      </c>
      <c r="K15" s="264">
        <f t="shared" ca="1" si="0"/>
        <v>0</v>
      </c>
      <c r="L15" s="264">
        <f t="shared" ca="1" si="1"/>
        <v>9.5</v>
      </c>
      <c r="N15" s="282">
        <v>0</v>
      </c>
    </row>
    <row r="16" spans="2:14" x14ac:dyDescent="0.2">
      <c r="B16" s="104">
        <v>5</v>
      </c>
      <c r="C16" s="105" t="s">
        <v>30</v>
      </c>
      <c r="D16" s="264">
        <f>INDEX(Analysis!$H$5:$H$21,MATCH($C16,Analysis!$B$5:$B$21,0))</f>
        <v>227.13100000000003</v>
      </c>
      <c r="E16" s="264">
        <f>INDEX(Analysis!$I$5:$I$21,MATCH($C16,Analysis!$B$5:$B$21,0))</f>
        <v>0</v>
      </c>
      <c r="F16" s="264">
        <f t="shared" si="2"/>
        <v>227.13100000000003</v>
      </c>
      <c r="G16" s="264">
        <v>0</v>
      </c>
      <c r="H16" s="264">
        <f t="shared" si="3"/>
        <v>227.13100000000003</v>
      </c>
      <c r="I16" s="264">
        <f ca="1">INDEX(Analysis!$S$5:$S$21,MATCH($C16,Analysis!$B$5:$B$21,0))</f>
        <v>175.25223973720054</v>
      </c>
      <c r="J16" s="264">
        <f t="shared" ca="1" si="4"/>
        <v>175.25223973720054</v>
      </c>
      <c r="K16" s="264">
        <f t="shared" ca="1" si="0"/>
        <v>7.2367521672303816</v>
      </c>
      <c r="L16" s="264">
        <f t="shared" ca="1" si="1"/>
        <v>168.01548756997016</v>
      </c>
      <c r="N16" s="282">
        <v>4.1293350533392621E-2</v>
      </c>
    </row>
    <row r="17" spans="2:14" x14ac:dyDescent="0.2">
      <c r="B17" s="104">
        <v>6</v>
      </c>
      <c r="C17" s="105" t="s">
        <v>29</v>
      </c>
      <c r="D17" s="264">
        <f>INDEX(Analysis!$H$5:$H$21,MATCH($C17,Analysis!$B$5:$B$21,0))</f>
        <v>153.19565</v>
      </c>
      <c r="E17" s="264">
        <f>INDEX(Analysis!$I$5:$I$21,MATCH($C17,Analysis!$B$5:$B$21,0))</f>
        <v>-1.6</v>
      </c>
      <c r="F17" s="264">
        <f t="shared" si="2"/>
        <v>151.59565000000001</v>
      </c>
      <c r="G17" s="264">
        <v>0</v>
      </c>
      <c r="H17" s="264">
        <f t="shared" si="3"/>
        <v>151.59565000000001</v>
      </c>
      <c r="I17" s="264">
        <f ca="1">INDEX(Analysis!$S$5:$S$21,MATCH($C17,Analysis!$B$5:$B$21,0))</f>
        <v>88.031999999999982</v>
      </c>
      <c r="J17" s="264">
        <f t="shared" ca="1" si="4"/>
        <v>88.031999999999982</v>
      </c>
      <c r="K17" s="264">
        <f t="shared" ca="1" si="0"/>
        <v>2.6077060020960121</v>
      </c>
      <c r="L17" s="264">
        <f t="shared" ca="1" si="1"/>
        <v>85.424293997903973</v>
      </c>
      <c r="N17" s="282">
        <v>2.9622251023446164E-2</v>
      </c>
    </row>
    <row r="18" spans="2:14" x14ac:dyDescent="0.2">
      <c r="B18" s="104">
        <v>7</v>
      </c>
      <c r="C18" s="105" t="s">
        <v>108</v>
      </c>
      <c r="D18" s="264">
        <f>INDEX(Analysis!$H$5:$H$21,MATCH($C18,Analysis!$B$5:$B$21,0))</f>
        <v>3.9320000000000004</v>
      </c>
      <c r="E18" s="264">
        <f>INDEX(Analysis!$I$5:$I$21,MATCH($C18,Analysis!$B$5:$B$21,0))</f>
        <v>11.198</v>
      </c>
      <c r="F18" s="264">
        <f t="shared" si="2"/>
        <v>15.13</v>
      </c>
      <c r="G18" s="264">
        <v>0</v>
      </c>
      <c r="H18" s="264">
        <f t="shared" si="3"/>
        <v>15.13</v>
      </c>
      <c r="I18" s="264">
        <f>INDEX(Analysis!$S$5:$S$21,MATCH($C18,Analysis!$B$5:$B$21,0))</f>
        <v>3.9320000000000004</v>
      </c>
      <c r="J18" s="264">
        <f t="shared" si="4"/>
        <v>3.9320000000000004</v>
      </c>
      <c r="K18" s="264">
        <f t="shared" si="0"/>
        <v>0.9830000000000001</v>
      </c>
      <c r="L18" s="264">
        <f t="shared" si="1"/>
        <v>2.9490000000000003</v>
      </c>
      <c r="N18" s="282">
        <v>0.25</v>
      </c>
    </row>
    <row r="19" spans="2:14" x14ac:dyDescent="0.2">
      <c r="B19" s="104">
        <v>8</v>
      </c>
      <c r="C19" s="105" t="s">
        <v>31</v>
      </c>
      <c r="D19" s="264">
        <f>INDEX(Analysis!$H$5:$H$21,MATCH($C19,Analysis!$B$5:$B$21,0))</f>
        <v>250.38000883720002</v>
      </c>
      <c r="E19" s="264">
        <f>INDEX(Analysis!$I$5:$I$21,MATCH($C19,Analysis!$B$5:$B$21,0))</f>
        <v>0</v>
      </c>
      <c r="F19" s="264">
        <f t="shared" si="2"/>
        <v>250.38000883720002</v>
      </c>
      <c r="G19" s="264">
        <v>0</v>
      </c>
      <c r="H19" s="264">
        <f t="shared" si="3"/>
        <v>250.38000883720002</v>
      </c>
      <c r="I19" s="264">
        <f ca="1">INDEX(Analysis!$S$5:$S$21,MATCH($C19,Analysis!$B$5:$B$21,0))</f>
        <v>79.141336279066678</v>
      </c>
      <c r="J19" s="264">
        <f t="shared" ca="1" si="4"/>
        <v>79.141336279066678</v>
      </c>
      <c r="K19" s="264">
        <f t="shared" ca="1" si="0"/>
        <v>19.903434654312445</v>
      </c>
      <c r="L19" s="264">
        <f t="shared" ca="1" si="1"/>
        <v>59.23790162475423</v>
      </c>
      <c r="N19" s="282">
        <v>0.25149227432967941</v>
      </c>
    </row>
    <row r="20" spans="2:14" x14ac:dyDescent="0.2">
      <c r="B20" s="104">
        <v>9</v>
      </c>
      <c r="C20" s="105" t="s">
        <v>27</v>
      </c>
      <c r="D20" s="264">
        <f>INDEX(Analysis!$H$5:$H$21,MATCH($C20,Analysis!$B$5:$B$21,0))</f>
        <v>27.843</v>
      </c>
      <c r="E20" s="264">
        <f>INDEX(Analysis!$I$5:$I$21,MATCH($C20,Analysis!$B$5:$B$21,0))</f>
        <v>66.655000000000001</v>
      </c>
      <c r="F20" s="264">
        <f t="shared" si="2"/>
        <v>94.498000000000005</v>
      </c>
      <c r="G20" s="264">
        <v>0</v>
      </c>
      <c r="H20" s="264">
        <f t="shared" si="3"/>
        <v>94.498000000000005</v>
      </c>
      <c r="I20" s="264">
        <f ca="1">INDEX(Analysis!$S$5:$S$21,MATCH($C20,Analysis!$B$5:$B$21,0))</f>
        <v>32.823999999999998</v>
      </c>
      <c r="J20" s="264">
        <f t="shared" ca="1" si="4"/>
        <v>32.823999999999998</v>
      </c>
      <c r="K20" s="264">
        <f t="shared" ca="1" si="0"/>
        <v>21.716442337391808</v>
      </c>
      <c r="L20" s="264">
        <f t="shared" ca="1" si="1"/>
        <v>11.107557662608192</v>
      </c>
      <c r="N20" s="282">
        <v>0.6616025571957046</v>
      </c>
    </row>
    <row r="21" spans="2:14" x14ac:dyDescent="0.2">
      <c r="B21" s="104">
        <v>10</v>
      </c>
      <c r="C21" s="105" t="s">
        <v>33</v>
      </c>
      <c r="D21" s="264">
        <f>INDEX(Analysis!$H$5:$H$21,MATCH($C21,Analysis!$B$5:$B$21,0))</f>
        <v>28.189038461538477</v>
      </c>
      <c r="E21" s="264">
        <f>INDEX(Analysis!$I$5:$I$21,MATCH($C21,Analysis!$B$5:$B$21,0))</f>
        <v>0</v>
      </c>
      <c r="F21" s="264">
        <f t="shared" si="2"/>
        <v>28.189038461538477</v>
      </c>
      <c r="G21" s="264">
        <v>0</v>
      </c>
      <c r="H21" s="264">
        <f t="shared" si="3"/>
        <v>28.189038461538477</v>
      </c>
      <c r="I21" s="264">
        <f ca="1">INDEX(Analysis!$S$5:$S$21,MATCH($C21,Analysis!$B$5:$B$21,0))</f>
        <v>2.851</v>
      </c>
      <c r="J21" s="264">
        <f t="shared" ca="1" si="4"/>
        <v>2.851</v>
      </c>
      <c r="K21" s="264">
        <f t="shared" ca="1" si="0"/>
        <v>0</v>
      </c>
      <c r="L21" s="264">
        <f t="shared" ca="1" si="1"/>
        <v>2.851</v>
      </c>
      <c r="N21" s="282">
        <v>0</v>
      </c>
    </row>
    <row r="22" spans="2:14" x14ac:dyDescent="0.2">
      <c r="B22" s="104">
        <v>11</v>
      </c>
      <c r="C22" s="105" t="s">
        <v>34</v>
      </c>
      <c r="D22" s="264">
        <f>INDEX(Analysis!$H$5:$H$21,MATCH($C22,Analysis!$B$5:$B$21,0))</f>
        <v>0.34100000000000003</v>
      </c>
      <c r="E22" s="264">
        <f>INDEX(Analysis!$I$5:$I$21,MATCH($C22,Analysis!$B$5:$B$21,0))</f>
        <v>136.53300000000002</v>
      </c>
      <c r="F22" s="264">
        <f t="shared" si="2"/>
        <v>136.87400000000002</v>
      </c>
      <c r="G22" s="264">
        <v>0</v>
      </c>
      <c r="H22" s="264">
        <f t="shared" si="3"/>
        <v>136.87400000000002</v>
      </c>
      <c r="I22" s="264">
        <f ca="1">INDEX(Analysis!$S$5:$S$21,MATCH($C22,Analysis!$B$5:$B$21,0))</f>
        <v>0</v>
      </c>
      <c r="J22" s="264">
        <f t="shared" ca="1" si="4"/>
        <v>0</v>
      </c>
      <c r="K22" s="264">
        <f t="shared" ca="1" si="0"/>
        <v>0</v>
      </c>
      <c r="L22" s="264">
        <f t="shared" ca="1" si="1"/>
        <v>0</v>
      </c>
      <c r="N22" s="282">
        <v>1</v>
      </c>
    </row>
    <row r="23" spans="2:14" x14ac:dyDescent="0.2">
      <c r="B23" s="104">
        <v>12</v>
      </c>
      <c r="C23" s="105" t="s">
        <v>35</v>
      </c>
      <c r="D23" s="264">
        <f>INDEX(Analysis!$H$5:$H$21,MATCH($C23,Analysis!$B$5:$B$21,0))</f>
        <v>138.58103494992238</v>
      </c>
      <c r="E23" s="264">
        <f>INDEX(Analysis!$I$5:$I$21,MATCH($C23,Analysis!$B$5:$B$21,0))</f>
        <v>-12.366</v>
      </c>
      <c r="F23" s="264">
        <f t="shared" si="2"/>
        <v>126.21503494992238</v>
      </c>
      <c r="G23" s="264">
        <v>0</v>
      </c>
      <c r="H23" s="264">
        <f t="shared" si="3"/>
        <v>126.21503494992238</v>
      </c>
      <c r="I23" s="264">
        <f ca="1">INDEX(Analysis!$S$5:$S$21,MATCH($C23,Analysis!$B$5:$B$21,0))</f>
        <v>62.718958555652613</v>
      </c>
      <c r="J23" s="264">
        <f t="shared" ca="1" si="4"/>
        <v>62.718958555652613</v>
      </c>
      <c r="K23" s="264">
        <f t="shared" ca="1" si="0"/>
        <v>14.012837320444421</v>
      </c>
      <c r="L23" s="264">
        <f t="shared" ca="1" si="1"/>
        <v>48.706121235208194</v>
      </c>
      <c r="N23" s="282">
        <v>0.2234226722373007</v>
      </c>
    </row>
    <row r="24" spans="2:14" x14ac:dyDescent="0.2">
      <c r="B24" s="104">
        <v>13</v>
      </c>
      <c r="C24" s="105" t="s">
        <v>36</v>
      </c>
      <c r="D24" s="264">
        <f>INDEX(Analysis!$H$5:$H$21,MATCH($C24,Analysis!$B$5:$B$21,0))</f>
        <v>4.2349999999999994</v>
      </c>
      <c r="E24" s="264">
        <f>INDEX(Analysis!$I$5:$I$21,MATCH($C24,Analysis!$B$5:$B$21,0))</f>
        <v>0</v>
      </c>
      <c r="F24" s="264">
        <f t="shared" si="2"/>
        <v>4.2349999999999994</v>
      </c>
      <c r="G24" s="264">
        <v>0</v>
      </c>
      <c r="H24" s="264">
        <f t="shared" si="3"/>
        <v>4.2349999999999994</v>
      </c>
      <c r="I24" s="264">
        <f ca="1">INDEX(Analysis!$S$5:$S$21,MATCH($C24,Analysis!$B$5:$B$21,0))</f>
        <v>2.4003775718742246</v>
      </c>
      <c r="J24" s="264">
        <f t="shared" ca="1" si="4"/>
        <v>2.4003775718742246</v>
      </c>
      <c r="K24" s="264">
        <f t="shared" ca="1" si="0"/>
        <v>0</v>
      </c>
      <c r="L24" s="264">
        <f t="shared" ca="1" si="1"/>
        <v>2.4003775718742246</v>
      </c>
      <c r="N24" s="282">
        <v>0</v>
      </c>
    </row>
    <row r="25" spans="2:14" x14ac:dyDescent="0.2">
      <c r="B25" s="104">
        <v>14</v>
      </c>
      <c r="C25" s="105" t="s">
        <v>37</v>
      </c>
      <c r="D25" s="264">
        <f>INDEX(Analysis!$H$5:$H$21,MATCH($C25,Analysis!$B$5:$B$21,0))</f>
        <v>4.2010000000000005</v>
      </c>
      <c r="E25" s="264">
        <f>INDEX(Analysis!$I$5:$I$21,MATCH($C25,Analysis!$B$5:$B$21,0))</f>
        <v>0</v>
      </c>
      <c r="F25" s="264">
        <f t="shared" si="2"/>
        <v>4.2010000000000005</v>
      </c>
      <c r="G25" s="264">
        <v>0</v>
      </c>
      <c r="H25" s="264">
        <f t="shared" si="3"/>
        <v>4.2010000000000005</v>
      </c>
      <c r="I25" s="264">
        <f ca="1">INDEX(Analysis!$S$5:$S$21,MATCH($C25,Analysis!$B$5:$B$21,0))</f>
        <v>2.6543999999999999</v>
      </c>
      <c r="J25" s="264">
        <f t="shared" ca="1" si="4"/>
        <v>2.6543999999999999</v>
      </c>
      <c r="K25" s="264">
        <f t="shared" ca="1" si="0"/>
        <v>2.5954742778423525</v>
      </c>
      <c r="L25" s="264">
        <f t="shared" ca="1" si="1"/>
        <v>5.892572215764752E-2</v>
      </c>
      <c r="N25" s="282">
        <v>0.97780073758376751</v>
      </c>
    </row>
    <row r="26" spans="2:14" x14ac:dyDescent="0.2">
      <c r="B26" s="104">
        <v>15</v>
      </c>
      <c r="C26" s="105" t="s">
        <v>40</v>
      </c>
      <c r="D26" s="264">
        <f>INDEX(Analysis!$H$5:$H$21,MATCH($C26,Analysis!$B$5:$B$21,0))</f>
        <v>2.589</v>
      </c>
      <c r="E26" s="264">
        <f>INDEX(Analysis!$I$5:$I$21,MATCH($C26,Analysis!$B$5:$B$21,0))</f>
        <v>17.443000000000001</v>
      </c>
      <c r="F26" s="264">
        <f t="shared" si="2"/>
        <v>20.032</v>
      </c>
      <c r="G26" s="264">
        <v>0</v>
      </c>
      <c r="H26" s="264">
        <f t="shared" si="3"/>
        <v>20.032</v>
      </c>
      <c r="I26" s="264">
        <f ca="1">INDEX(Analysis!$S$5:$S$21,MATCH($C26,Analysis!$B$5:$B$21,0))</f>
        <v>2.5889999999999995</v>
      </c>
      <c r="J26" s="264">
        <f t="shared" ca="1" si="4"/>
        <v>2.5889999999999995</v>
      </c>
      <c r="K26" s="264">
        <f t="shared" ca="1" si="0"/>
        <v>0</v>
      </c>
      <c r="L26" s="264">
        <f t="shared" ca="1" si="1"/>
        <v>2.5889999999999995</v>
      </c>
      <c r="N26" s="282">
        <v>0</v>
      </c>
    </row>
    <row r="27" spans="2:14" x14ac:dyDescent="0.2">
      <c r="B27" s="104">
        <v>16</v>
      </c>
      <c r="C27" s="105" t="s">
        <v>38</v>
      </c>
      <c r="D27" s="264">
        <f>INDEX(Analysis!$H$5:$H$21,MATCH($C27,Analysis!$B$5:$B$21,0))</f>
        <v>134.22059211447063</v>
      </c>
      <c r="E27" s="264">
        <f>INDEX(Analysis!$I$5:$I$21,MATCH($C27,Analysis!$B$5:$B$21,0))</f>
        <v>0</v>
      </c>
      <c r="F27" s="264">
        <f t="shared" si="2"/>
        <v>134.22059211447063</v>
      </c>
      <c r="G27" s="264">
        <v>0</v>
      </c>
      <c r="H27" s="264">
        <f t="shared" si="3"/>
        <v>134.22059211447063</v>
      </c>
      <c r="I27" s="264">
        <f ca="1">INDEX(Analysis!$S$5:$S$21,MATCH($C27,Analysis!$B$5:$B$21,0))</f>
        <v>48.972573877708335</v>
      </c>
      <c r="J27" s="264">
        <f t="shared" ca="1" si="4"/>
        <v>48.972573877708335</v>
      </c>
      <c r="K27" s="264">
        <f t="shared" ca="1" si="0"/>
        <v>2.0806441305918031</v>
      </c>
      <c r="L27" s="264">
        <f t="shared" ca="1" si="1"/>
        <v>46.891929747116528</v>
      </c>
      <c r="N27" s="282">
        <v>4.248590518822791E-2</v>
      </c>
    </row>
    <row r="28" spans="2:14" x14ac:dyDescent="0.2">
      <c r="B28" s="104">
        <v>17</v>
      </c>
      <c r="C28" s="105" t="s">
        <v>39</v>
      </c>
      <c r="D28" s="264">
        <f>INDEX(Analysis!$H$5:$H$21,MATCH($C28,Analysis!$B$5:$B$21,0))</f>
        <v>16.132873292303312</v>
      </c>
      <c r="E28" s="264">
        <f>INDEX(Analysis!$I$5:$I$21,MATCH($C28,Analysis!$B$5:$B$21,0))</f>
        <v>0</v>
      </c>
      <c r="F28" s="264">
        <f t="shared" si="2"/>
        <v>16.132873292303312</v>
      </c>
      <c r="G28" s="264">
        <v>0</v>
      </c>
      <c r="H28" s="264">
        <f t="shared" si="3"/>
        <v>16.132873292303312</v>
      </c>
      <c r="I28" s="264">
        <f ca="1">INDEX(Analysis!$S$5:$S$21,MATCH($C28,Analysis!$B$5:$B$21,0))</f>
        <v>5.8599766351691125</v>
      </c>
      <c r="J28" s="264">
        <f t="shared" ca="1" si="4"/>
        <v>5.8599766351691125</v>
      </c>
      <c r="K28" s="264">
        <f t="shared" ca="1" si="0"/>
        <v>0.22031268302945706</v>
      </c>
      <c r="L28" s="264">
        <f t="shared" ca="1" si="1"/>
        <v>5.6396639521396557</v>
      </c>
      <c r="N28" s="282">
        <v>3.7596170897206842E-2</v>
      </c>
    </row>
    <row r="29" spans="2:14" x14ac:dyDescent="0.2">
      <c r="C29" s="106" t="s">
        <v>313</v>
      </c>
      <c r="D29" s="267">
        <f t="shared" ref="D29:J29" si="5">SUM(D12:D28)</f>
        <v>1346.7293884635578</v>
      </c>
      <c r="E29" s="267">
        <f t="shared" si="5"/>
        <v>570.78599999999994</v>
      </c>
      <c r="F29" s="267">
        <f>SUM(F12:F28)</f>
        <v>1917.5153884635581</v>
      </c>
      <c r="G29" s="267">
        <f t="shared" ref="G29:H29" ca="1" si="6">SUM(G12:G28)</f>
        <v>121.78906523999999</v>
      </c>
      <c r="H29" s="267">
        <f t="shared" ca="1" si="6"/>
        <v>1795.7263232235582</v>
      </c>
      <c r="I29" s="267">
        <f ca="1">SUM(I12:I28)</f>
        <v>871.27623731335871</v>
      </c>
      <c r="J29" s="267">
        <f t="shared" ca="1" si="5"/>
        <v>871.27623731335871</v>
      </c>
      <c r="K29" s="267">
        <f ca="1">SUM(K12:K28)</f>
        <v>92.466908524374844</v>
      </c>
      <c r="L29" s="267">
        <f ca="1">SUM(L12:L28)</f>
        <v>778.80932878898398</v>
      </c>
      <c r="N29" s="102"/>
    </row>
    <row r="31" spans="2:14" x14ac:dyDescent="0.2">
      <c r="D31" s="432"/>
      <c r="E31" s="432"/>
      <c r="F31" s="432"/>
      <c r="G31" s="432"/>
      <c r="H31" s="432"/>
      <c r="I31" s="432"/>
      <c r="J31" s="432"/>
      <c r="K31" s="432"/>
      <c r="L31" s="432"/>
      <c r="N31" s="102"/>
    </row>
    <row r="32" spans="2:14" x14ac:dyDescent="0.2">
      <c r="F32" s="185"/>
      <c r="G32" s="185"/>
      <c r="H32" s="18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1088"/>
  <sheetViews>
    <sheetView workbookViewId="0"/>
  </sheetViews>
  <sheetFormatPr defaultColWidth="8.28515625" defaultRowHeight="12.75" x14ac:dyDescent="0.2"/>
  <cols>
    <col min="1" max="1" width="10.28515625" style="111" customWidth="1"/>
    <col min="2" max="2" width="13" style="111" customWidth="1"/>
    <col min="3" max="3" width="17.85546875" style="111" customWidth="1"/>
    <col min="4" max="12" width="14.28515625" style="7" customWidth="1"/>
    <col min="13" max="13" width="18.28515625" style="7" customWidth="1"/>
    <col min="14" max="14" width="13.7109375" style="7" customWidth="1"/>
    <col min="15" max="15" width="6" style="7" customWidth="1"/>
    <col min="16" max="19" width="13.7109375" style="7" customWidth="1"/>
    <col min="20" max="20" width="8.28515625" style="7"/>
    <col min="21" max="21" width="12.28515625" style="7" customWidth="1"/>
    <col min="22" max="22" width="13.85546875" style="7" customWidth="1"/>
    <col min="23" max="23" width="12.28515625" style="7" customWidth="1"/>
    <col min="24" max="16384" width="8.28515625" style="7"/>
  </cols>
  <sheetData>
    <row r="1" spans="1:24" ht="15.75" thickBot="1" x14ac:dyDescent="0.3">
      <c r="I1" s="194"/>
      <c r="J1" s="194"/>
      <c r="K1" s="194"/>
      <c r="L1" s="194"/>
    </row>
    <row r="2" spans="1:24" ht="15.75" customHeight="1" thickBot="1" x14ac:dyDescent="0.25">
      <c r="D2" s="704" t="s">
        <v>112</v>
      </c>
      <c r="E2" s="705"/>
      <c r="F2" s="705"/>
      <c r="G2" s="705"/>
      <c r="H2" s="112"/>
      <c r="I2" s="704" t="s">
        <v>113</v>
      </c>
      <c r="J2" s="705"/>
      <c r="K2" s="705"/>
      <c r="L2" s="705"/>
      <c r="M2" s="112"/>
      <c r="N2" s="112"/>
      <c r="O2" s="112"/>
      <c r="P2" s="112"/>
      <c r="Q2" s="112"/>
      <c r="R2" s="112"/>
      <c r="S2" s="112"/>
    </row>
    <row r="3" spans="1:24" x14ac:dyDescent="0.2">
      <c r="D3" s="113" t="s">
        <v>114</v>
      </c>
      <c r="E3" s="113" t="s">
        <v>115</v>
      </c>
      <c r="F3" s="113" t="s">
        <v>116</v>
      </c>
      <c r="G3" s="113" t="s">
        <v>117</v>
      </c>
      <c r="I3" s="113" t="s">
        <v>114</v>
      </c>
      <c r="J3" s="113" t="s">
        <v>115</v>
      </c>
      <c r="K3" s="113" t="s">
        <v>116</v>
      </c>
      <c r="L3" s="113" t="s">
        <v>117</v>
      </c>
      <c r="N3" s="114" t="s">
        <v>118</v>
      </c>
      <c r="P3" s="115" t="s">
        <v>119</v>
      </c>
      <c r="Q3" s="115" t="s">
        <v>120</v>
      </c>
      <c r="R3" s="115" t="s">
        <v>121</v>
      </c>
      <c r="S3" s="115" t="s">
        <v>122</v>
      </c>
      <c r="U3" s="115" t="s">
        <v>123</v>
      </c>
      <c r="V3" s="115" t="s">
        <v>124</v>
      </c>
      <c r="W3" s="115" t="s">
        <v>125</v>
      </c>
    </row>
    <row r="4" spans="1:24" x14ac:dyDescent="0.2">
      <c r="C4" s="116" t="s">
        <v>126</v>
      </c>
      <c r="D4" s="117" t="s">
        <v>13</v>
      </c>
      <c r="E4" s="118" t="s">
        <v>13</v>
      </c>
      <c r="F4" s="118" t="s">
        <v>13</v>
      </c>
      <c r="G4" s="118" t="s">
        <v>13</v>
      </c>
      <c r="I4" s="117" t="s">
        <v>13</v>
      </c>
      <c r="J4" s="118" t="s">
        <v>13</v>
      </c>
      <c r="K4" s="118" t="s">
        <v>13</v>
      </c>
      <c r="L4" s="118" t="s">
        <v>13</v>
      </c>
      <c r="N4" s="119"/>
      <c r="P4" s="117" t="s">
        <v>13</v>
      </c>
      <c r="Q4" s="117" t="s">
        <v>13</v>
      </c>
      <c r="R4" s="117" t="s">
        <v>13</v>
      </c>
      <c r="S4" s="117" t="s">
        <v>13</v>
      </c>
      <c r="U4" s="117"/>
      <c r="V4" s="117"/>
      <c r="W4" s="117"/>
    </row>
    <row r="5" spans="1:24" ht="13.5" thickBot="1" x14ac:dyDescent="0.25">
      <c r="C5" s="116" t="s">
        <v>127</v>
      </c>
      <c r="D5" s="117" t="s">
        <v>14</v>
      </c>
      <c r="E5" s="117" t="s">
        <v>14</v>
      </c>
      <c r="F5" s="117" t="s">
        <v>14</v>
      </c>
      <c r="G5" s="117" t="s">
        <v>14</v>
      </c>
      <c r="I5" s="117" t="s">
        <v>14</v>
      </c>
      <c r="J5" s="117" t="s">
        <v>14</v>
      </c>
      <c r="K5" s="117" t="s">
        <v>14</v>
      </c>
      <c r="L5" s="117" t="s">
        <v>14</v>
      </c>
      <c r="N5" s="119"/>
      <c r="P5" s="117" t="s">
        <v>14</v>
      </c>
      <c r="Q5" s="117" t="s">
        <v>14</v>
      </c>
      <c r="R5" s="117" t="s">
        <v>14</v>
      </c>
      <c r="S5" s="117" t="s">
        <v>14</v>
      </c>
      <c r="U5" s="117"/>
      <c r="V5" s="117"/>
      <c r="W5" s="117"/>
    </row>
    <row r="6" spans="1:24" s="125" customFormat="1" ht="26.25" thickBot="1" x14ac:dyDescent="0.25">
      <c r="A6" s="120" t="s">
        <v>128</v>
      </c>
      <c r="B6" s="121" t="s">
        <v>129</v>
      </c>
      <c r="C6" s="122" t="s">
        <v>130</v>
      </c>
      <c r="D6" s="123" t="s">
        <v>77</v>
      </c>
      <c r="E6" s="123" t="s">
        <v>80</v>
      </c>
      <c r="F6" s="123" t="s">
        <v>82</v>
      </c>
      <c r="G6" s="123" t="s">
        <v>84</v>
      </c>
      <c r="I6" s="123" t="s">
        <v>44</v>
      </c>
      <c r="J6" s="123" t="s">
        <v>45</v>
      </c>
      <c r="K6" s="123" t="s">
        <v>46</v>
      </c>
      <c r="L6" s="123" t="s">
        <v>47</v>
      </c>
      <c r="N6" s="126" t="s">
        <v>86</v>
      </c>
      <c r="P6" s="127" t="s">
        <v>15</v>
      </c>
      <c r="Q6" s="127" t="s">
        <v>16</v>
      </c>
      <c r="R6" s="127" t="s">
        <v>17</v>
      </c>
      <c r="S6" s="127" t="s">
        <v>18</v>
      </c>
      <c r="U6" s="195" t="s">
        <v>23</v>
      </c>
      <c r="V6" s="195" t="s">
        <v>48</v>
      </c>
      <c r="W6" s="195" t="s">
        <v>100</v>
      </c>
      <c r="X6" s="7"/>
    </row>
    <row r="7" spans="1:24" ht="116.25" customHeight="1" thickBot="1" x14ac:dyDescent="0.25">
      <c r="A7" s="129" t="s">
        <v>131</v>
      </c>
      <c r="B7" s="130" t="s">
        <v>132</v>
      </c>
      <c r="C7" s="131" t="s">
        <v>133</v>
      </c>
      <c r="D7" s="132" t="s">
        <v>49</v>
      </c>
      <c r="E7" s="133" t="s">
        <v>50</v>
      </c>
      <c r="F7" s="133" t="s">
        <v>51</v>
      </c>
      <c r="G7" s="133" t="s">
        <v>52</v>
      </c>
      <c r="I7" s="132" t="s">
        <v>88</v>
      </c>
      <c r="J7" s="133" t="s">
        <v>89</v>
      </c>
      <c r="K7" s="133" t="s">
        <v>90</v>
      </c>
      <c r="L7" s="133" t="s">
        <v>91</v>
      </c>
      <c r="N7" s="135" t="e">
        <f>+#REF!</f>
        <v>#REF!</v>
      </c>
      <c r="P7" s="136" t="s">
        <v>53</v>
      </c>
      <c r="Q7" s="136" t="s">
        <v>54</v>
      </c>
      <c r="R7" s="136" t="s">
        <v>55</v>
      </c>
      <c r="S7" s="136" t="s">
        <v>56</v>
      </c>
      <c r="U7" s="196" t="s">
        <v>97</v>
      </c>
      <c r="V7" s="196" t="s">
        <v>98</v>
      </c>
      <c r="W7" s="196" t="s">
        <v>101</v>
      </c>
    </row>
    <row r="8" spans="1:24" x14ac:dyDescent="0.2">
      <c r="A8" s="138" t="str">
        <f t="shared" ref="A8:A22" si="0">B8&amp;RIGHT(C8,2)</f>
        <v>ANH12</v>
      </c>
      <c r="B8" s="19" t="s">
        <v>26</v>
      </c>
      <c r="C8" s="19" t="s">
        <v>64</v>
      </c>
      <c r="D8" s="139">
        <f t="array" ref="D8">INDEX(F_Inputs!$G$4:$T$381,MATCH(Data!$B8&amp;Data!D$6,F_Inputs!$A$4:$A$381&amp;F_Inputs!$B$4:$B$381,0),MATCH(Data!$C8,F_Inputs!$G$2:$T$2,0))</f>
        <v>0</v>
      </c>
      <c r="E8" s="139">
        <f t="array" ref="E8">INDEX(F_Inputs!$G$4:$T$381,MATCH(Data!$B8&amp;Data!E$6,F_Inputs!$A$4:$A$381&amp;F_Inputs!$B$4:$B$381,0),MATCH(Data!$C8,F_Inputs!$G$2:$T$2,0))</f>
        <v>11.1083279428604</v>
      </c>
      <c r="F8" s="139">
        <f t="array" ref="F8">INDEX(F_Inputs!$G$4:$T$381,MATCH(Data!$B8&amp;Data!F$6,F_Inputs!$A$4:$A$381&amp;F_Inputs!$B$4:$B$381,0),MATCH(Data!$C8,F_Inputs!$G$2:$T$2,0))</f>
        <v>0</v>
      </c>
      <c r="G8" s="139">
        <f t="array" ref="G8">INDEX(F_Inputs!$G$4:$T$381,MATCH(Data!$B8&amp;Data!G$6,F_Inputs!$A$4:$A$381&amp;F_Inputs!$B$4:$B$381,0),MATCH(Data!$C8,F_Inputs!$G$2:$T$2,0))</f>
        <v>10.9251396266484</v>
      </c>
      <c r="I8" s="139">
        <f t="array" ref="I8">INDEX(F_Inputs!$G$4:$T$381,MATCH(Data!$B8&amp;Data!I$6,F_Inputs!$A$4:$A$381&amp;F_Inputs!$B$4:$B$381,0),MATCH(Data!$C8,F_Inputs!$G$2:$T$2,0))</f>
        <v>0</v>
      </c>
      <c r="J8" s="139">
        <f t="array" ref="J8">INDEX(F_Inputs!$G$4:$T$381,MATCH(Data!$B8&amp;Data!J$6,F_Inputs!$A$4:$A$381&amp;F_Inputs!$B$4:$B$381,0),MATCH(Data!$C8,F_Inputs!$G$2:$T$2,0))</f>
        <v>0</v>
      </c>
      <c r="K8" s="139">
        <f t="array" ref="K8">INDEX(F_Inputs!$G$4:$T$381,MATCH(Data!$B8&amp;Data!K$6,F_Inputs!$A$4:$A$381&amp;F_Inputs!$B$4:$B$381,0),MATCH(Data!$C8,F_Inputs!$G$2:$T$2,0))</f>
        <v>0</v>
      </c>
      <c r="L8" s="139">
        <f t="array" ref="L8">INDEX(F_Inputs!$G$4:$T$381,MATCH(Data!$B8&amp;Data!L$6,F_Inputs!$A$4:$A$381&amp;F_Inputs!$B$4:$B$381,0),MATCH(Data!$C8,F_Inputs!$G$2:$T$2,0))</f>
        <v>0</v>
      </c>
      <c r="N8" s="139">
        <f t="array" ref="N8">INDEX(F_Inputs!$G$4:$T$381,MATCH(Data!$B8&amp;Data!N$6,F_Inputs!$A$4:$A$381&amp;F_Inputs!$B$4:$B$381,0),MATCH(Data!$C8,F_Inputs!$G$2:$T$2,0))</f>
        <v>369.59975583915002</v>
      </c>
      <c r="P8" s="139">
        <f t="array" ref="P8">INDEX(F_Inputs!$G$4:$T$381,MATCH(Data!$B8&amp;Data!P$6,F_Inputs!$A$4:$A$381&amp;F_Inputs!$B$4:$B$381,0),MATCH(Data!$C8,F_Inputs!$G$2:$T$2,0))</f>
        <v>0</v>
      </c>
      <c r="Q8" s="139">
        <f t="array" ref="Q8">INDEX(F_Inputs!$G$4:$T$381,MATCH(Data!$B8&amp;Data!Q$6,F_Inputs!$A$4:$A$381&amp;F_Inputs!$B$4:$B$381,0),MATCH(Data!$C8,F_Inputs!$G$2:$T$2,0))</f>
        <v>0</v>
      </c>
      <c r="R8" s="139">
        <f t="array" ref="R8">INDEX(F_Inputs!$G$4:$T$381,MATCH(Data!$B8&amp;Data!R$6,F_Inputs!$A$4:$A$381&amp;F_Inputs!$B$4:$B$381,0),MATCH(Data!$C8,F_Inputs!$G$2:$T$2,0))</f>
        <v>0</v>
      </c>
      <c r="S8" s="139">
        <f t="array" ref="S8">INDEX(F_Inputs!$G$4:$T$381,MATCH(Data!$B8&amp;Data!S$6,F_Inputs!$A$4:$A$381&amp;F_Inputs!$B$4:$B$381,0),MATCH(Data!$C8,F_Inputs!$G$2:$T$2,0))</f>
        <v>0</v>
      </c>
      <c r="U8" s="139">
        <f t="array" ref="U8">INDEX(F_Inputs!$G$4:$T$381,MATCH(Data!$B8&amp;Data!U$6,F_Inputs!$A$4:$A$381&amp;F_Inputs!$B$4:$B$381,0),MATCH(Data!$C8,F_Inputs!$G$2:$T$2,0))</f>
        <v>0</v>
      </c>
      <c r="V8" s="139">
        <f t="array" ref="V8">INDEX(F_Inputs!$G$4:$T$381,MATCH(Data!$B8&amp;Data!V$6,F_Inputs!$A$4:$A$381&amp;F_Inputs!$B$4:$B$381,0),MATCH(Data!$C8,F_Inputs!$G$2:$T$2,0))</f>
        <v>0</v>
      </c>
      <c r="W8" s="139">
        <f t="array" ref="W8">INDEX(F_Inputs!$G$4:$T$381,MATCH(Data!$B8&amp;Data!W$6,F_Inputs!$A$4:$A$381&amp;F_Inputs!$B$4:$B$381,0),MATCH(Data!$C8,F_Inputs!$G$2:$T$2,0))</f>
        <v>0</v>
      </c>
    </row>
    <row r="9" spans="1:24" x14ac:dyDescent="0.2">
      <c r="A9" s="138" t="str">
        <f t="shared" si="0"/>
        <v>ANH13</v>
      </c>
      <c r="B9" s="19" t="s">
        <v>26</v>
      </c>
      <c r="C9" s="19" t="s">
        <v>65</v>
      </c>
      <c r="D9" s="139">
        <f t="array" ref="D9">INDEX(F_Inputs!$G$4:$T$381,MATCH(Data!$B9&amp;Data!D$6,F_Inputs!$A$4:$A$381&amp;F_Inputs!$B$4:$B$381,0),MATCH(Data!$C9,F_Inputs!$G$2:$T$2,0))</f>
        <v>0</v>
      </c>
      <c r="E9" s="139">
        <f t="array" ref="E9">INDEX(F_Inputs!$G$4:$T$381,MATCH(Data!$B9&amp;Data!E$6,F_Inputs!$A$4:$A$381&amp;F_Inputs!$B$4:$B$381,0),MATCH(Data!$C9,F_Inputs!$G$2:$T$2,0))</f>
        <v>27.860029107979901</v>
      </c>
      <c r="F9" s="139">
        <f t="array" ref="F9">INDEX(F_Inputs!$G$4:$T$381,MATCH(Data!$B9&amp;Data!F$6,F_Inputs!$A$4:$A$381&amp;F_Inputs!$B$4:$B$381,0),MATCH(Data!$C9,F_Inputs!$G$2:$T$2,0))</f>
        <v>0</v>
      </c>
      <c r="G9" s="139">
        <f t="array" ref="G9">INDEX(F_Inputs!$G$4:$T$381,MATCH(Data!$B9&amp;Data!G$6,F_Inputs!$A$4:$A$381&amp;F_Inputs!$B$4:$B$381,0),MATCH(Data!$C9,F_Inputs!$G$2:$T$2,0))</f>
        <v>21.779796441509198</v>
      </c>
      <c r="I9" s="139">
        <f t="array" ref="I9">INDEX(F_Inputs!$G$4:$T$381,MATCH(Data!$B9&amp;Data!I$6,F_Inputs!$A$4:$A$381&amp;F_Inputs!$B$4:$B$381,0),MATCH(Data!$C9,F_Inputs!$G$2:$T$2,0))</f>
        <v>0</v>
      </c>
      <c r="J9" s="139">
        <f t="array" ref="J9">INDEX(F_Inputs!$G$4:$T$381,MATCH(Data!$B9&amp;Data!J$6,F_Inputs!$A$4:$A$381&amp;F_Inputs!$B$4:$B$381,0),MATCH(Data!$C9,F_Inputs!$G$2:$T$2,0))</f>
        <v>0</v>
      </c>
      <c r="K9" s="139">
        <f t="array" ref="K9">INDEX(F_Inputs!$G$4:$T$381,MATCH(Data!$B9&amp;Data!K$6,F_Inputs!$A$4:$A$381&amp;F_Inputs!$B$4:$B$381,0),MATCH(Data!$C9,F_Inputs!$G$2:$T$2,0))</f>
        <v>0</v>
      </c>
      <c r="L9" s="139">
        <f t="array" ref="L9">INDEX(F_Inputs!$G$4:$T$381,MATCH(Data!$B9&amp;Data!L$6,F_Inputs!$A$4:$A$381&amp;F_Inputs!$B$4:$B$381,0),MATCH(Data!$C9,F_Inputs!$G$2:$T$2,0))</f>
        <v>0</v>
      </c>
      <c r="N9" s="139">
        <f t="array" ref="N9">INDEX(F_Inputs!$G$4:$T$381,MATCH(Data!$B9&amp;Data!N$6,F_Inputs!$A$4:$A$381&amp;F_Inputs!$B$4:$B$381,0),MATCH(Data!$C9,F_Inputs!$G$2:$T$2,0))</f>
        <v>393.906703405614</v>
      </c>
      <c r="P9" s="139">
        <f t="array" ref="P9">INDEX(F_Inputs!$G$4:$T$381,MATCH(Data!$B9&amp;Data!P$6,F_Inputs!$A$4:$A$381&amp;F_Inputs!$B$4:$B$381,0),MATCH(Data!$C9,F_Inputs!$G$2:$T$2,0))</f>
        <v>0</v>
      </c>
      <c r="Q9" s="139">
        <f t="array" ref="Q9">INDEX(F_Inputs!$G$4:$T$381,MATCH(Data!$B9&amp;Data!Q$6,F_Inputs!$A$4:$A$381&amp;F_Inputs!$B$4:$B$381,0),MATCH(Data!$C9,F_Inputs!$G$2:$T$2,0))</f>
        <v>0</v>
      </c>
      <c r="R9" s="139">
        <f t="array" ref="R9">INDEX(F_Inputs!$G$4:$T$381,MATCH(Data!$B9&amp;Data!R$6,F_Inputs!$A$4:$A$381&amp;F_Inputs!$B$4:$B$381,0),MATCH(Data!$C9,F_Inputs!$G$2:$T$2,0))</f>
        <v>0</v>
      </c>
      <c r="S9" s="139">
        <f t="array" ref="S9">INDEX(F_Inputs!$G$4:$T$381,MATCH(Data!$B9&amp;Data!S$6,F_Inputs!$A$4:$A$381&amp;F_Inputs!$B$4:$B$381,0),MATCH(Data!$C9,F_Inputs!$G$2:$T$2,0))</f>
        <v>0</v>
      </c>
      <c r="U9" s="139">
        <f t="array" ref="U9">INDEX(F_Inputs!$G$4:$T$381,MATCH(Data!$B9&amp;Data!U$6,F_Inputs!$A$4:$A$381&amp;F_Inputs!$B$4:$B$381,0),MATCH(Data!$C9,F_Inputs!$G$2:$T$2,0))</f>
        <v>0</v>
      </c>
      <c r="V9" s="139">
        <f t="array" ref="V9">INDEX(F_Inputs!$G$4:$T$381,MATCH(Data!$B9&amp;Data!V$6,F_Inputs!$A$4:$A$381&amp;F_Inputs!$B$4:$B$381,0),MATCH(Data!$C9,F_Inputs!$G$2:$T$2,0))</f>
        <v>0</v>
      </c>
      <c r="W9" s="139">
        <f t="array" ref="W9">INDEX(F_Inputs!$G$4:$T$381,MATCH(Data!$B9&amp;Data!W$6,F_Inputs!$A$4:$A$381&amp;F_Inputs!$B$4:$B$381,0),MATCH(Data!$C9,F_Inputs!$G$2:$T$2,0))</f>
        <v>0</v>
      </c>
    </row>
    <row r="10" spans="1:24" x14ac:dyDescent="0.2">
      <c r="A10" s="138" t="str">
        <f t="shared" si="0"/>
        <v>ANH14</v>
      </c>
      <c r="B10" s="19" t="s">
        <v>26</v>
      </c>
      <c r="C10" s="19" t="s">
        <v>66</v>
      </c>
      <c r="D10" s="139">
        <f t="array" ref="D10">INDEX(F_Inputs!$G$4:$T$381,MATCH(Data!$B10&amp;Data!D$6,F_Inputs!$A$4:$A$381&amp;F_Inputs!$B$4:$B$381,0),MATCH(Data!$C10,F_Inputs!$G$2:$T$2,0))</f>
        <v>0</v>
      </c>
      <c r="E10" s="139">
        <f t="array" ref="E10">INDEX(F_Inputs!$G$4:$T$381,MATCH(Data!$B10&amp;Data!E$6,F_Inputs!$A$4:$A$381&amp;F_Inputs!$B$4:$B$381,0),MATCH(Data!$C10,F_Inputs!$G$2:$T$2,0))</f>
        <v>22.057069842749399</v>
      </c>
      <c r="F10" s="139">
        <f t="array" ref="F10">INDEX(F_Inputs!$G$4:$T$381,MATCH(Data!$B10&amp;Data!F$6,F_Inputs!$A$4:$A$381&amp;F_Inputs!$B$4:$B$381,0),MATCH(Data!$C10,F_Inputs!$G$2:$T$2,0))</f>
        <v>0</v>
      </c>
      <c r="G10" s="139">
        <f t="array" ref="G10">INDEX(F_Inputs!$G$4:$T$381,MATCH(Data!$B10&amp;Data!G$6,F_Inputs!$A$4:$A$381&amp;F_Inputs!$B$4:$B$381,0),MATCH(Data!$C10,F_Inputs!$G$2:$T$2,0))</f>
        <v>24.890010425725698</v>
      </c>
      <c r="I10" s="139">
        <f t="array" ref="I10">INDEX(F_Inputs!$G$4:$T$381,MATCH(Data!$B10&amp;Data!I$6,F_Inputs!$A$4:$A$381&amp;F_Inputs!$B$4:$B$381,0),MATCH(Data!$C10,F_Inputs!$G$2:$T$2,0))</f>
        <v>0</v>
      </c>
      <c r="J10" s="139">
        <f t="array" ref="J10">INDEX(F_Inputs!$G$4:$T$381,MATCH(Data!$B10&amp;Data!J$6,F_Inputs!$A$4:$A$381&amp;F_Inputs!$B$4:$B$381,0),MATCH(Data!$C10,F_Inputs!$G$2:$T$2,0))</f>
        <v>0</v>
      </c>
      <c r="K10" s="139">
        <f t="array" ref="K10">INDEX(F_Inputs!$G$4:$T$381,MATCH(Data!$B10&amp;Data!K$6,F_Inputs!$A$4:$A$381&amp;F_Inputs!$B$4:$B$381,0),MATCH(Data!$C10,F_Inputs!$G$2:$T$2,0))</f>
        <v>0</v>
      </c>
      <c r="L10" s="139">
        <f t="array" ref="L10">INDEX(F_Inputs!$G$4:$T$381,MATCH(Data!$B10&amp;Data!L$6,F_Inputs!$A$4:$A$381&amp;F_Inputs!$B$4:$B$381,0),MATCH(Data!$C10,F_Inputs!$G$2:$T$2,0))</f>
        <v>0</v>
      </c>
      <c r="N10" s="139">
        <f t="array" ref="N10">INDEX(F_Inputs!$G$4:$T$381,MATCH(Data!$B10&amp;Data!N$6,F_Inputs!$A$4:$A$381&amp;F_Inputs!$B$4:$B$381,0),MATCH(Data!$C10,F_Inputs!$G$2:$T$2,0))</f>
        <v>354.53701632585597</v>
      </c>
      <c r="P10" s="139">
        <f t="array" ref="P10">INDEX(F_Inputs!$G$4:$T$381,MATCH(Data!$B10&amp;Data!P$6,F_Inputs!$A$4:$A$381&amp;F_Inputs!$B$4:$B$381,0),MATCH(Data!$C10,F_Inputs!$G$2:$T$2,0))</f>
        <v>0</v>
      </c>
      <c r="Q10" s="139">
        <f t="array" ref="Q10">INDEX(F_Inputs!$G$4:$T$381,MATCH(Data!$B10&amp;Data!Q$6,F_Inputs!$A$4:$A$381&amp;F_Inputs!$B$4:$B$381,0),MATCH(Data!$C10,F_Inputs!$G$2:$T$2,0))</f>
        <v>0</v>
      </c>
      <c r="R10" s="139">
        <f t="array" ref="R10">INDEX(F_Inputs!$G$4:$T$381,MATCH(Data!$B10&amp;Data!R$6,F_Inputs!$A$4:$A$381&amp;F_Inputs!$B$4:$B$381,0),MATCH(Data!$C10,F_Inputs!$G$2:$T$2,0))</f>
        <v>0</v>
      </c>
      <c r="S10" s="139">
        <f t="array" ref="S10">INDEX(F_Inputs!$G$4:$T$381,MATCH(Data!$B10&amp;Data!S$6,F_Inputs!$A$4:$A$381&amp;F_Inputs!$B$4:$B$381,0),MATCH(Data!$C10,F_Inputs!$G$2:$T$2,0))</f>
        <v>0</v>
      </c>
      <c r="U10" s="139">
        <f t="array" ref="U10">INDEX(F_Inputs!$G$4:$T$381,MATCH(Data!$B10&amp;Data!U$6,F_Inputs!$A$4:$A$381&amp;F_Inputs!$B$4:$B$381,0),MATCH(Data!$C10,F_Inputs!$G$2:$T$2,0))</f>
        <v>0</v>
      </c>
      <c r="V10" s="139">
        <f t="array" ref="V10">INDEX(F_Inputs!$G$4:$T$381,MATCH(Data!$B10&amp;Data!V$6,F_Inputs!$A$4:$A$381&amp;F_Inputs!$B$4:$B$381,0),MATCH(Data!$C10,F_Inputs!$G$2:$T$2,0))</f>
        <v>0</v>
      </c>
      <c r="W10" s="139">
        <f t="array" ref="W10">INDEX(F_Inputs!$G$4:$T$381,MATCH(Data!$B10&amp;Data!W$6,F_Inputs!$A$4:$A$381&amp;F_Inputs!$B$4:$B$381,0),MATCH(Data!$C10,F_Inputs!$G$2:$T$2,0))</f>
        <v>0</v>
      </c>
    </row>
    <row r="11" spans="1:24" x14ac:dyDescent="0.2">
      <c r="A11" s="138" t="str">
        <f t="shared" si="0"/>
        <v>ANH15</v>
      </c>
      <c r="B11" s="19" t="s">
        <v>26</v>
      </c>
      <c r="C11" s="19" t="s">
        <v>67</v>
      </c>
      <c r="D11" s="139">
        <f t="array" ref="D11">INDEX(F_Inputs!$G$4:$T$381,MATCH(Data!$B11&amp;Data!D$6,F_Inputs!$A$4:$A$381&amp;F_Inputs!$B$4:$B$381,0),MATCH(Data!$C11,F_Inputs!$G$2:$T$2,0))</f>
        <v>0</v>
      </c>
      <c r="E11" s="139">
        <f t="array" ref="E11">INDEX(F_Inputs!$G$4:$T$381,MATCH(Data!$B11&amp;Data!E$6,F_Inputs!$A$4:$A$381&amp;F_Inputs!$B$4:$B$381,0),MATCH(Data!$C11,F_Inputs!$G$2:$T$2,0))</f>
        <v>29.414010970288899</v>
      </c>
      <c r="F11" s="139">
        <f t="array" ref="F11">INDEX(F_Inputs!$G$4:$T$381,MATCH(Data!$B11&amp;Data!F$6,F_Inputs!$A$4:$A$381&amp;F_Inputs!$B$4:$B$381,0),MATCH(Data!$C11,F_Inputs!$G$2:$T$2,0))</f>
        <v>0</v>
      </c>
      <c r="G11" s="139">
        <f t="array" ref="G11">INDEX(F_Inputs!$G$4:$T$381,MATCH(Data!$B11&amp;Data!G$6,F_Inputs!$A$4:$A$381&amp;F_Inputs!$B$4:$B$381,0),MATCH(Data!$C11,F_Inputs!$G$2:$T$2,0))</f>
        <v>31.763754414276899</v>
      </c>
      <c r="I11" s="139">
        <f t="array" ref="I11">INDEX(F_Inputs!$G$4:$T$381,MATCH(Data!$B11&amp;Data!I$6,F_Inputs!$A$4:$A$381&amp;F_Inputs!$B$4:$B$381,0),MATCH(Data!$C11,F_Inputs!$G$2:$T$2,0))</f>
        <v>0</v>
      </c>
      <c r="J11" s="139">
        <f t="array" ref="J11">INDEX(F_Inputs!$G$4:$T$381,MATCH(Data!$B11&amp;Data!J$6,F_Inputs!$A$4:$A$381&amp;F_Inputs!$B$4:$B$381,0),MATCH(Data!$C11,F_Inputs!$G$2:$T$2,0))</f>
        <v>0</v>
      </c>
      <c r="K11" s="139">
        <f t="array" ref="K11">INDEX(F_Inputs!$G$4:$T$381,MATCH(Data!$B11&amp;Data!K$6,F_Inputs!$A$4:$A$381&amp;F_Inputs!$B$4:$B$381,0),MATCH(Data!$C11,F_Inputs!$G$2:$T$2,0))</f>
        <v>0</v>
      </c>
      <c r="L11" s="139">
        <f t="array" ref="L11">INDEX(F_Inputs!$G$4:$T$381,MATCH(Data!$B11&amp;Data!L$6,F_Inputs!$A$4:$A$381&amp;F_Inputs!$B$4:$B$381,0),MATCH(Data!$C11,F_Inputs!$G$2:$T$2,0))</f>
        <v>0</v>
      </c>
      <c r="N11" s="139">
        <f t="array" ref="N11">INDEX(F_Inputs!$G$4:$T$381,MATCH(Data!$B11&amp;Data!N$6,F_Inputs!$A$4:$A$381&amp;F_Inputs!$B$4:$B$381,0),MATCH(Data!$C11,F_Inputs!$G$2:$T$2,0))</f>
        <v>370.24685686063498</v>
      </c>
      <c r="P11" s="139">
        <f t="array" ref="P11">INDEX(F_Inputs!$G$4:$T$381,MATCH(Data!$B11&amp;Data!P$6,F_Inputs!$A$4:$A$381&amp;F_Inputs!$B$4:$B$381,0),MATCH(Data!$C11,F_Inputs!$G$2:$T$2,0))</f>
        <v>0</v>
      </c>
      <c r="Q11" s="139">
        <f t="array" ref="Q11">INDEX(F_Inputs!$G$4:$T$381,MATCH(Data!$B11&amp;Data!Q$6,F_Inputs!$A$4:$A$381&amp;F_Inputs!$B$4:$B$381,0),MATCH(Data!$C11,F_Inputs!$G$2:$T$2,0))</f>
        <v>0</v>
      </c>
      <c r="R11" s="139">
        <f t="array" ref="R11">INDEX(F_Inputs!$G$4:$T$381,MATCH(Data!$B11&amp;Data!R$6,F_Inputs!$A$4:$A$381&amp;F_Inputs!$B$4:$B$381,0),MATCH(Data!$C11,F_Inputs!$G$2:$T$2,0))</f>
        <v>0</v>
      </c>
      <c r="S11" s="139">
        <f t="array" ref="S11">INDEX(F_Inputs!$G$4:$T$381,MATCH(Data!$B11&amp;Data!S$6,F_Inputs!$A$4:$A$381&amp;F_Inputs!$B$4:$B$381,0),MATCH(Data!$C11,F_Inputs!$G$2:$T$2,0))</f>
        <v>0</v>
      </c>
      <c r="U11" s="139">
        <f t="array" ref="U11">INDEX(F_Inputs!$G$4:$T$381,MATCH(Data!$B11&amp;Data!U$6,F_Inputs!$A$4:$A$381&amp;F_Inputs!$B$4:$B$381,0),MATCH(Data!$C11,F_Inputs!$G$2:$T$2,0))</f>
        <v>0</v>
      </c>
      <c r="V11" s="139">
        <f t="array" ref="V11">INDEX(F_Inputs!$G$4:$T$381,MATCH(Data!$B11&amp;Data!V$6,F_Inputs!$A$4:$A$381&amp;F_Inputs!$B$4:$B$381,0),MATCH(Data!$C11,F_Inputs!$G$2:$T$2,0))</f>
        <v>0</v>
      </c>
      <c r="W11" s="139">
        <f t="array" ref="W11">INDEX(F_Inputs!$G$4:$T$381,MATCH(Data!$B11&amp;Data!W$6,F_Inputs!$A$4:$A$381&amp;F_Inputs!$B$4:$B$381,0),MATCH(Data!$C11,F_Inputs!$G$2:$T$2,0))</f>
        <v>0</v>
      </c>
    </row>
    <row r="12" spans="1:24" x14ac:dyDescent="0.2">
      <c r="A12" s="138" t="str">
        <f t="shared" si="0"/>
        <v>ANH16</v>
      </c>
      <c r="B12" s="19" t="s">
        <v>26</v>
      </c>
      <c r="C12" s="19" t="s">
        <v>68</v>
      </c>
      <c r="D12" s="139">
        <f t="array" ref="D12">INDEX(F_Inputs!$G$4:$T$381,MATCH(Data!$B12&amp;Data!D$6,F_Inputs!$A$4:$A$381&amp;F_Inputs!$B$4:$B$381,0),MATCH(Data!$C12,F_Inputs!$G$2:$T$2,0))</f>
        <v>0</v>
      </c>
      <c r="E12" s="139">
        <f t="array" ref="E12">INDEX(F_Inputs!$G$4:$T$381,MATCH(Data!$B12&amp;Data!E$6,F_Inputs!$A$4:$A$381&amp;F_Inputs!$B$4:$B$381,0),MATCH(Data!$C12,F_Inputs!$G$2:$T$2,0))</f>
        <v>4.7143242655498296</v>
      </c>
      <c r="F12" s="139">
        <f t="array" ref="F12">INDEX(F_Inputs!$G$4:$T$381,MATCH(Data!$B12&amp;Data!F$6,F_Inputs!$A$4:$A$381&amp;F_Inputs!$B$4:$B$381,0),MATCH(Data!$C12,F_Inputs!$G$2:$T$2,0))</f>
        <v>0</v>
      </c>
      <c r="G12" s="139">
        <f t="array" ref="G12">INDEX(F_Inputs!$G$4:$T$381,MATCH(Data!$B12&amp;Data!G$6,F_Inputs!$A$4:$A$381&amp;F_Inputs!$B$4:$B$381,0),MATCH(Data!$C12,F_Inputs!$G$2:$T$2,0))</f>
        <v>6.5695609522715799</v>
      </c>
      <c r="I12" s="139">
        <f t="array" ref="I12">INDEX(F_Inputs!$G$4:$T$381,MATCH(Data!$B12&amp;Data!I$6,F_Inputs!$A$4:$A$381&amp;F_Inputs!$B$4:$B$381,0),MATCH(Data!$C12,F_Inputs!$G$2:$T$2,0))</f>
        <v>0</v>
      </c>
      <c r="J12" s="139">
        <f t="array" ref="J12">INDEX(F_Inputs!$G$4:$T$381,MATCH(Data!$B12&amp;Data!J$6,F_Inputs!$A$4:$A$381&amp;F_Inputs!$B$4:$B$381,0),MATCH(Data!$C12,F_Inputs!$G$2:$T$2,0))</f>
        <v>0</v>
      </c>
      <c r="K12" s="139">
        <f t="array" ref="K12">INDEX(F_Inputs!$G$4:$T$381,MATCH(Data!$B12&amp;Data!K$6,F_Inputs!$A$4:$A$381&amp;F_Inputs!$B$4:$B$381,0),MATCH(Data!$C12,F_Inputs!$G$2:$T$2,0))</f>
        <v>0</v>
      </c>
      <c r="L12" s="139">
        <f t="array" ref="L12">INDEX(F_Inputs!$G$4:$T$381,MATCH(Data!$B12&amp;Data!L$6,F_Inputs!$A$4:$A$381&amp;F_Inputs!$B$4:$B$381,0),MATCH(Data!$C12,F_Inputs!$G$2:$T$2,0))</f>
        <v>0</v>
      </c>
      <c r="N12" s="139">
        <f t="array" ref="N12">INDEX(F_Inputs!$G$4:$T$381,MATCH(Data!$B12&amp;Data!N$6,F_Inputs!$A$4:$A$381&amp;F_Inputs!$B$4:$B$381,0),MATCH(Data!$C12,F_Inputs!$G$2:$T$2,0))</f>
        <v>327.62194512912799</v>
      </c>
      <c r="P12" s="139">
        <f t="array" ref="P12">INDEX(F_Inputs!$G$4:$T$381,MATCH(Data!$B12&amp;Data!P$6,F_Inputs!$A$4:$A$381&amp;F_Inputs!$B$4:$B$381,0),MATCH(Data!$C12,F_Inputs!$G$2:$T$2,0))</f>
        <v>0</v>
      </c>
      <c r="Q12" s="139">
        <f t="array" ref="Q12">INDEX(F_Inputs!$G$4:$T$381,MATCH(Data!$B12&amp;Data!Q$6,F_Inputs!$A$4:$A$381&amp;F_Inputs!$B$4:$B$381,0),MATCH(Data!$C12,F_Inputs!$G$2:$T$2,0))</f>
        <v>0</v>
      </c>
      <c r="R12" s="139">
        <f t="array" ref="R12">INDEX(F_Inputs!$G$4:$T$381,MATCH(Data!$B12&amp;Data!R$6,F_Inputs!$A$4:$A$381&amp;F_Inputs!$B$4:$B$381,0),MATCH(Data!$C12,F_Inputs!$G$2:$T$2,0))</f>
        <v>0</v>
      </c>
      <c r="S12" s="139">
        <f t="array" ref="S12">INDEX(F_Inputs!$G$4:$T$381,MATCH(Data!$B12&amp;Data!S$6,F_Inputs!$A$4:$A$381&amp;F_Inputs!$B$4:$B$381,0),MATCH(Data!$C12,F_Inputs!$G$2:$T$2,0))</f>
        <v>0</v>
      </c>
      <c r="U12" s="139">
        <f t="array" ref="U12">INDEX(F_Inputs!$G$4:$T$381,MATCH(Data!$B12&amp;Data!U$6,F_Inputs!$A$4:$A$381&amp;F_Inputs!$B$4:$B$381,0),MATCH(Data!$C12,F_Inputs!$G$2:$T$2,0))</f>
        <v>0</v>
      </c>
      <c r="V12" s="139">
        <f t="array" ref="V12">INDEX(F_Inputs!$G$4:$T$381,MATCH(Data!$B12&amp;Data!V$6,F_Inputs!$A$4:$A$381&amp;F_Inputs!$B$4:$B$381,0),MATCH(Data!$C12,F_Inputs!$G$2:$T$2,0))</f>
        <v>0</v>
      </c>
      <c r="W12" s="139">
        <f t="array" ref="W12">INDEX(F_Inputs!$G$4:$T$381,MATCH(Data!$B12&amp;Data!W$6,F_Inputs!$A$4:$A$381&amp;F_Inputs!$B$4:$B$381,0),MATCH(Data!$C12,F_Inputs!$G$2:$T$2,0))</f>
        <v>0</v>
      </c>
    </row>
    <row r="13" spans="1:24" x14ac:dyDescent="0.2">
      <c r="A13" s="138" t="str">
        <f t="shared" si="0"/>
        <v>ANH17</v>
      </c>
      <c r="B13" s="19" t="s">
        <v>26</v>
      </c>
      <c r="C13" s="19" t="s">
        <v>69</v>
      </c>
      <c r="D13" s="139">
        <f t="array" ref="D13">INDEX(F_Inputs!$G$4:$T$381,MATCH(Data!$B13&amp;Data!D$6,F_Inputs!$A$4:$A$381&amp;F_Inputs!$B$4:$B$381,0),MATCH(Data!$C13,F_Inputs!$G$2:$T$2,0))</f>
        <v>0</v>
      </c>
      <c r="E13" s="139">
        <f t="array" ref="E13">INDEX(F_Inputs!$G$4:$T$381,MATCH(Data!$B13&amp;Data!E$6,F_Inputs!$A$4:$A$381&amp;F_Inputs!$B$4:$B$381,0),MATCH(Data!$C13,F_Inputs!$G$2:$T$2,0))</f>
        <v>7.6791057116597203</v>
      </c>
      <c r="F13" s="139">
        <f t="array" ref="F13">INDEX(F_Inputs!$G$4:$T$381,MATCH(Data!$B13&amp;Data!F$6,F_Inputs!$A$4:$A$381&amp;F_Inputs!$B$4:$B$381,0),MATCH(Data!$C13,F_Inputs!$G$2:$T$2,0))</f>
        <v>0</v>
      </c>
      <c r="G13" s="139">
        <f t="array" ref="G13">INDEX(F_Inputs!$G$4:$T$381,MATCH(Data!$B13&amp;Data!G$6,F_Inputs!$A$4:$A$381&amp;F_Inputs!$B$4:$B$381,0),MATCH(Data!$C13,F_Inputs!$G$2:$T$2,0))</f>
        <v>8.4962998178787501</v>
      </c>
      <c r="I13" s="139">
        <f t="array" ref="I13">INDEX(F_Inputs!$G$4:$T$381,MATCH(Data!$B13&amp;Data!I$6,F_Inputs!$A$4:$A$381&amp;F_Inputs!$B$4:$B$381,0),MATCH(Data!$C13,F_Inputs!$G$2:$T$2,0))</f>
        <v>0</v>
      </c>
      <c r="J13" s="139">
        <f t="array" ref="J13">INDEX(F_Inputs!$G$4:$T$381,MATCH(Data!$B13&amp;Data!J$6,F_Inputs!$A$4:$A$381&amp;F_Inputs!$B$4:$B$381,0),MATCH(Data!$C13,F_Inputs!$G$2:$T$2,0))</f>
        <v>0</v>
      </c>
      <c r="K13" s="139">
        <f t="array" ref="K13">INDEX(F_Inputs!$G$4:$T$381,MATCH(Data!$B13&amp;Data!K$6,F_Inputs!$A$4:$A$381&amp;F_Inputs!$B$4:$B$381,0),MATCH(Data!$C13,F_Inputs!$G$2:$T$2,0))</f>
        <v>0</v>
      </c>
      <c r="L13" s="139">
        <f t="array" ref="L13">INDEX(F_Inputs!$G$4:$T$381,MATCH(Data!$B13&amp;Data!L$6,F_Inputs!$A$4:$A$381&amp;F_Inputs!$B$4:$B$381,0),MATCH(Data!$C13,F_Inputs!$G$2:$T$2,0))</f>
        <v>0</v>
      </c>
      <c r="N13" s="139">
        <f t="array" ref="N13">INDEX(F_Inputs!$G$4:$T$381,MATCH(Data!$B13&amp;Data!N$6,F_Inputs!$A$4:$A$381&amp;F_Inputs!$B$4:$B$381,0),MATCH(Data!$C13,F_Inputs!$G$2:$T$2,0))</f>
        <v>375.70712366397299</v>
      </c>
      <c r="P13" s="139">
        <f t="array" ref="P13">INDEX(F_Inputs!$G$4:$T$381,MATCH(Data!$B13&amp;Data!P$6,F_Inputs!$A$4:$A$381&amp;F_Inputs!$B$4:$B$381,0),MATCH(Data!$C13,F_Inputs!$G$2:$T$2,0))</f>
        <v>0</v>
      </c>
      <c r="Q13" s="139">
        <f t="array" ref="Q13">INDEX(F_Inputs!$G$4:$T$381,MATCH(Data!$B13&amp;Data!Q$6,F_Inputs!$A$4:$A$381&amp;F_Inputs!$B$4:$B$381,0),MATCH(Data!$C13,F_Inputs!$G$2:$T$2,0))</f>
        <v>0</v>
      </c>
      <c r="R13" s="139">
        <f t="array" ref="R13">INDEX(F_Inputs!$G$4:$T$381,MATCH(Data!$B13&amp;Data!R$6,F_Inputs!$A$4:$A$381&amp;F_Inputs!$B$4:$B$381,0),MATCH(Data!$C13,F_Inputs!$G$2:$T$2,0))</f>
        <v>0</v>
      </c>
      <c r="S13" s="139">
        <f t="array" ref="S13">INDEX(F_Inputs!$G$4:$T$381,MATCH(Data!$B13&amp;Data!S$6,F_Inputs!$A$4:$A$381&amp;F_Inputs!$B$4:$B$381,0),MATCH(Data!$C13,F_Inputs!$G$2:$T$2,0))</f>
        <v>0</v>
      </c>
      <c r="U13" s="139">
        <f t="array" ref="U13">INDEX(F_Inputs!$G$4:$T$381,MATCH(Data!$B13&amp;Data!U$6,F_Inputs!$A$4:$A$381&amp;F_Inputs!$B$4:$B$381,0),MATCH(Data!$C13,F_Inputs!$G$2:$T$2,0))</f>
        <v>0</v>
      </c>
      <c r="V13" s="139">
        <f t="array" ref="V13">INDEX(F_Inputs!$G$4:$T$381,MATCH(Data!$B13&amp;Data!V$6,F_Inputs!$A$4:$A$381&amp;F_Inputs!$B$4:$B$381,0),MATCH(Data!$C13,F_Inputs!$G$2:$T$2,0))</f>
        <v>0</v>
      </c>
      <c r="W13" s="139">
        <f t="array" ref="W13">INDEX(F_Inputs!$G$4:$T$381,MATCH(Data!$B13&amp;Data!W$6,F_Inputs!$A$4:$A$381&amp;F_Inputs!$B$4:$B$381,0),MATCH(Data!$C13,F_Inputs!$G$2:$T$2,0))</f>
        <v>0</v>
      </c>
    </row>
    <row r="14" spans="1:24" x14ac:dyDescent="0.2">
      <c r="A14" s="141" t="s">
        <v>134</v>
      </c>
      <c r="B14" s="142" t="s">
        <v>26</v>
      </c>
      <c r="C14" s="142" t="s">
        <v>70</v>
      </c>
      <c r="D14" s="139">
        <f t="array" ref="D14">INDEX(F_Inputs!$G$4:$T$381,MATCH(Data!$B14&amp;Data!D$6,F_Inputs!$A$4:$A$381&amp;F_Inputs!$B$4:$B$381,0),MATCH(Data!$C14,F_Inputs!$G$2:$T$2,0))</f>
        <v>0</v>
      </c>
      <c r="E14" s="139">
        <f t="array" ref="E14">INDEX(F_Inputs!$G$4:$T$381,MATCH(Data!$B14&amp;Data!E$6,F_Inputs!$A$4:$A$381&amp;F_Inputs!$B$4:$B$381,0),MATCH(Data!$C14,F_Inputs!$G$2:$T$2,0))</f>
        <v>13.3680449995031</v>
      </c>
      <c r="F14" s="139">
        <f t="array" ref="F14">INDEX(F_Inputs!$G$4:$T$381,MATCH(Data!$B14&amp;Data!F$6,F_Inputs!$A$4:$A$381&amp;F_Inputs!$B$4:$B$381,0),MATCH(Data!$C14,F_Inputs!$G$2:$T$2,0))</f>
        <v>0</v>
      </c>
      <c r="G14" s="139">
        <f t="array" ref="G14">INDEX(F_Inputs!$G$4:$T$381,MATCH(Data!$B14&amp;Data!G$6,F_Inputs!$A$4:$A$381&amp;F_Inputs!$B$4:$B$381,0),MATCH(Data!$C14,F_Inputs!$G$2:$T$2,0))</f>
        <v>6.60895433486386</v>
      </c>
      <c r="I14" s="139">
        <f t="array" ref="I14">INDEX(F_Inputs!$G$4:$T$381,MATCH(Data!$B14&amp;Data!I$6,F_Inputs!$A$4:$A$381&amp;F_Inputs!$B$4:$B$381,0),MATCH(Data!$C14,F_Inputs!$G$2:$T$2,0))</f>
        <v>0</v>
      </c>
      <c r="J14" s="139">
        <f t="array" ref="J14">INDEX(F_Inputs!$G$4:$T$381,MATCH(Data!$B14&amp;Data!J$6,F_Inputs!$A$4:$A$381&amp;F_Inputs!$B$4:$B$381,0),MATCH(Data!$C14,F_Inputs!$G$2:$T$2,0))</f>
        <v>0</v>
      </c>
      <c r="K14" s="139">
        <f t="array" ref="K14">INDEX(F_Inputs!$G$4:$T$381,MATCH(Data!$B14&amp;Data!K$6,F_Inputs!$A$4:$A$381&amp;F_Inputs!$B$4:$B$381,0),MATCH(Data!$C14,F_Inputs!$G$2:$T$2,0))</f>
        <v>0</v>
      </c>
      <c r="L14" s="139">
        <f t="array" ref="L14">INDEX(F_Inputs!$G$4:$T$381,MATCH(Data!$B14&amp;Data!L$6,F_Inputs!$A$4:$A$381&amp;F_Inputs!$B$4:$B$381,0),MATCH(Data!$C14,F_Inputs!$G$2:$T$2,0))</f>
        <v>0.10100000000000001</v>
      </c>
      <c r="N14" s="139">
        <f t="array" ref="N14">INDEX(F_Inputs!$G$4:$T$381,MATCH(Data!$B14&amp;Data!N$6,F_Inputs!$A$4:$A$381&amp;F_Inputs!$B$4:$B$381,0),MATCH(Data!$C14,F_Inputs!$G$2:$T$2,0))</f>
        <v>399.90776723187003</v>
      </c>
      <c r="P14" s="139">
        <f t="array" ref="P14">INDEX(F_Inputs!$G$4:$T$381,MATCH(Data!$B14&amp;Data!P$6,F_Inputs!$A$4:$A$381&amp;F_Inputs!$B$4:$B$381,0),MATCH(Data!$C14,F_Inputs!$G$2:$T$2,0))</f>
        <v>0</v>
      </c>
      <c r="Q14" s="139">
        <f t="array" ref="Q14">INDEX(F_Inputs!$G$4:$T$381,MATCH(Data!$B14&amp;Data!Q$6,F_Inputs!$A$4:$A$381&amp;F_Inputs!$B$4:$B$381,0),MATCH(Data!$C14,F_Inputs!$G$2:$T$2,0))</f>
        <v>0</v>
      </c>
      <c r="R14" s="139">
        <f t="array" ref="R14">INDEX(F_Inputs!$G$4:$T$381,MATCH(Data!$B14&amp;Data!R$6,F_Inputs!$A$4:$A$381&amp;F_Inputs!$B$4:$B$381,0),MATCH(Data!$C14,F_Inputs!$G$2:$T$2,0))</f>
        <v>6.25</v>
      </c>
      <c r="S14" s="139">
        <f t="array" ref="S14">INDEX(F_Inputs!$G$4:$T$381,MATCH(Data!$B14&amp;Data!S$6,F_Inputs!$A$4:$A$381&amp;F_Inputs!$B$4:$B$381,0),MATCH(Data!$C14,F_Inputs!$G$2:$T$2,0))</f>
        <v>5.85</v>
      </c>
      <c r="U14" s="139">
        <f t="array" ref="U14">INDEX(F_Inputs!$G$4:$T$381,MATCH(Data!$B14&amp;Data!U$6,F_Inputs!$A$4:$A$381&amp;F_Inputs!$B$4:$B$381,0),MATCH(Data!$C14,F_Inputs!$G$2:$T$2,0))</f>
        <v>182.66</v>
      </c>
      <c r="V14" s="139">
        <f t="array" ref="V14">INDEX(F_Inputs!$G$4:$T$381,MATCH(Data!$B14&amp;Data!V$6,F_Inputs!$A$4:$A$381&amp;F_Inputs!$B$4:$B$381,0),MATCH(Data!$C14,F_Inputs!$G$2:$T$2,0))</f>
        <v>38420</v>
      </c>
      <c r="W14" s="139">
        <f t="array" ref="W14">INDEX(F_Inputs!$G$4:$T$381,MATCH(Data!$B14&amp;Data!W$6,F_Inputs!$A$4:$A$381&amp;F_Inputs!$B$4:$B$381,0),MATCH(Data!$C14,F_Inputs!$G$2:$T$2,0))</f>
        <v>2195.7190000000001</v>
      </c>
    </row>
    <row r="15" spans="1:24" x14ac:dyDescent="0.2">
      <c r="A15" s="141" t="s">
        <v>135</v>
      </c>
      <c r="B15" s="142" t="s">
        <v>26</v>
      </c>
      <c r="C15" s="142" t="s">
        <v>71</v>
      </c>
      <c r="D15" s="139">
        <f t="array" ref="D15">INDEX(F_Inputs!$G$4:$T$381,MATCH(Data!$B15&amp;Data!D$6,F_Inputs!$A$4:$A$381&amp;F_Inputs!$B$4:$B$381,0),MATCH(Data!$C15,F_Inputs!$G$2:$T$2,0))</f>
        <v>0</v>
      </c>
      <c r="E15" s="139">
        <f t="array" ref="E15">INDEX(F_Inputs!$G$4:$T$381,MATCH(Data!$B15&amp;Data!E$6,F_Inputs!$A$4:$A$381&amp;F_Inputs!$B$4:$B$381,0),MATCH(Data!$C15,F_Inputs!$G$2:$T$2,0))</f>
        <v>18.008247230545901</v>
      </c>
      <c r="F15" s="139">
        <f t="array" ref="F15">INDEX(F_Inputs!$G$4:$T$381,MATCH(Data!$B15&amp;Data!F$6,F_Inputs!$A$4:$A$381&amp;F_Inputs!$B$4:$B$381,0),MATCH(Data!$C15,F_Inputs!$G$2:$T$2,0))</f>
        <v>0</v>
      </c>
      <c r="G15" s="139">
        <f t="array" ref="G15">INDEX(F_Inputs!$G$4:$T$381,MATCH(Data!$B15&amp;Data!G$6,F_Inputs!$A$4:$A$381&amp;F_Inputs!$B$4:$B$381,0),MATCH(Data!$C15,F_Inputs!$G$2:$T$2,0))</f>
        <v>10.167422159593301</v>
      </c>
      <c r="I15" s="139">
        <f t="array" ref="I15">INDEX(F_Inputs!$G$4:$T$381,MATCH(Data!$B15&amp;Data!I$6,F_Inputs!$A$4:$A$381&amp;F_Inputs!$B$4:$B$381,0),MATCH(Data!$C15,F_Inputs!$G$2:$T$2,0))</f>
        <v>0</v>
      </c>
      <c r="J15" s="139">
        <f t="array" ref="J15">INDEX(F_Inputs!$G$4:$T$381,MATCH(Data!$B15&amp;Data!J$6,F_Inputs!$A$4:$A$381&amp;F_Inputs!$B$4:$B$381,0),MATCH(Data!$C15,F_Inputs!$G$2:$T$2,0))</f>
        <v>0.19700000000000001</v>
      </c>
      <c r="K15" s="139">
        <f t="array" ref="K15">INDEX(F_Inputs!$G$4:$T$381,MATCH(Data!$B15&amp;Data!K$6,F_Inputs!$A$4:$A$381&amp;F_Inputs!$B$4:$B$381,0),MATCH(Data!$C15,F_Inputs!$G$2:$T$2,0))</f>
        <v>0</v>
      </c>
      <c r="L15" s="139">
        <f t="array" ref="L15">INDEX(F_Inputs!$G$4:$T$381,MATCH(Data!$B15&amp;Data!L$6,F_Inputs!$A$4:$A$381&amp;F_Inputs!$B$4:$B$381,0),MATCH(Data!$C15,F_Inputs!$G$2:$T$2,0))</f>
        <v>-2E-3</v>
      </c>
      <c r="N15" s="139">
        <f t="array" ref="N15">INDEX(F_Inputs!$G$4:$T$381,MATCH(Data!$B15&amp;Data!N$6,F_Inputs!$A$4:$A$381&amp;F_Inputs!$B$4:$B$381,0),MATCH(Data!$C15,F_Inputs!$G$2:$T$2,0))</f>
        <v>442.69812680176102</v>
      </c>
      <c r="P15" s="139">
        <f t="array" ref="P15">INDEX(F_Inputs!$G$4:$T$381,MATCH(Data!$B15&amp;Data!P$6,F_Inputs!$A$4:$A$381&amp;F_Inputs!$B$4:$B$381,0),MATCH(Data!$C15,F_Inputs!$G$2:$T$2,0))</f>
        <v>0</v>
      </c>
      <c r="Q15" s="139">
        <f t="array" ref="Q15">INDEX(F_Inputs!$G$4:$T$381,MATCH(Data!$B15&amp;Data!Q$6,F_Inputs!$A$4:$A$381&amp;F_Inputs!$B$4:$B$381,0),MATCH(Data!$C15,F_Inputs!$G$2:$T$2,0))</f>
        <v>0</v>
      </c>
      <c r="R15" s="139">
        <f t="array" ref="R15">INDEX(F_Inputs!$G$4:$T$381,MATCH(Data!$B15&amp;Data!R$6,F_Inputs!$A$4:$A$381&amp;F_Inputs!$B$4:$B$381,0),MATCH(Data!$C15,F_Inputs!$G$2:$T$2,0))</f>
        <v>8.27</v>
      </c>
      <c r="S15" s="139">
        <f t="array" ref="S15">INDEX(F_Inputs!$G$4:$T$381,MATCH(Data!$B15&amp;Data!S$6,F_Inputs!$A$4:$A$381&amp;F_Inputs!$B$4:$B$381,0),MATCH(Data!$C15,F_Inputs!$G$2:$T$2,0))</f>
        <v>8.01</v>
      </c>
      <c r="U15" s="139">
        <f t="array" ref="U15">INDEX(F_Inputs!$G$4:$T$381,MATCH(Data!$B15&amp;Data!U$6,F_Inputs!$A$4:$A$381&amp;F_Inputs!$B$4:$B$381,0),MATCH(Data!$C15,F_Inputs!$G$2:$T$2,0))</f>
        <v>177</v>
      </c>
      <c r="V15" s="139">
        <f t="array" ref="V15">INDEX(F_Inputs!$G$4:$T$381,MATCH(Data!$B15&amp;Data!V$6,F_Inputs!$A$4:$A$381&amp;F_Inputs!$B$4:$B$381,0),MATCH(Data!$C15,F_Inputs!$G$2:$T$2,0))</f>
        <v>38631</v>
      </c>
      <c r="W15" s="139">
        <f t="array" ref="W15">INDEX(F_Inputs!$G$4:$T$381,MATCH(Data!$B15&amp;Data!W$6,F_Inputs!$A$4:$A$381&amp;F_Inputs!$B$4:$B$381,0),MATCH(Data!$C15,F_Inputs!$G$2:$T$2,0))</f>
        <v>2215.0169999999998</v>
      </c>
    </row>
    <row r="16" spans="1:24" x14ac:dyDescent="0.2">
      <c r="A16" s="141" t="s">
        <v>136</v>
      </c>
      <c r="B16" s="142" t="s">
        <v>26</v>
      </c>
      <c r="C16" s="142" t="s">
        <v>72</v>
      </c>
      <c r="D16" s="139">
        <f t="array" ref="D16">INDEX(F_Inputs!$G$4:$T$381,MATCH(Data!$B16&amp;Data!D$6,F_Inputs!$A$4:$A$381&amp;F_Inputs!$B$4:$B$381,0),MATCH(Data!$C16,F_Inputs!$G$2:$T$2,0))</f>
        <v>0</v>
      </c>
      <c r="E16" s="139">
        <f t="array" ref="E16">INDEX(F_Inputs!$G$4:$T$381,MATCH(Data!$B16&amp;Data!E$6,F_Inputs!$A$4:$A$381&amp;F_Inputs!$B$4:$B$381,0),MATCH(Data!$C16,F_Inputs!$G$2:$T$2,0))</f>
        <v>3.6456205121672798</v>
      </c>
      <c r="F16" s="139">
        <f t="array" ref="F16">INDEX(F_Inputs!$G$4:$T$381,MATCH(Data!$B16&amp;Data!F$6,F_Inputs!$A$4:$A$381&amp;F_Inputs!$B$4:$B$381,0),MATCH(Data!$C16,F_Inputs!$G$2:$T$2,0))</f>
        <v>0</v>
      </c>
      <c r="G16" s="139">
        <f t="array" ref="G16">INDEX(F_Inputs!$G$4:$T$381,MATCH(Data!$B16&amp;Data!G$6,F_Inputs!$A$4:$A$381&amp;F_Inputs!$B$4:$B$381,0),MATCH(Data!$C16,F_Inputs!$G$2:$T$2,0))</f>
        <v>5.2975763358263297</v>
      </c>
      <c r="I16" s="139">
        <f t="array" ref="I16">INDEX(F_Inputs!$G$4:$T$381,MATCH(Data!$B16&amp;Data!I$6,F_Inputs!$A$4:$A$381&amp;F_Inputs!$B$4:$B$381,0),MATCH(Data!$C16,F_Inputs!$G$2:$T$2,0))</f>
        <v>0</v>
      </c>
      <c r="J16" s="139">
        <f t="array" ref="J16">INDEX(F_Inputs!$G$4:$T$381,MATCH(Data!$B16&amp;Data!J$6,F_Inputs!$A$4:$A$381&amp;F_Inputs!$B$4:$B$381,0),MATCH(Data!$C16,F_Inputs!$G$2:$T$2,0))</f>
        <v>0.29699999999999999</v>
      </c>
      <c r="K16" s="139">
        <f t="array" ref="K16">INDEX(F_Inputs!$G$4:$T$381,MATCH(Data!$B16&amp;Data!K$6,F_Inputs!$A$4:$A$381&amp;F_Inputs!$B$4:$B$381,0),MATCH(Data!$C16,F_Inputs!$G$2:$T$2,0))</f>
        <v>0</v>
      </c>
      <c r="L16" s="139">
        <f t="array" ref="L16">INDEX(F_Inputs!$G$4:$T$381,MATCH(Data!$B16&amp;Data!L$6,F_Inputs!$A$4:$A$381&amp;F_Inputs!$B$4:$B$381,0),MATCH(Data!$C16,F_Inputs!$G$2:$T$2,0))</f>
        <v>0.17799999999999999</v>
      </c>
      <c r="N16" s="139">
        <f t="array" ref="N16">INDEX(F_Inputs!$G$4:$T$381,MATCH(Data!$B16&amp;Data!N$6,F_Inputs!$A$4:$A$381&amp;F_Inputs!$B$4:$B$381,0),MATCH(Data!$C16,F_Inputs!$G$2:$T$2,0))</f>
        <v>397.85288087360601</v>
      </c>
      <c r="P16" s="139">
        <f t="array" ref="P16">INDEX(F_Inputs!$G$4:$T$381,MATCH(Data!$B16&amp;Data!P$6,F_Inputs!$A$4:$A$381&amp;F_Inputs!$B$4:$B$381,0),MATCH(Data!$C16,F_Inputs!$G$2:$T$2,0))</f>
        <v>0</v>
      </c>
      <c r="Q16" s="139">
        <f t="array" ref="Q16">INDEX(F_Inputs!$G$4:$T$381,MATCH(Data!$B16&amp;Data!Q$6,F_Inputs!$A$4:$A$381&amp;F_Inputs!$B$4:$B$381,0),MATCH(Data!$C16,F_Inputs!$G$2:$T$2,0))</f>
        <v>0</v>
      </c>
      <c r="R16" s="139">
        <f t="array" ref="R16">INDEX(F_Inputs!$G$4:$T$381,MATCH(Data!$B16&amp;Data!R$6,F_Inputs!$A$4:$A$381&amp;F_Inputs!$B$4:$B$381,0),MATCH(Data!$C16,F_Inputs!$G$2:$T$2,0))</f>
        <v>7.48</v>
      </c>
      <c r="S16" s="139">
        <f t="array" ref="S16">INDEX(F_Inputs!$G$4:$T$381,MATCH(Data!$B16&amp;Data!S$6,F_Inputs!$A$4:$A$381&amp;F_Inputs!$B$4:$B$381,0),MATCH(Data!$C16,F_Inputs!$G$2:$T$2,0))</f>
        <v>7.22</v>
      </c>
      <c r="U16" s="139">
        <f t="array" ref="U16">INDEX(F_Inputs!$G$4:$T$381,MATCH(Data!$B16&amp;Data!U$6,F_Inputs!$A$4:$A$381&amp;F_Inputs!$B$4:$B$381,0),MATCH(Data!$C16,F_Inputs!$G$2:$T$2,0))</f>
        <v>172</v>
      </c>
      <c r="V16" s="139">
        <f t="array" ref="V16">INDEX(F_Inputs!$G$4:$T$381,MATCH(Data!$B16&amp;Data!V$6,F_Inputs!$A$4:$A$381&amp;F_Inputs!$B$4:$B$381,0),MATCH(Data!$C16,F_Inputs!$G$2:$T$2,0))</f>
        <v>38853</v>
      </c>
      <c r="W16" s="139">
        <f t="array" ref="W16">INDEX(F_Inputs!$G$4:$T$381,MATCH(Data!$B16&amp;Data!W$6,F_Inputs!$A$4:$A$381&amp;F_Inputs!$B$4:$B$381,0),MATCH(Data!$C16,F_Inputs!$G$2:$T$2,0))</f>
        <v>2238.029</v>
      </c>
    </row>
    <row r="17" spans="1:23" x14ac:dyDescent="0.2">
      <c r="A17" s="141" t="s">
        <v>137</v>
      </c>
      <c r="B17" s="142" t="s">
        <v>26</v>
      </c>
      <c r="C17" s="142" t="s">
        <v>73</v>
      </c>
      <c r="D17" s="139">
        <f t="array" ref="D17">INDEX(F_Inputs!$G$4:$T$381,MATCH(Data!$B17&amp;Data!D$6,F_Inputs!$A$4:$A$381&amp;F_Inputs!$B$4:$B$381,0),MATCH(Data!$C17,F_Inputs!$G$2:$T$2,0))</f>
        <v>0</v>
      </c>
      <c r="E17" s="139">
        <f t="array" ref="E17">INDEX(F_Inputs!$G$4:$T$381,MATCH(Data!$B17&amp;Data!E$6,F_Inputs!$A$4:$A$381&amp;F_Inputs!$B$4:$B$381,0),MATCH(Data!$C17,F_Inputs!$G$2:$T$2,0))</f>
        <v>14.1784522994057</v>
      </c>
      <c r="F17" s="139">
        <f t="array" ref="F17">INDEX(F_Inputs!$G$4:$T$381,MATCH(Data!$B17&amp;Data!F$6,F_Inputs!$A$4:$A$381&amp;F_Inputs!$B$4:$B$381,0),MATCH(Data!$C17,F_Inputs!$G$2:$T$2,0))</f>
        <v>0</v>
      </c>
      <c r="G17" s="139">
        <f t="array" ref="G17">INDEX(F_Inputs!$G$4:$T$381,MATCH(Data!$B17&amp;Data!G$6,F_Inputs!$A$4:$A$381&amp;F_Inputs!$B$4:$B$381,0),MATCH(Data!$C17,F_Inputs!$G$2:$T$2,0))</f>
        <v>34.686573502437</v>
      </c>
      <c r="I17" s="139">
        <f t="array" ref="I17">INDEX(F_Inputs!$G$4:$T$381,MATCH(Data!$B17&amp;Data!I$6,F_Inputs!$A$4:$A$381&amp;F_Inputs!$B$4:$B$381,0),MATCH(Data!$C17,F_Inputs!$G$2:$T$2,0))</f>
        <v>0</v>
      </c>
      <c r="J17" s="139">
        <f t="array" ref="J17">INDEX(F_Inputs!$G$4:$T$381,MATCH(Data!$B17&amp;Data!J$6,F_Inputs!$A$4:$A$381&amp;F_Inputs!$B$4:$B$381,0),MATCH(Data!$C17,F_Inputs!$G$2:$T$2,0))</f>
        <v>1.97234821647926E-2</v>
      </c>
      <c r="K17" s="139">
        <f t="array" ref="K17">INDEX(F_Inputs!$G$4:$T$381,MATCH(Data!$B17&amp;Data!K$6,F_Inputs!$A$4:$A$381&amp;F_Inputs!$B$4:$B$381,0),MATCH(Data!$C17,F_Inputs!$G$2:$T$2,0))</f>
        <v>0</v>
      </c>
      <c r="L17" s="139">
        <f t="array" ref="L17">INDEX(F_Inputs!$G$4:$T$381,MATCH(Data!$B17&amp;Data!L$6,F_Inputs!$A$4:$A$381&amp;F_Inputs!$B$4:$B$381,0),MATCH(Data!$C17,F_Inputs!$G$2:$T$2,0))</f>
        <v>21.126960090133601</v>
      </c>
      <c r="N17" s="139">
        <f t="array" ref="N17">INDEX(F_Inputs!$G$4:$T$381,MATCH(Data!$B17&amp;Data!N$6,F_Inputs!$A$4:$A$381&amp;F_Inputs!$B$4:$B$381,0),MATCH(Data!$C17,F_Inputs!$G$2:$T$2,0))</f>
        <v>494.85374044481301</v>
      </c>
      <c r="P17" s="139">
        <f t="array" ref="P17">INDEX(F_Inputs!$G$4:$T$381,MATCH(Data!$B17&amp;Data!P$6,F_Inputs!$A$4:$A$381&amp;F_Inputs!$B$4:$B$381,0),MATCH(Data!$C17,F_Inputs!$G$2:$T$2,0))</f>
        <v>0</v>
      </c>
      <c r="Q17" s="139">
        <f t="array" ref="Q17">INDEX(F_Inputs!$G$4:$T$381,MATCH(Data!$B17&amp;Data!Q$6,F_Inputs!$A$4:$A$381&amp;F_Inputs!$B$4:$B$381,0),MATCH(Data!$C17,F_Inputs!$G$2:$T$2,0))</f>
        <v>0</v>
      </c>
      <c r="R17" s="139">
        <f t="array" ref="R17">INDEX(F_Inputs!$G$4:$T$381,MATCH(Data!$B17&amp;Data!R$6,F_Inputs!$A$4:$A$381&amp;F_Inputs!$B$4:$B$381,0),MATCH(Data!$C17,F_Inputs!$G$2:$T$2,0))</f>
        <v>11.62</v>
      </c>
      <c r="S17" s="139">
        <f t="array" ref="S17">INDEX(F_Inputs!$G$4:$T$381,MATCH(Data!$B17&amp;Data!S$6,F_Inputs!$A$4:$A$381&amp;F_Inputs!$B$4:$B$381,0),MATCH(Data!$C17,F_Inputs!$G$2:$T$2,0))</f>
        <v>11.55</v>
      </c>
      <c r="U17" s="139">
        <f t="array" ref="U17">INDEX(F_Inputs!$G$4:$T$381,MATCH(Data!$B17&amp;Data!U$6,F_Inputs!$A$4:$A$381&amp;F_Inputs!$B$4:$B$381,0),MATCH(Data!$C17,F_Inputs!$G$2:$T$2,0))</f>
        <v>170.11</v>
      </c>
      <c r="V17" s="139">
        <f t="array" ref="V17">INDEX(F_Inputs!$G$4:$T$381,MATCH(Data!$B17&amp;Data!V$6,F_Inputs!$A$4:$A$381&amp;F_Inputs!$B$4:$B$381,0),MATCH(Data!$C17,F_Inputs!$G$2:$T$2,0))</f>
        <v>39072</v>
      </c>
      <c r="W17" s="139">
        <f t="array" ref="W17">INDEX(F_Inputs!$G$4:$T$381,MATCH(Data!$B17&amp;Data!W$6,F_Inputs!$A$4:$A$381&amp;F_Inputs!$B$4:$B$381,0),MATCH(Data!$C17,F_Inputs!$G$2:$T$2,0))</f>
        <v>2270.2710000000002</v>
      </c>
    </row>
    <row r="18" spans="1:23" x14ac:dyDescent="0.2">
      <c r="A18" s="141" t="s">
        <v>138</v>
      </c>
      <c r="B18" s="142" t="s">
        <v>26</v>
      </c>
      <c r="C18" s="142" t="s">
        <v>74</v>
      </c>
      <c r="D18" s="139">
        <f t="array" ref="D18">INDEX(F_Inputs!$G$4:$T$381,MATCH(Data!$B18&amp;Data!D$6,F_Inputs!$A$4:$A$381&amp;F_Inputs!$B$4:$B$381,0),MATCH(Data!$C18,F_Inputs!$G$2:$T$2,0))</f>
        <v>0</v>
      </c>
      <c r="E18" s="139">
        <f t="array" ref="E18">INDEX(F_Inputs!$G$4:$T$381,MATCH(Data!$B18&amp;Data!E$6,F_Inputs!$A$4:$A$381&amp;F_Inputs!$B$4:$B$381,0),MATCH(Data!$C18,F_Inputs!$G$2:$T$2,0))</f>
        <v>19.173708420703498</v>
      </c>
      <c r="F18" s="139">
        <f t="array" ref="F18">INDEX(F_Inputs!$G$4:$T$381,MATCH(Data!$B18&amp;Data!F$6,F_Inputs!$A$4:$A$381&amp;F_Inputs!$B$4:$B$381,0),MATCH(Data!$C18,F_Inputs!$G$2:$T$2,0))</f>
        <v>0</v>
      </c>
      <c r="G18" s="139">
        <f t="array" ref="G18">INDEX(F_Inputs!$G$4:$T$381,MATCH(Data!$B18&amp;Data!G$6,F_Inputs!$A$4:$A$381&amp;F_Inputs!$B$4:$B$381,0),MATCH(Data!$C18,F_Inputs!$G$2:$T$2,0))</f>
        <v>33.892515316799297</v>
      </c>
      <c r="I18" s="139">
        <f t="array" ref="I18">INDEX(F_Inputs!$G$4:$T$381,MATCH(Data!$B18&amp;Data!I$6,F_Inputs!$A$4:$A$381&amp;F_Inputs!$B$4:$B$381,0),MATCH(Data!$C18,F_Inputs!$G$2:$T$2,0))</f>
        <v>0</v>
      </c>
      <c r="J18" s="139">
        <f t="array" ref="J18">INDEX(F_Inputs!$G$4:$T$381,MATCH(Data!$B18&amp;Data!J$6,F_Inputs!$A$4:$A$381&amp;F_Inputs!$B$4:$B$381,0),MATCH(Data!$C18,F_Inputs!$G$2:$T$2,0))</f>
        <v>0.15331519304492899</v>
      </c>
      <c r="K18" s="139">
        <f t="array" ref="K18">INDEX(F_Inputs!$G$4:$T$381,MATCH(Data!$B18&amp;Data!K$6,F_Inputs!$A$4:$A$381&amp;F_Inputs!$B$4:$B$381,0),MATCH(Data!$C18,F_Inputs!$G$2:$T$2,0))</f>
        <v>0</v>
      </c>
      <c r="L18" s="139">
        <f t="array" ref="L18">INDEX(F_Inputs!$G$4:$T$381,MATCH(Data!$B18&amp;Data!L$6,F_Inputs!$A$4:$A$381&amp;F_Inputs!$B$4:$B$381,0),MATCH(Data!$C18,F_Inputs!$G$2:$T$2,0))</f>
        <v>9.1697011855126096</v>
      </c>
      <c r="N18" s="139">
        <f t="array" ref="N18">INDEX(F_Inputs!$G$4:$T$381,MATCH(Data!$B18&amp;Data!N$6,F_Inputs!$A$4:$A$381&amp;F_Inputs!$B$4:$B$381,0),MATCH(Data!$C18,F_Inputs!$G$2:$T$2,0))</f>
        <v>569.16259337172301</v>
      </c>
      <c r="P18" s="139">
        <f t="array" ref="P18">INDEX(F_Inputs!$G$4:$T$381,MATCH(Data!$B18&amp;Data!P$6,F_Inputs!$A$4:$A$381&amp;F_Inputs!$B$4:$B$381,0),MATCH(Data!$C18,F_Inputs!$G$2:$T$2,0))</f>
        <v>0</v>
      </c>
      <c r="Q18" s="139">
        <f t="array" ref="Q18">INDEX(F_Inputs!$G$4:$T$381,MATCH(Data!$B18&amp;Data!Q$6,F_Inputs!$A$4:$A$381&amp;F_Inputs!$B$4:$B$381,0),MATCH(Data!$C18,F_Inputs!$G$2:$T$2,0))</f>
        <v>0</v>
      </c>
      <c r="R18" s="139">
        <f t="array" ref="R18">INDEX(F_Inputs!$G$4:$T$381,MATCH(Data!$B18&amp;Data!R$6,F_Inputs!$A$4:$A$381&amp;F_Inputs!$B$4:$B$381,0),MATCH(Data!$C18,F_Inputs!$G$2:$T$2,0))</f>
        <v>10.95</v>
      </c>
      <c r="S18" s="139">
        <f t="array" ref="S18">INDEX(F_Inputs!$G$4:$T$381,MATCH(Data!$B18&amp;Data!S$6,F_Inputs!$A$4:$A$381&amp;F_Inputs!$B$4:$B$381,0),MATCH(Data!$C18,F_Inputs!$G$2:$T$2,0))</f>
        <v>10.88</v>
      </c>
      <c r="U18" s="139">
        <f t="array" ref="U18">INDEX(F_Inputs!$G$4:$T$381,MATCH(Data!$B18&amp;Data!U$6,F_Inputs!$A$4:$A$381&amp;F_Inputs!$B$4:$B$381,0),MATCH(Data!$C18,F_Inputs!$G$2:$T$2,0))</f>
        <v>163.44</v>
      </c>
      <c r="V18" s="139">
        <f t="array" ref="V18">INDEX(F_Inputs!$G$4:$T$381,MATCH(Data!$B18&amp;Data!V$6,F_Inputs!$A$4:$A$381&amp;F_Inputs!$B$4:$B$381,0),MATCH(Data!$C18,F_Inputs!$G$2:$T$2,0))</f>
        <v>39272</v>
      </c>
      <c r="W18" s="139">
        <f t="array" ref="W18">INDEX(F_Inputs!$G$4:$T$381,MATCH(Data!$B18&amp;Data!W$6,F_Inputs!$A$4:$A$381&amp;F_Inputs!$B$4:$B$381,0),MATCH(Data!$C18,F_Inputs!$G$2:$T$2,0))</f>
        <v>2306.3470000000002</v>
      </c>
    </row>
    <row r="19" spans="1:23" x14ac:dyDescent="0.2">
      <c r="A19" s="141" t="s">
        <v>139</v>
      </c>
      <c r="B19" s="142" t="s">
        <v>26</v>
      </c>
      <c r="C19" s="142" t="s">
        <v>75</v>
      </c>
      <c r="D19" s="139">
        <f t="array" ref="D19">INDEX(F_Inputs!$G$4:$T$381,MATCH(Data!$B19&amp;Data!D$6,F_Inputs!$A$4:$A$381&amp;F_Inputs!$B$4:$B$381,0),MATCH(Data!$C19,F_Inputs!$G$2:$T$2,0))</f>
        <v>0</v>
      </c>
      <c r="E19" s="139">
        <f t="array" ref="E19">INDEX(F_Inputs!$G$4:$T$381,MATCH(Data!$B19&amp;Data!E$6,F_Inputs!$A$4:$A$381&amp;F_Inputs!$B$4:$B$381,0),MATCH(Data!$C19,F_Inputs!$G$2:$T$2,0))</f>
        <v>15.326033726755499</v>
      </c>
      <c r="F19" s="139">
        <f t="array" ref="F19">INDEX(F_Inputs!$G$4:$T$381,MATCH(Data!$B19&amp;Data!F$6,F_Inputs!$A$4:$A$381&amp;F_Inputs!$B$4:$B$381,0),MATCH(Data!$C19,F_Inputs!$G$2:$T$2,0))</f>
        <v>0</v>
      </c>
      <c r="G19" s="139">
        <f t="array" ref="G19">INDEX(F_Inputs!$G$4:$T$381,MATCH(Data!$B19&amp;Data!G$6,F_Inputs!$A$4:$A$381&amp;F_Inputs!$B$4:$B$381,0),MATCH(Data!$C19,F_Inputs!$G$2:$T$2,0))</f>
        <v>34.909085327522</v>
      </c>
      <c r="I19" s="139">
        <f t="array" ref="I19">INDEX(F_Inputs!$G$4:$T$381,MATCH(Data!$B19&amp;Data!I$6,F_Inputs!$A$4:$A$381&amp;F_Inputs!$B$4:$B$381,0),MATCH(Data!$C19,F_Inputs!$G$2:$T$2,0))</f>
        <v>0</v>
      </c>
      <c r="J19" s="139">
        <f t="array" ref="J19">INDEX(F_Inputs!$G$4:$T$381,MATCH(Data!$B19&amp;Data!J$6,F_Inputs!$A$4:$A$381&amp;F_Inputs!$B$4:$B$381,0),MATCH(Data!$C19,F_Inputs!$G$2:$T$2,0))</f>
        <v>0.26482995826276401</v>
      </c>
      <c r="K19" s="139">
        <f t="array" ref="K19">INDEX(F_Inputs!$G$4:$T$381,MATCH(Data!$B19&amp;Data!K$6,F_Inputs!$A$4:$A$381&amp;F_Inputs!$B$4:$B$381,0),MATCH(Data!$C19,F_Inputs!$G$2:$T$2,0))</f>
        <v>0</v>
      </c>
      <c r="L19" s="139">
        <f t="array" ref="L19">INDEX(F_Inputs!$G$4:$T$381,MATCH(Data!$B19&amp;Data!L$6,F_Inputs!$A$4:$A$381&amp;F_Inputs!$B$4:$B$381,0),MATCH(Data!$C19,F_Inputs!$G$2:$T$2,0))</f>
        <v>11.3713438938855</v>
      </c>
      <c r="N19" s="139">
        <f t="array" ref="N19">INDEX(F_Inputs!$G$4:$T$381,MATCH(Data!$B19&amp;Data!N$6,F_Inputs!$A$4:$A$381&amp;F_Inputs!$B$4:$B$381,0),MATCH(Data!$C19,F_Inputs!$G$2:$T$2,0))</f>
        <v>614.48320862741195</v>
      </c>
      <c r="P19" s="139">
        <f t="array" ref="P19">INDEX(F_Inputs!$G$4:$T$381,MATCH(Data!$B19&amp;Data!P$6,F_Inputs!$A$4:$A$381&amp;F_Inputs!$B$4:$B$381,0),MATCH(Data!$C19,F_Inputs!$G$2:$T$2,0))</f>
        <v>0</v>
      </c>
      <c r="Q19" s="139">
        <f t="array" ref="Q19">INDEX(F_Inputs!$G$4:$T$381,MATCH(Data!$B19&amp;Data!Q$6,F_Inputs!$A$4:$A$381&amp;F_Inputs!$B$4:$B$381,0),MATCH(Data!$C19,F_Inputs!$G$2:$T$2,0))</f>
        <v>0</v>
      </c>
      <c r="R19" s="139">
        <f t="array" ref="R19">INDEX(F_Inputs!$G$4:$T$381,MATCH(Data!$B19&amp;Data!R$6,F_Inputs!$A$4:$A$381&amp;F_Inputs!$B$4:$B$381,0),MATCH(Data!$C19,F_Inputs!$G$2:$T$2,0))</f>
        <v>11.64</v>
      </c>
      <c r="S19" s="139">
        <f t="array" ref="S19">INDEX(F_Inputs!$G$4:$T$381,MATCH(Data!$B19&amp;Data!S$6,F_Inputs!$A$4:$A$381&amp;F_Inputs!$B$4:$B$381,0),MATCH(Data!$C19,F_Inputs!$G$2:$T$2,0))</f>
        <v>11.56</v>
      </c>
      <c r="U19" s="139">
        <f t="array" ref="U19">INDEX(F_Inputs!$G$4:$T$381,MATCH(Data!$B19&amp;Data!U$6,F_Inputs!$A$4:$A$381&amp;F_Inputs!$B$4:$B$381,0),MATCH(Data!$C19,F_Inputs!$G$2:$T$2,0))</f>
        <v>156.29</v>
      </c>
      <c r="V19" s="139">
        <f t="array" ref="V19">INDEX(F_Inputs!$G$4:$T$381,MATCH(Data!$B19&amp;Data!V$6,F_Inputs!$A$4:$A$381&amp;F_Inputs!$B$4:$B$381,0),MATCH(Data!$C19,F_Inputs!$G$2:$T$2,0))</f>
        <v>39449</v>
      </c>
      <c r="W19" s="139">
        <f t="array" ref="W19">INDEX(F_Inputs!$G$4:$T$381,MATCH(Data!$B19&amp;Data!W$6,F_Inputs!$A$4:$A$381&amp;F_Inputs!$B$4:$B$381,0),MATCH(Data!$C19,F_Inputs!$G$2:$T$2,0))</f>
        <v>2344.165</v>
      </c>
    </row>
    <row r="20" spans="1:23" x14ac:dyDescent="0.2">
      <c r="A20" s="141" t="s">
        <v>140</v>
      </c>
      <c r="B20" s="142" t="s">
        <v>26</v>
      </c>
      <c r="C20" s="142" t="s">
        <v>76</v>
      </c>
      <c r="D20" s="139">
        <f t="array" ref="D20">INDEX(F_Inputs!$G$4:$T$381,MATCH(Data!$B20&amp;Data!D$6,F_Inputs!$A$4:$A$381&amp;F_Inputs!$B$4:$B$381,0),MATCH(Data!$C20,F_Inputs!$G$2:$T$2,0))</f>
        <v>0</v>
      </c>
      <c r="E20" s="139">
        <f t="array" ref="E20">INDEX(F_Inputs!$G$4:$T$381,MATCH(Data!$B20&amp;Data!E$6,F_Inputs!$A$4:$A$381&amp;F_Inputs!$B$4:$B$381,0),MATCH(Data!$C20,F_Inputs!$G$2:$T$2,0))</f>
        <v>13.7260553434726</v>
      </c>
      <c r="F20" s="139">
        <f t="array" ref="F20">INDEX(F_Inputs!$G$4:$T$381,MATCH(Data!$B20&amp;Data!F$6,F_Inputs!$A$4:$A$381&amp;F_Inputs!$B$4:$B$381,0),MATCH(Data!$C20,F_Inputs!$G$2:$T$2,0))</f>
        <v>0</v>
      </c>
      <c r="G20" s="139">
        <f t="array" ref="G20">INDEX(F_Inputs!$G$4:$T$381,MATCH(Data!$B20&amp;Data!G$6,F_Inputs!$A$4:$A$381&amp;F_Inputs!$B$4:$B$381,0),MATCH(Data!$C20,F_Inputs!$G$2:$T$2,0))</f>
        <v>34.011746273884498</v>
      </c>
      <c r="I20" s="139">
        <f t="array" ref="I20">INDEX(F_Inputs!$G$4:$T$381,MATCH(Data!$B20&amp;Data!I$6,F_Inputs!$A$4:$A$381&amp;F_Inputs!$B$4:$B$381,0),MATCH(Data!$C20,F_Inputs!$G$2:$T$2,0))</f>
        <v>0</v>
      </c>
      <c r="J20" s="139">
        <f t="array" ref="J20">INDEX(F_Inputs!$G$4:$T$381,MATCH(Data!$B20&amp;Data!J$6,F_Inputs!$A$4:$A$381&amp;F_Inputs!$B$4:$B$381,0),MATCH(Data!$C20,F_Inputs!$G$2:$T$2,0))</f>
        <v>0.30753104823482202</v>
      </c>
      <c r="K20" s="139">
        <f t="array" ref="K20">INDEX(F_Inputs!$G$4:$T$381,MATCH(Data!$B20&amp;Data!K$6,F_Inputs!$A$4:$A$381&amp;F_Inputs!$B$4:$B$381,0),MATCH(Data!$C20,F_Inputs!$G$2:$T$2,0))</f>
        <v>0</v>
      </c>
      <c r="L20" s="139">
        <f t="array" ref="L20">INDEX(F_Inputs!$G$4:$T$381,MATCH(Data!$B20&amp;Data!L$6,F_Inputs!$A$4:$A$381&amp;F_Inputs!$B$4:$B$381,0),MATCH(Data!$C20,F_Inputs!$G$2:$T$2,0))</f>
        <v>13.619360354646</v>
      </c>
      <c r="N20" s="139">
        <f t="array" ref="N20">INDEX(F_Inputs!$G$4:$T$381,MATCH(Data!$B20&amp;Data!N$6,F_Inputs!$A$4:$A$381&amp;F_Inputs!$B$4:$B$381,0),MATCH(Data!$C20,F_Inputs!$G$2:$T$2,0))</f>
        <v>601.17395098778002</v>
      </c>
      <c r="P20" s="139">
        <f t="array" ref="P20">INDEX(F_Inputs!$G$4:$T$381,MATCH(Data!$B20&amp;Data!P$6,F_Inputs!$A$4:$A$381&amp;F_Inputs!$B$4:$B$381,0),MATCH(Data!$C20,F_Inputs!$G$2:$T$2,0))</f>
        <v>0</v>
      </c>
      <c r="Q20" s="139">
        <f t="array" ref="Q20">INDEX(F_Inputs!$G$4:$T$381,MATCH(Data!$B20&amp;Data!Q$6,F_Inputs!$A$4:$A$381&amp;F_Inputs!$B$4:$B$381,0),MATCH(Data!$C20,F_Inputs!$G$2:$T$2,0))</f>
        <v>0</v>
      </c>
      <c r="R20" s="139">
        <f t="array" ref="R20">INDEX(F_Inputs!$G$4:$T$381,MATCH(Data!$B20&amp;Data!R$6,F_Inputs!$A$4:$A$381&amp;F_Inputs!$B$4:$B$381,0),MATCH(Data!$C20,F_Inputs!$G$2:$T$2,0))</f>
        <v>11.67</v>
      </c>
      <c r="S20" s="139">
        <f t="array" ref="S20">INDEX(F_Inputs!$G$4:$T$381,MATCH(Data!$B20&amp;Data!S$6,F_Inputs!$A$4:$A$381&amp;F_Inputs!$B$4:$B$381,0),MATCH(Data!$C20,F_Inputs!$G$2:$T$2,0))</f>
        <v>11.46</v>
      </c>
      <c r="U20" s="139">
        <f t="array" ref="U20">INDEX(F_Inputs!$G$4:$T$381,MATCH(Data!$B20&amp;Data!U$6,F_Inputs!$A$4:$A$381&amp;F_Inputs!$B$4:$B$381,0),MATCH(Data!$C20,F_Inputs!$G$2:$T$2,0))</f>
        <v>149.15</v>
      </c>
      <c r="V20" s="139">
        <f t="array" ref="V20">INDEX(F_Inputs!$G$4:$T$381,MATCH(Data!$B20&amp;Data!V$6,F_Inputs!$A$4:$A$381&amp;F_Inputs!$B$4:$B$381,0),MATCH(Data!$C20,F_Inputs!$G$2:$T$2,0))</f>
        <v>39619</v>
      </c>
      <c r="W20" s="139">
        <f t="array" ref="W20">INDEX(F_Inputs!$G$4:$T$381,MATCH(Data!$B20&amp;Data!W$6,F_Inputs!$A$4:$A$381&amp;F_Inputs!$B$4:$B$381,0),MATCH(Data!$C20,F_Inputs!$G$2:$T$2,0))</f>
        <v>2381.817</v>
      </c>
    </row>
    <row r="21" spans="1:23" x14ac:dyDescent="0.2">
      <c r="A21" s="141" t="s">
        <v>141</v>
      </c>
      <c r="B21" s="142" t="s">
        <v>26</v>
      </c>
      <c r="C21" s="142" t="s">
        <v>24</v>
      </c>
      <c r="D21" s="139">
        <f t="array" ref="D21">INDEX(F_Inputs!$G$4:$T$381,MATCH(Data!$B21&amp;Data!D$6,F_Inputs!$A$4:$A$381&amp;F_Inputs!$B$4:$B$381,0),MATCH(Data!$C21,F_Inputs!$G$2:$T$2,0))</f>
        <v>0</v>
      </c>
      <c r="E21" s="139">
        <f t="array" ref="E21">INDEX(F_Inputs!$G$4:$T$381,MATCH(Data!$B21&amp;Data!E$6,F_Inputs!$A$4:$A$381&amp;F_Inputs!$B$4:$B$381,0),MATCH(Data!$C21,F_Inputs!$G$2:$T$2,0))</f>
        <v>12.211413637733999</v>
      </c>
      <c r="F21" s="139">
        <f t="array" ref="F21">INDEX(F_Inputs!$G$4:$T$381,MATCH(Data!$B21&amp;Data!F$6,F_Inputs!$A$4:$A$381&amp;F_Inputs!$B$4:$B$381,0),MATCH(Data!$C21,F_Inputs!$G$2:$T$2,0))</f>
        <v>0</v>
      </c>
      <c r="G21" s="139">
        <f t="array" ref="G21">INDEX(F_Inputs!$G$4:$T$381,MATCH(Data!$B21&amp;Data!G$6,F_Inputs!$A$4:$A$381&amp;F_Inputs!$B$4:$B$381,0),MATCH(Data!$C21,F_Inputs!$G$2:$T$2,0))</f>
        <v>31.494375880399001</v>
      </c>
      <c r="I21" s="139">
        <f t="array" ref="I21">INDEX(F_Inputs!$G$4:$T$381,MATCH(Data!$B21&amp;Data!I$6,F_Inputs!$A$4:$A$381&amp;F_Inputs!$B$4:$B$381,0),MATCH(Data!$C21,F_Inputs!$G$2:$T$2,0))</f>
        <v>0</v>
      </c>
      <c r="J21" s="139">
        <f t="array" ref="J21">INDEX(F_Inputs!$G$4:$T$381,MATCH(Data!$B21&amp;Data!J$6,F_Inputs!$A$4:$A$381&amp;F_Inputs!$B$4:$B$381,0),MATCH(Data!$C21,F_Inputs!$G$2:$T$2,0))</f>
        <v>0.347805521051682</v>
      </c>
      <c r="K21" s="139">
        <f t="array" ref="K21">INDEX(F_Inputs!$G$4:$T$381,MATCH(Data!$B21&amp;Data!K$6,F_Inputs!$A$4:$A$381&amp;F_Inputs!$B$4:$B$381,0),MATCH(Data!$C21,F_Inputs!$G$2:$T$2,0))</f>
        <v>0</v>
      </c>
      <c r="L21" s="139">
        <f t="array" ref="L21">INDEX(F_Inputs!$G$4:$T$381,MATCH(Data!$B21&amp;Data!L$6,F_Inputs!$A$4:$A$381&amp;F_Inputs!$B$4:$B$381,0),MATCH(Data!$C21,F_Inputs!$G$2:$T$2,0))</f>
        <v>14.325490464258801</v>
      </c>
      <c r="N21" s="139">
        <f t="array" ref="N21">INDEX(F_Inputs!$G$4:$T$381,MATCH(Data!$B21&amp;Data!N$6,F_Inputs!$A$4:$A$381&amp;F_Inputs!$B$4:$B$381,0),MATCH(Data!$C21,F_Inputs!$G$2:$T$2,0))</f>
        <v>466.57209895656399</v>
      </c>
      <c r="P21" s="139">
        <f t="array" ref="P21">INDEX(F_Inputs!$G$4:$T$381,MATCH(Data!$B21&amp;Data!P$6,F_Inputs!$A$4:$A$381&amp;F_Inputs!$B$4:$B$381,0),MATCH(Data!$C21,F_Inputs!$G$2:$T$2,0))</f>
        <v>6</v>
      </c>
      <c r="Q21" s="139">
        <f t="array" ref="Q21">INDEX(F_Inputs!$G$4:$T$381,MATCH(Data!$B21&amp;Data!Q$6,F_Inputs!$A$4:$A$381&amp;F_Inputs!$B$4:$B$381,0),MATCH(Data!$C21,F_Inputs!$G$2:$T$2,0))</f>
        <v>6</v>
      </c>
      <c r="R21" s="139">
        <f t="array" ref="R21">INDEX(F_Inputs!$G$4:$T$381,MATCH(Data!$B21&amp;Data!R$6,F_Inputs!$A$4:$A$381&amp;F_Inputs!$B$4:$B$381,0),MATCH(Data!$C21,F_Inputs!$G$2:$T$2,0))</f>
        <v>10.37</v>
      </c>
      <c r="S21" s="139">
        <f t="array" ref="S21">INDEX(F_Inputs!$G$4:$T$381,MATCH(Data!$B21&amp;Data!S$6,F_Inputs!$A$4:$A$381&amp;F_Inputs!$B$4:$B$381,0),MATCH(Data!$C21,F_Inputs!$G$2:$T$2,0))</f>
        <v>10.3</v>
      </c>
      <c r="U21" s="139">
        <f t="array" ref="U21">INDEX(F_Inputs!$G$4:$T$381,MATCH(Data!$B21&amp;Data!U$6,F_Inputs!$A$4:$A$381&amp;F_Inputs!$B$4:$B$381,0),MATCH(Data!$C21,F_Inputs!$G$2:$T$2,0))</f>
        <v>142.24</v>
      </c>
      <c r="V21" s="139">
        <f t="array" ref="V21">INDEX(F_Inputs!$G$4:$T$381,MATCH(Data!$B21&amp;Data!V$6,F_Inputs!$A$4:$A$381&amp;F_Inputs!$B$4:$B$381,0),MATCH(Data!$C21,F_Inputs!$G$2:$T$2,0))</f>
        <v>40161</v>
      </c>
      <c r="W21" s="139">
        <f t="array" ref="W21">INDEX(F_Inputs!$G$4:$T$381,MATCH(Data!$B21&amp;Data!W$6,F_Inputs!$A$4:$A$381&amp;F_Inputs!$B$4:$B$381,0),MATCH(Data!$C21,F_Inputs!$G$2:$T$2,0))</f>
        <v>2416.46</v>
      </c>
    </row>
    <row r="22" spans="1:23" x14ac:dyDescent="0.2">
      <c r="A22" s="138" t="str">
        <f t="shared" si="0"/>
        <v>NES12</v>
      </c>
      <c r="B22" s="19" t="s">
        <v>28</v>
      </c>
      <c r="C22" s="143" t="s">
        <v>64</v>
      </c>
      <c r="D22" s="139">
        <f t="array" ref="D22">INDEX(F_Inputs!$G$4:$T$381,MATCH(Data!$B22&amp;Data!D$6,F_Inputs!$A$4:$A$381&amp;F_Inputs!$B$4:$B$381,0),MATCH(Data!$C22,F_Inputs!$G$2:$T$2,0))</f>
        <v>0</v>
      </c>
      <c r="E22" s="139">
        <f t="array" ref="E22">INDEX(F_Inputs!$G$4:$T$381,MATCH(Data!$B22&amp;Data!E$6,F_Inputs!$A$4:$A$381&amp;F_Inputs!$B$4:$B$381,0),MATCH(Data!$C22,F_Inputs!$G$2:$T$2,0))</f>
        <v>54.646479278960797</v>
      </c>
      <c r="F22" s="139">
        <f t="array" ref="F22">INDEX(F_Inputs!$G$4:$T$381,MATCH(Data!$B22&amp;Data!F$6,F_Inputs!$A$4:$A$381&amp;F_Inputs!$B$4:$B$381,0),MATCH(Data!$C22,F_Inputs!$G$2:$T$2,0))</f>
        <v>0</v>
      </c>
      <c r="G22" s="139">
        <f t="array" ref="G22">INDEX(F_Inputs!$G$4:$T$381,MATCH(Data!$B22&amp;Data!G$6,F_Inputs!$A$4:$A$381&amp;F_Inputs!$B$4:$B$381,0),MATCH(Data!$C22,F_Inputs!$G$2:$T$2,0))</f>
        <v>0.66745816028982896</v>
      </c>
      <c r="I22" s="139">
        <f t="array" ref="I22">INDEX(F_Inputs!$G$4:$T$381,MATCH(Data!$B22&amp;Data!I$6,F_Inputs!$A$4:$A$381&amp;F_Inputs!$B$4:$B$381,0),MATCH(Data!$C22,F_Inputs!$G$2:$T$2,0))</f>
        <v>0</v>
      </c>
      <c r="J22" s="139">
        <f t="array" ref="J22">INDEX(F_Inputs!$G$4:$T$381,MATCH(Data!$B22&amp;Data!J$6,F_Inputs!$A$4:$A$381&amp;F_Inputs!$B$4:$B$381,0),MATCH(Data!$C22,F_Inputs!$G$2:$T$2,0))</f>
        <v>0</v>
      </c>
      <c r="K22" s="139">
        <f t="array" ref="K22">INDEX(F_Inputs!$G$4:$T$381,MATCH(Data!$B22&amp;Data!K$6,F_Inputs!$A$4:$A$381&amp;F_Inputs!$B$4:$B$381,0),MATCH(Data!$C22,F_Inputs!$G$2:$T$2,0))</f>
        <v>0</v>
      </c>
      <c r="L22" s="139">
        <f t="array" ref="L22">INDEX(F_Inputs!$G$4:$T$381,MATCH(Data!$B22&amp;Data!L$6,F_Inputs!$A$4:$A$381&amp;F_Inputs!$B$4:$B$381,0),MATCH(Data!$C22,F_Inputs!$G$2:$T$2,0))</f>
        <v>0</v>
      </c>
      <c r="N22" s="139">
        <f t="array" ref="N22">INDEX(F_Inputs!$G$4:$T$381,MATCH(Data!$B22&amp;Data!N$6,F_Inputs!$A$4:$A$381&amp;F_Inputs!$B$4:$B$381,0),MATCH(Data!$C22,F_Inputs!$G$2:$T$2,0))</f>
        <v>334.73689776442501</v>
      </c>
      <c r="P22" s="139">
        <f t="array" ref="P22">INDEX(F_Inputs!$G$4:$T$381,MATCH(Data!$B22&amp;Data!P$6,F_Inputs!$A$4:$A$381&amp;F_Inputs!$B$4:$B$381,0),MATCH(Data!$C22,F_Inputs!$G$2:$T$2,0))</f>
        <v>0</v>
      </c>
      <c r="Q22" s="139">
        <f t="array" ref="Q22">INDEX(F_Inputs!$G$4:$T$381,MATCH(Data!$B22&amp;Data!Q$6,F_Inputs!$A$4:$A$381&amp;F_Inputs!$B$4:$B$381,0),MATCH(Data!$C22,F_Inputs!$G$2:$T$2,0))</f>
        <v>0</v>
      </c>
      <c r="R22" s="139">
        <f t="array" ref="R22">INDEX(F_Inputs!$G$4:$T$381,MATCH(Data!$B22&amp;Data!R$6,F_Inputs!$A$4:$A$381&amp;F_Inputs!$B$4:$B$381,0),MATCH(Data!$C22,F_Inputs!$G$2:$T$2,0))</f>
        <v>0</v>
      </c>
      <c r="S22" s="139">
        <f t="array" ref="S22">INDEX(F_Inputs!$G$4:$T$381,MATCH(Data!$B22&amp;Data!S$6,F_Inputs!$A$4:$A$381&amp;F_Inputs!$B$4:$B$381,0),MATCH(Data!$C22,F_Inputs!$G$2:$T$2,0))</f>
        <v>0</v>
      </c>
      <c r="U22" s="139">
        <f t="array" ref="U22">INDEX(F_Inputs!$G$4:$T$381,MATCH(Data!$B22&amp;Data!U$6,F_Inputs!$A$4:$A$381&amp;F_Inputs!$B$4:$B$381,0),MATCH(Data!$C22,F_Inputs!$G$2:$T$2,0))</f>
        <v>0</v>
      </c>
      <c r="V22" s="139">
        <f t="array" ref="V22">INDEX(F_Inputs!$G$4:$T$381,MATCH(Data!$B22&amp;Data!V$6,F_Inputs!$A$4:$A$381&amp;F_Inputs!$B$4:$B$381,0),MATCH(Data!$C22,F_Inputs!$G$2:$T$2,0))</f>
        <v>0</v>
      </c>
      <c r="W22" s="139">
        <f t="array" ref="W22">INDEX(F_Inputs!$G$4:$T$381,MATCH(Data!$B22&amp;Data!W$6,F_Inputs!$A$4:$A$381&amp;F_Inputs!$B$4:$B$381,0),MATCH(Data!$C22,F_Inputs!$G$2:$T$2,0))</f>
        <v>0</v>
      </c>
    </row>
    <row r="23" spans="1:23" x14ac:dyDescent="0.2">
      <c r="A23" s="138" t="str">
        <f>B23&amp;RIGHT(C23,2)</f>
        <v>NES13</v>
      </c>
      <c r="B23" s="19" t="s">
        <v>28</v>
      </c>
      <c r="C23" s="143" t="s">
        <v>65</v>
      </c>
      <c r="D23" s="139">
        <f t="array" ref="D23">INDEX(F_Inputs!$G$4:$T$381,MATCH(Data!$B23&amp;Data!D$6,F_Inputs!$A$4:$A$381&amp;F_Inputs!$B$4:$B$381,0),MATCH(Data!$C23,F_Inputs!$G$2:$T$2,0))</f>
        <v>0</v>
      </c>
      <c r="E23" s="139">
        <f t="array" ref="E23">INDEX(F_Inputs!$G$4:$T$381,MATCH(Data!$B23&amp;Data!E$6,F_Inputs!$A$4:$A$381&amp;F_Inputs!$B$4:$B$381,0),MATCH(Data!$C23,F_Inputs!$G$2:$T$2,0))</f>
        <v>18.428815703192399</v>
      </c>
      <c r="F23" s="139">
        <f t="array" ref="F23">INDEX(F_Inputs!$G$4:$T$381,MATCH(Data!$B23&amp;Data!F$6,F_Inputs!$A$4:$A$381&amp;F_Inputs!$B$4:$B$381,0),MATCH(Data!$C23,F_Inputs!$G$2:$T$2,0))</f>
        <v>0</v>
      </c>
      <c r="G23" s="139">
        <f t="array" ref="G23">INDEX(F_Inputs!$G$4:$T$381,MATCH(Data!$B23&amp;Data!G$6,F_Inputs!$A$4:$A$381&amp;F_Inputs!$B$4:$B$381,0),MATCH(Data!$C23,F_Inputs!$G$2:$T$2,0))</f>
        <v>1.01644969801553</v>
      </c>
      <c r="I23" s="139">
        <f t="array" ref="I23">INDEX(F_Inputs!$G$4:$T$381,MATCH(Data!$B23&amp;Data!I$6,F_Inputs!$A$4:$A$381&amp;F_Inputs!$B$4:$B$381,0),MATCH(Data!$C23,F_Inputs!$G$2:$T$2,0))</f>
        <v>0</v>
      </c>
      <c r="J23" s="139">
        <f t="array" ref="J23">INDEX(F_Inputs!$G$4:$T$381,MATCH(Data!$B23&amp;Data!J$6,F_Inputs!$A$4:$A$381&amp;F_Inputs!$B$4:$B$381,0),MATCH(Data!$C23,F_Inputs!$G$2:$T$2,0))</f>
        <v>0</v>
      </c>
      <c r="K23" s="139">
        <f t="array" ref="K23">INDEX(F_Inputs!$G$4:$T$381,MATCH(Data!$B23&amp;Data!K$6,F_Inputs!$A$4:$A$381&amp;F_Inputs!$B$4:$B$381,0),MATCH(Data!$C23,F_Inputs!$G$2:$T$2,0))</f>
        <v>0</v>
      </c>
      <c r="L23" s="139">
        <f t="array" ref="L23">INDEX(F_Inputs!$G$4:$T$381,MATCH(Data!$B23&amp;Data!L$6,F_Inputs!$A$4:$A$381&amp;F_Inputs!$B$4:$B$381,0),MATCH(Data!$C23,F_Inputs!$G$2:$T$2,0))</f>
        <v>0</v>
      </c>
      <c r="N23" s="139">
        <f t="array" ref="N23">INDEX(F_Inputs!$G$4:$T$381,MATCH(Data!$B23&amp;Data!N$6,F_Inputs!$A$4:$A$381&amp;F_Inputs!$B$4:$B$381,0),MATCH(Data!$C23,F_Inputs!$G$2:$T$2,0))</f>
        <v>301.21224331320099</v>
      </c>
      <c r="P23" s="139">
        <f t="array" ref="P23">INDEX(F_Inputs!$G$4:$T$381,MATCH(Data!$B23&amp;Data!P$6,F_Inputs!$A$4:$A$381&amp;F_Inputs!$B$4:$B$381,0),MATCH(Data!$C23,F_Inputs!$G$2:$T$2,0))</f>
        <v>0</v>
      </c>
      <c r="Q23" s="139">
        <f t="array" ref="Q23">INDEX(F_Inputs!$G$4:$T$381,MATCH(Data!$B23&amp;Data!Q$6,F_Inputs!$A$4:$A$381&amp;F_Inputs!$B$4:$B$381,0),MATCH(Data!$C23,F_Inputs!$G$2:$T$2,0))</f>
        <v>0</v>
      </c>
      <c r="R23" s="139">
        <f t="array" ref="R23">INDEX(F_Inputs!$G$4:$T$381,MATCH(Data!$B23&amp;Data!R$6,F_Inputs!$A$4:$A$381&amp;F_Inputs!$B$4:$B$381,0),MATCH(Data!$C23,F_Inputs!$G$2:$T$2,0))</f>
        <v>0</v>
      </c>
      <c r="S23" s="139">
        <f t="array" ref="S23">INDEX(F_Inputs!$G$4:$T$381,MATCH(Data!$B23&amp;Data!S$6,F_Inputs!$A$4:$A$381&amp;F_Inputs!$B$4:$B$381,0),MATCH(Data!$C23,F_Inputs!$G$2:$T$2,0))</f>
        <v>0</v>
      </c>
      <c r="U23" s="139">
        <f t="array" ref="U23">INDEX(F_Inputs!$G$4:$T$381,MATCH(Data!$B23&amp;Data!U$6,F_Inputs!$A$4:$A$381&amp;F_Inputs!$B$4:$B$381,0),MATCH(Data!$C23,F_Inputs!$G$2:$T$2,0))</f>
        <v>0</v>
      </c>
      <c r="V23" s="139">
        <f t="array" ref="V23">INDEX(F_Inputs!$G$4:$T$381,MATCH(Data!$B23&amp;Data!V$6,F_Inputs!$A$4:$A$381&amp;F_Inputs!$B$4:$B$381,0),MATCH(Data!$C23,F_Inputs!$G$2:$T$2,0))</f>
        <v>0</v>
      </c>
      <c r="W23" s="139">
        <f t="array" ref="W23">INDEX(F_Inputs!$G$4:$T$381,MATCH(Data!$B23&amp;Data!W$6,F_Inputs!$A$4:$A$381&amp;F_Inputs!$B$4:$B$381,0),MATCH(Data!$C23,F_Inputs!$G$2:$T$2,0))</f>
        <v>0</v>
      </c>
    </row>
    <row r="24" spans="1:23" x14ac:dyDescent="0.2">
      <c r="A24" s="138" t="str">
        <f>B24&amp;RIGHT(C24,2)</f>
        <v>NES14</v>
      </c>
      <c r="B24" s="19" t="s">
        <v>28</v>
      </c>
      <c r="C24" s="143" t="s">
        <v>66</v>
      </c>
      <c r="D24" s="139">
        <f t="array" ref="D24">INDEX(F_Inputs!$G$4:$T$381,MATCH(Data!$B24&amp;Data!D$6,F_Inputs!$A$4:$A$381&amp;F_Inputs!$B$4:$B$381,0),MATCH(Data!$C24,F_Inputs!$G$2:$T$2,0))</f>
        <v>0</v>
      </c>
      <c r="E24" s="139">
        <f t="array" ref="E24">INDEX(F_Inputs!$G$4:$T$381,MATCH(Data!$B24&amp;Data!E$6,F_Inputs!$A$4:$A$381&amp;F_Inputs!$B$4:$B$381,0),MATCH(Data!$C24,F_Inputs!$G$2:$T$2,0))</f>
        <v>5.9168853955375198</v>
      </c>
      <c r="F24" s="139">
        <f t="array" ref="F24">INDEX(F_Inputs!$G$4:$T$381,MATCH(Data!$B24&amp;Data!F$6,F_Inputs!$A$4:$A$381&amp;F_Inputs!$B$4:$B$381,0),MATCH(Data!$C24,F_Inputs!$G$2:$T$2,0))</f>
        <v>0</v>
      </c>
      <c r="G24" s="139">
        <f t="array" ref="G24">INDEX(F_Inputs!$G$4:$T$381,MATCH(Data!$B24&amp;Data!G$6,F_Inputs!$A$4:$A$381&amp;F_Inputs!$B$4:$B$381,0),MATCH(Data!$C24,F_Inputs!$G$2:$T$2,0))</f>
        <v>1.2683569979716E-2</v>
      </c>
      <c r="I24" s="139">
        <f t="array" ref="I24">INDEX(F_Inputs!$G$4:$T$381,MATCH(Data!$B24&amp;Data!I$6,F_Inputs!$A$4:$A$381&amp;F_Inputs!$B$4:$B$381,0),MATCH(Data!$C24,F_Inputs!$G$2:$T$2,0))</f>
        <v>0</v>
      </c>
      <c r="J24" s="139">
        <f t="array" ref="J24">INDEX(F_Inputs!$G$4:$T$381,MATCH(Data!$B24&amp;Data!J$6,F_Inputs!$A$4:$A$381&amp;F_Inputs!$B$4:$B$381,0),MATCH(Data!$C24,F_Inputs!$G$2:$T$2,0))</f>
        <v>0</v>
      </c>
      <c r="K24" s="139">
        <f t="array" ref="K24">INDEX(F_Inputs!$G$4:$T$381,MATCH(Data!$B24&amp;Data!K$6,F_Inputs!$A$4:$A$381&amp;F_Inputs!$B$4:$B$381,0),MATCH(Data!$C24,F_Inputs!$G$2:$T$2,0))</f>
        <v>0</v>
      </c>
      <c r="L24" s="139">
        <f t="array" ref="L24">INDEX(F_Inputs!$G$4:$T$381,MATCH(Data!$B24&amp;Data!L$6,F_Inputs!$A$4:$A$381&amp;F_Inputs!$B$4:$B$381,0),MATCH(Data!$C24,F_Inputs!$G$2:$T$2,0))</f>
        <v>0</v>
      </c>
      <c r="N24" s="139">
        <f t="array" ref="N24">INDEX(F_Inputs!$G$4:$T$381,MATCH(Data!$B24&amp;Data!N$6,F_Inputs!$A$4:$A$381&amp;F_Inputs!$B$4:$B$381,0),MATCH(Data!$C24,F_Inputs!$G$2:$T$2,0))</f>
        <v>287.30822718052701</v>
      </c>
      <c r="P24" s="139">
        <f t="array" ref="P24">INDEX(F_Inputs!$G$4:$T$381,MATCH(Data!$B24&amp;Data!P$6,F_Inputs!$A$4:$A$381&amp;F_Inputs!$B$4:$B$381,0),MATCH(Data!$C24,F_Inputs!$G$2:$T$2,0))</f>
        <v>0</v>
      </c>
      <c r="Q24" s="139">
        <f t="array" ref="Q24">INDEX(F_Inputs!$G$4:$T$381,MATCH(Data!$B24&amp;Data!Q$6,F_Inputs!$A$4:$A$381&amp;F_Inputs!$B$4:$B$381,0),MATCH(Data!$C24,F_Inputs!$G$2:$T$2,0))</f>
        <v>0</v>
      </c>
      <c r="R24" s="139">
        <f t="array" ref="R24">INDEX(F_Inputs!$G$4:$T$381,MATCH(Data!$B24&amp;Data!R$6,F_Inputs!$A$4:$A$381&amp;F_Inputs!$B$4:$B$381,0),MATCH(Data!$C24,F_Inputs!$G$2:$T$2,0))</f>
        <v>0</v>
      </c>
      <c r="S24" s="139">
        <f t="array" ref="S24">INDEX(F_Inputs!$G$4:$T$381,MATCH(Data!$B24&amp;Data!S$6,F_Inputs!$A$4:$A$381&amp;F_Inputs!$B$4:$B$381,0),MATCH(Data!$C24,F_Inputs!$G$2:$T$2,0))</f>
        <v>0</v>
      </c>
      <c r="U24" s="139">
        <f t="array" ref="U24">INDEX(F_Inputs!$G$4:$T$381,MATCH(Data!$B24&amp;Data!U$6,F_Inputs!$A$4:$A$381&amp;F_Inputs!$B$4:$B$381,0),MATCH(Data!$C24,F_Inputs!$G$2:$T$2,0))</f>
        <v>0</v>
      </c>
      <c r="V24" s="139">
        <f t="array" ref="V24">INDEX(F_Inputs!$G$4:$T$381,MATCH(Data!$B24&amp;Data!V$6,F_Inputs!$A$4:$A$381&amp;F_Inputs!$B$4:$B$381,0),MATCH(Data!$C24,F_Inputs!$G$2:$T$2,0))</f>
        <v>0</v>
      </c>
      <c r="W24" s="139">
        <f t="array" ref="W24">INDEX(F_Inputs!$G$4:$T$381,MATCH(Data!$B24&amp;Data!W$6,F_Inputs!$A$4:$A$381&amp;F_Inputs!$B$4:$B$381,0),MATCH(Data!$C24,F_Inputs!$G$2:$T$2,0))</f>
        <v>0</v>
      </c>
    </row>
    <row r="25" spans="1:23" x14ac:dyDescent="0.2">
      <c r="A25" s="138" t="str">
        <f>B25&amp;RIGHT(C25,2)</f>
        <v>NES15</v>
      </c>
      <c r="B25" s="19" t="s">
        <v>28</v>
      </c>
      <c r="C25" s="143" t="s">
        <v>67</v>
      </c>
      <c r="D25" s="139">
        <f t="array" ref="D25">INDEX(F_Inputs!$G$4:$T$381,MATCH(Data!$B25&amp;Data!D$6,F_Inputs!$A$4:$A$381&amp;F_Inputs!$B$4:$B$381,0),MATCH(Data!$C25,F_Inputs!$G$2:$T$2,0))</f>
        <v>0</v>
      </c>
      <c r="E25" s="139">
        <f t="array" ref="E25">INDEX(F_Inputs!$G$4:$T$381,MATCH(Data!$B25&amp;Data!E$6,F_Inputs!$A$4:$A$381&amp;F_Inputs!$B$4:$B$381,0),MATCH(Data!$C25,F_Inputs!$G$2:$T$2,0))</f>
        <v>7.2996080889111701</v>
      </c>
      <c r="F25" s="139">
        <f t="array" ref="F25">INDEX(F_Inputs!$G$4:$T$381,MATCH(Data!$B25&amp;Data!F$6,F_Inputs!$A$4:$A$381&amp;F_Inputs!$B$4:$B$381,0),MATCH(Data!$C25,F_Inputs!$G$2:$T$2,0))</f>
        <v>0</v>
      </c>
      <c r="G25" s="139">
        <f t="array" ref="G25">INDEX(F_Inputs!$G$4:$T$381,MATCH(Data!$B25&amp;Data!G$6,F_Inputs!$A$4:$A$381&amp;F_Inputs!$B$4:$B$381,0),MATCH(Data!$C25,F_Inputs!$G$2:$T$2,0))</f>
        <v>0</v>
      </c>
      <c r="I25" s="139">
        <f t="array" ref="I25">INDEX(F_Inputs!$G$4:$T$381,MATCH(Data!$B25&amp;Data!I$6,F_Inputs!$A$4:$A$381&amp;F_Inputs!$B$4:$B$381,0),MATCH(Data!$C25,F_Inputs!$G$2:$T$2,0))</f>
        <v>0</v>
      </c>
      <c r="J25" s="139">
        <f t="array" ref="J25">INDEX(F_Inputs!$G$4:$T$381,MATCH(Data!$B25&amp;Data!J$6,F_Inputs!$A$4:$A$381&amp;F_Inputs!$B$4:$B$381,0),MATCH(Data!$C25,F_Inputs!$G$2:$T$2,0))</f>
        <v>0</v>
      </c>
      <c r="K25" s="139">
        <f t="array" ref="K25">INDEX(F_Inputs!$G$4:$T$381,MATCH(Data!$B25&amp;Data!K$6,F_Inputs!$A$4:$A$381&amp;F_Inputs!$B$4:$B$381,0),MATCH(Data!$C25,F_Inputs!$G$2:$T$2,0))</f>
        <v>0</v>
      </c>
      <c r="L25" s="139">
        <f t="array" ref="L25">INDEX(F_Inputs!$G$4:$T$381,MATCH(Data!$B25&amp;Data!L$6,F_Inputs!$A$4:$A$381&amp;F_Inputs!$B$4:$B$381,0),MATCH(Data!$C25,F_Inputs!$G$2:$T$2,0))</f>
        <v>0</v>
      </c>
      <c r="N25" s="139">
        <f t="array" ref="N25">INDEX(F_Inputs!$G$4:$T$381,MATCH(Data!$B25&amp;Data!N$6,F_Inputs!$A$4:$A$381&amp;F_Inputs!$B$4:$B$381,0),MATCH(Data!$C25,F_Inputs!$G$2:$T$2,0))</f>
        <v>277.251347459199</v>
      </c>
      <c r="P25" s="139">
        <f t="array" ref="P25">INDEX(F_Inputs!$G$4:$T$381,MATCH(Data!$B25&amp;Data!P$6,F_Inputs!$A$4:$A$381&amp;F_Inputs!$B$4:$B$381,0),MATCH(Data!$C25,F_Inputs!$G$2:$T$2,0))</f>
        <v>0</v>
      </c>
      <c r="Q25" s="139">
        <f t="array" ref="Q25">INDEX(F_Inputs!$G$4:$T$381,MATCH(Data!$B25&amp;Data!Q$6,F_Inputs!$A$4:$A$381&amp;F_Inputs!$B$4:$B$381,0),MATCH(Data!$C25,F_Inputs!$G$2:$T$2,0))</f>
        <v>0</v>
      </c>
      <c r="R25" s="139">
        <f t="array" ref="R25">INDEX(F_Inputs!$G$4:$T$381,MATCH(Data!$B25&amp;Data!R$6,F_Inputs!$A$4:$A$381&amp;F_Inputs!$B$4:$B$381,0),MATCH(Data!$C25,F_Inputs!$G$2:$T$2,0))</f>
        <v>0</v>
      </c>
      <c r="S25" s="139">
        <f t="array" ref="S25">INDEX(F_Inputs!$G$4:$T$381,MATCH(Data!$B25&amp;Data!S$6,F_Inputs!$A$4:$A$381&amp;F_Inputs!$B$4:$B$381,0),MATCH(Data!$C25,F_Inputs!$G$2:$T$2,0))</f>
        <v>0</v>
      </c>
      <c r="U25" s="139">
        <f t="array" ref="U25">INDEX(F_Inputs!$G$4:$T$381,MATCH(Data!$B25&amp;Data!U$6,F_Inputs!$A$4:$A$381&amp;F_Inputs!$B$4:$B$381,0),MATCH(Data!$C25,F_Inputs!$G$2:$T$2,0))</f>
        <v>0</v>
      </c>
      <c r="V25" s="139">
        <f t="array" ref="V25">INDEX(F_Inputs!$G$4:$T$381,MATCH(Data!$B25&amp;Data!V$6,F_Inputs!$A$4:$A$381&amp;F_Inputs!$B$4:$B$381,0),MATCH(Data!$C25,F_Inputs!$G$2:$T$2,0))</f>
        <v>0</v>
      </c>
      <c r="W25" s="139">
        <f t="array" ref="W25">INDEX(F_Inputs!$G$4:$T$381,MATCH(Data!$B25&amp;Data!W$6,F_Inputs!$A$4:$A$381&amp;F_Inputs!$B$4:$B$381,0),MATCH(Data!$C25,F_Inputs!$G$2:$T$2,0))</f>
        <v>0</v>
      </c>
    </row>
    <row r="26" spans="1:23" x14ac:dyDescent="0.2">
      <c r="A26" s="138" t="str">
        <f>B26&amp;RIGHT(C26,2)</f>
        <v>NES16</v>
      </c>
      <c r="B26" s="19" t="s">
        <v>28</v>
      </c>
      <c r="C26" s="143" t="s">
        <v>68</v>
      </c>
      <c r="D26" s="139">
        <f t="array" ref="D26">INDEX(F_Inputs!$G$4:$T$381,MATCH(Data!$B26&amp;Data!D$6,F_Inputs!$A$4:$A$381&amp;F_Inputs!$B$4:$B$381,0),MATCH(Data!$C26,F_Inputs!$G$2:$T$2,0))</f>
        <v>0</v>
      </c>
      <c r="E26" s="139">
        <f t="array" ref="E26">INDEX(F_Inputs!$G$4:$T$381,MATCH(Data!$B26&amp;Data!E$6,F_Inputs!$A$4:$A$381&amp;F_Inputs!$B$4:$B$381,0),MATCH(Data!$C26,F_Inputs!$G$2:$T$2,0))</f>
        <v>1.1694462562396</v>
      </c>
      <c r="F26" s="139">
        <f t="array" ref="F26">INDEX(F_Inputs!$G$4:$T$381,MATCH(Data!$B26&amp;Data!F$6,F_Inputs!$A$4:$A$381&amp;F_Inputs!$B$4:$B$381,0),MATCH(Data!$C26,F_Inputs!$G$2:$T$2,0))</f>
        <v>0</v>
      </c>
      <c r="G26" s="139">
        <f t="array" ref="G26">INDEX(F_Inputs!$G$4:$T$381,MATCH(Data!$B26&amp;Data!G$6,F_Inputs!$A$4:$A$381&amp;F_Inputs!$B$4:$B$381,0),MATCH(Data!$C26,F_Inputs!$G$2:$T$2,0))</f>
        <v>0</v>
      </c>
      <c r="I26" s="139">
        <f t="array" ref="I26">INDEX(F_Inputs!$G$4:$T$381,MATCH(Data!$B26&amp;Data!I$6,F_Inputs!$A$4:$A$381&amp;F_Inputs!$B$4:$B$381,0),MATCH(Data!$C26,F_Inputs!$G$2:$T$2,0))</f>
        <v>0</v>
      </c>
      <c r="J26" s="139">
        <f t="array" ref="J26">INDEX(F_Inputs!$G$4:$T$381,MATCH(Data!$B26&amp;Data!J$6,F_Inputs!$A$4:$A$381&amp;F_Inputs!$B$4:$B$381,0),MATCH(Data!$C26,F_Inputs!$G$2:$T$2,0))</f>
        <v>0</v>
      </c>
      <c r="K26" s="139">
        <f t="array" ref="K26">INDEX(F_Inputs!$G$4:$T$381,MATCH(Data!$B26&amp;Data!K$6,F_Inputs!$A$4:$A$381&amp;F_Inputs!$B$4:$B$381,0),MATCH(Data!$C26,F_Inputs!$G$2:$T$2,0))</f>
        <v>0</v>
      </c>
      <c r="L26" s="139">
        <f t="array" ref="L26">INDEX(F_Inputs!$G$4:$T$381,MATCH(Data!$B26&amp;Data!L$6,F_Inputs!$A$4:$A$381&amp;F_Inputs!$B$4:$B$381,0),MATCH(Data!$C26,F_Inputs!$G$2:$T$2,0))</f>
        <v>0</v>
      </c>
      <c r="N26" s="139">
        <f t="array" ref="N26">INDEX(F_Inputs!$G$4:$T$381,MATCH(Data!$B26&amp;Data!N$6,F_Inputs!$A$4:$A$381&amp;F_Inputs!$B$4:$B$381,0),MATCH(Data!$C26,F_Inputs!$G$2:$T$2,0))</f>
        <v>291.508409317803</v>
      </c>
      <c r="P26" s="139">
        <f t="array" ref="P26">INDEX(F_Inputs!$G$4:$T$381,MATCH(Data!$B26&amp;Data!P$6,F_Inputs!$A$4:$A$381&amp;F_Inputs!$B$4:$B$381,0),MATCH(Data!$C26,F_Inputs!$G$2:$T$2,0))</f>
        <v>0</v>
      </c>
      <c r="Q26" s="139">
        <f t="array" ref="Q26">INDEX(F_Inputs!$G$4:$T$381,MATCH(Data!$B26&amp;Data!Q$6,F_Inputs!$A$4:$A$381&amp;F_Inputs!$B$4:$B$381,0),MATCH(Data!$C26,F_Inputs!$G$2:$T$2,0))</f>
        <v>0</v>
      </c>
      <c r="R26" s="139">
        <f t="array" ref="R26">INDEX(F_Inputs!$G$4:$T$381,MATCH(Data!$B26&amp;Data!R$6,F_Inputs!$A$4:$A$381&amp;F_Inputs!$B$4:$B$381,0),MATCH(Data!$C26,F_Inputs!$G$2:$T$2,0))</f>
        <v>0</v>
      </c>
      <c r="S26" s="139">
        <f t="array" ref="S26">INDEX(F_Inputs!$G$4:$T$381,MATCH(Data!$B26&amp;Data!S$6,F_Inputs!$A$4:$A$381&amp;F_Inputs!$B$4:$B$381,0),MATCH(Data!$C26,F_Inputs!$G$2:$T$2,0))</f>
        <v>0</v>
      </c>
      <c r="U26" s="139">
        <f t="array" ref="U26">INDEX(F_Inputs!$G$4:$T$381,MATCH(Data!$B26&amp;Data!U$6,F_Inputs!$A$4:$A$381&amp;F_Inputs!$B$4:$B$381,0),MATCH(Data!$C26,F_Inputs!$G$2:$T$2,0))</f>
        <v>0</v>
      </c>
      <c r="V26" s="139">
        <f t="array" ref="V26">INDEX(F_Inputs!$G$4:$T$381,MATCH(Data!$B26&amp;Data!V$6,F_Inputs!$A$4:$A$381&amp;F_Inputs!$B$4:$B$381,0),MATCH(Data!$C26,F_Inputs!$G$2:$T$2,0))</f>
        <v>0</v>
      </c>
      <c r="W26" s="139">
        <f t="array" ref="W26">INDEX(F_Inputs!$G$4:$T$381,MATCH(Data!$B26&amp;Data!W$6,F_Inputs!$A$4:$A$381&amp;F_Inputs!$B$4:$B$381,0),MATCH(Data!$C26,F_Inputs!$G$2:$T$2,0))</f>
        <v>0</v>
      </c>
    </row>
    <row r="27" spans="1:23" x14ac:dyDescent="0.2">
      <c r="A27" s="138" t="str">
        <f>B27&amp;RIGHT(C27,2)</f>
        <v>NES17</v>
      </c>
      <c r="B27" s="19" t="s">
        <v>28</v>
      </c>
      <c r="C27" s="143" t="s">
        <v>69</v>
      </c>
      <c r="D27" s="139">
        <f t="array" ref="D27">INDEX(F_Inputs!$G$4:$T$381,MATCH(Data!$B27&amp;Data!D$6,F_Inputs!$A$4:$A$381&amp;F_Inputs!$B$4:$B$381,0),MATCH(Data!$C27,F_Inputs!$G$2:$T$2,0))</f>
        <v>0</v>
      </c>
      <c r="E27" s="139">
        <f t="array" ref="E27">INDEX(F_Inputs!$G$4:$T$381,MATCH(Data!$B27&amp;Data!E$6,F_Inputs!$A$4:$A$381&amp;F_Inputs!$B$4:$B$381,0),MATCH(Data!$C27,F_Inputs!$G$2:$T$2,0))</f>
        <v>0.32843003693065198</v>
      </c>
      <c r="F27" s="139">
        <f t="array" ref="F27">INDEX(F_Inputs!$G$4:$T$381,MATCH(Data!$B27&amp;Data!F$6,F_Inputs!$A$4:$A$381&amp;F_Inputs!$B$4:$B$381,0),MATCH(Data!$C27,F_Inputs!$G$2:$T$2,0))</f>
        <v>0</v>
      </c>
      <c r="G27" s="139">
        <f t="array" ref="G27">INDEX(F_Inputs!$G$4:$T$381,MATCH(Data!$B27&amp;Data!G$6,F_Inputs!$A$4:$A$381&amp;F_Inputs!$B$4:$B$381,0),MATCH(Data!$C27,F_Inputs!$G$2:$T$2,0))</f>
        <v>0</v>
      </c>
      <c r="I27" s="139">
        <f t="array" ref="I27">INDEX(F_Inputs!$G$4:$T$381,MATCH(Data!$B27&amp;Data!I$6,F_Inputs!$A$4:$A$381&amp;F_Inputs!$B$4:$B$381,0),MATCH(Data!$C27,F_Inputs!$G$2:$T$2,0))</f>
        <v>0</v>
      </c>
      <c r="J27" s="139">
        <f t="array" ref="J27">INDEX(F_Inputs!$G$4:$T$381,MATCH(Data!$B27&amp;Data!J$6,F_Inputs!$A$4:$A$381&amp;F_Inputs!$B$4:$B$381,0),MATCH(Data!$C27,F_Inputs!$G$2:$T$2,0))</f>
        <v>0</v>
      </c>
      <c r="K27" s="139">
        <f t="array" ref="K27">INDEX(F_Inputs!$G$4:$T$381,MATCH(Data!$B27&amp;Data!K$6,F_Inputs!$A$4:$A$381&amp;F_Inputs!$B$4:$B$381,0),MATCH(Data!$C27,F_Inputs!$G$2:$T$2,0))</f>
        <v>0</v>
      </c>
      <c r="L27" s="139">
        <f t="array" ref="L27">INDEX(F_Inputs!$G$4:$T$381,MATCH(Data!$B27&amp;Data!L$6,F_Inputs!$A$4:$A$381&amp;F_Inputs!$B$4:$B$381,0),MATCH(Data!$C27,F_Inputs!$G$2:$T$2,0))</f>
        <v>0</v>
      </c>
      <c r="N27" s="139">
        <f t="array" ref="N27">INDEX(F_Inputs!$G$4:$T$381,MATCH(Data!$B27&amp;Data!N$6,F_Inputs!$A$4:$A$381&amp;F_Inputs!$B$4:$B$381,0),MATCH(Data!$C27,F_Inputs!$G$2:$T$2,0))</f>
        <v>284.62568075502702</v>
      </c>
      <c r="P27" s="139">
        <f t="array" ref="P27">INDEX(F_Inputs!$G$4:$T$381,MATCH(Data!$B27&amp;Data!P$6,F_Inputs!$A$4:$A$381&amp;F_Inputs!$B$4:$B$381,0),MATCH(Data!$C27,F_Inputs!$G$2:$T$2,0))</f>
        <v>0</v>
      </c>
      <c r="Q27" s="139">
        <f t="array" ref="Q27">INDEX(F_Inputs!$G$4:$T$381,MATCH(Data!$B27&amp;Data!Q$6,F_Inputs!$A$4:$A$381&amp;F_Inputs!$B$4:$B$381,0),MATCH(Data!$C27,F_Inputs!$G$2:$T$2,0))</f>
        <v>0</v>
      </c>
      <c r="R27" s="139">
        <f t="array" ref="R27">INDEX(F_Inputs!$G$4:$T$381,MATCH(Data!$B27&amp;Data!R$6,F_Inputs!$A$4:$A$381&amp;F_Inputs!$B$4:$B$381,0),MATCH(Data!$C27,F_Inputs!$G$2:$T$2,0))</f>
        <v>0</v>
      </c>
      <c r="S27" s="139">
        <f t="array" ref="S27">INDEX(F_Inputs!$G$4:$T$381,MATCH(Data!$B27&amp;Data!S$6,F_Inputs!$A$4:$A$381&amp;F_Inputs!$B$4:$B$381,0),MATCH(Data!$C27,F_Inputs!$G$2:$T$2,0))</f>
        <v>0</v>
      </c>
      <c r="U27" s="139">
        <f t="array" ref="U27">INDEX(F_Inputs!$G$4:$T$381,MATCH(Data!$B27&amp;Data!U$6,F_Inputs!$A$4:$A$381&amp;F_Inputs!$B$4:$B$381,0),MATCH(Data!$C27,F_Inputs!$G$2:$T$2,0))</f>
        <v>0</v>
      </c>
      <c r="V27" s="139">
        <f t="array" ref="V27">INDEX(F_Inputs!$G$4:$T$381,MATCH(Data!$B27&amp;Data!V$6,F_Inputs!$A$4:$A$381&amp;F_Inputs!$B$4:$B$381,0),MATCH(Data!$C27,F_Inputs!$G$2:$T$2,0))</f>
        <v>0</v>
      </c>
      <c r="W27" s="139">
        <f t="array" ref="W27">INDEX(F_Inputs!$G$4:$T$381,MATCH(Data!$B27&amp;Data!W$6,F_Inputs!$A$4:$A$381&amp;F_Inputs!$B$4:$B$381,0),MATCH(Data!$C27,F_Inputs!$G$2:$T$2,0))</f>
        <v>0</v>
      </c>
    </row>
    <row r="28" spans="1:23" x14ac:dyDescent="0.2">
      <c r="A28" s="141" t="s">
        <v>142</v>
      </c>
      <c r="B28" s="142" t="s">
        <v>28</v>
      </c>
      <c r="C28" s="142" t="s">
        <v>70</v>
      </c>
      <c r="D28" s="139">
        <f t="array" ref="D28">INDEX(F_Inputs!$G$4:$T$381,MATCH(Data!$B28&amp;Data!D$6,F_Inputs!$A$4:$A$381&amp;F_Inputs!$B$4:$B$381,0),MATCH(Data!$C28,F_Inputs!$G$2:$T$2,0))</f>
        <v>0</v>
      </c>
      <c r="E28" s="139">
        <f t="array" ref="E28">INDEX(F_Inputs!$G$4:$T$381,MATCH(Data!$B28&amp;Data!E$6,F_Inputs!$A$4:$A$381&amp;F_Inputs!$B$4:$B$381,0),MATCH(Data!$C28,F_Inputs!$G$2:$T$2,0))</f>
        <v>0.28899999999999998</v>
      </c>
      <c r="F28" s="139">
        <f t="array" ref="F28">INDEX(F_Inputs!$G$4:$T$381,MATCH(Data!$B28&amp;Data!F$6,F_Inputs!$A$4:$A$381&amp;F_Inputs!$B$4:$B$381,0),MATCH(Data!$C28,F_Inputs!$G$2:$T$2,0))</f>
        <v>0</v>
      </c>
      <c r="G28" s="139">
        <f t="array" ref="G28">INDEX(F_Inputs!$G$4:$T$381,MATCH(Data!$B28&amp;Data!G$6,F_Inputs!$A$4:$A$381&amp;F_Inputs!$B$4:$B$381,0),MATCH(Data!$C28,F_Inputs!$G$2:$T$2,0))</f>
        <v>0</v>
      </c>
      <c r="I28" s="139">
        <f t="array" ref="I28">INDEX(F_Inputs!$G$4:$T$381,MATCH(Data!$B28&amp;Data!I$6,F_Inputs!$A$4:$A$381&amp;F_Inputs!$B$4:$B$381,0),MATCH(Data!$C28,F_Inputs!$G$2:$T$2,0))</f>
        <v>0</v>
      </c>
      <c r="J28" s="139">
        <f t="array" ref="J28">INDEX(F_Inputs!$G$4:$T$381,MATCH(Data!$B28&amp;Data!J$6,F_Inputs!$A$4:$A$381&amp;F_Inputs!$B$4:$B$381,0),MATCH(Data!$C28,F_Inputs!$G$2:$T$2,0))</f>
        <v>0</v>
      </c>
      <c r="K28" s="139">
        <f t="array" ref="K28">INDEX(F_Inputs!$G$4:$T$381,MATCH(Data!$B28&amp;Data!K$6,F_Inputs!$A$4:$A$381&amp;F_Inputs!$B$4:$B$381,0),MATCH(Data!$C28,F_Inputs!$G$2:$T$2,0))</f>
        <v>0</v>
      </c>
      <c r="L28" s="139">
        <f t="array" ref="L28">INDEX(F_Inputs!$G$4:$T$381,MATCH(Data!$B28&amp;Data!L$6,F_Inputs!$A$4:$A$381&amp;F_Inputs!$B$4:$B$381,0),MATCH(Data!$C28,F_Inputs!$G$2:$T$2,0))</f>
        <v>0</v>
      </c>
      <c r="N28" s="139">
        <f t="array" ref="N28">INDEX(F_Inputs!$G$4:$T$381,MATCH(Data!$B28&amp;Data!N$6,F_Inputs!$A$4:$A$381&amp;F_Inputs!$B$4:$B$381,0),MATCH(Data!$C28,F_Inputs!$G$2:$T$2,0))</f>
        <v>344.34100000000001</v>
      </c>
      <c r="P28" s="139">
        <f t="array" ref="P28">INDEX(F_Inputs!$G$4:$T$381,MATCH(Data!$B28&amp;Data!P$6,F_Inputs!$A$4:$A$381&amp;F_Inputs!$B$4:$B$381,0),MATCH(Data!$C28,F_Inputs!$G$2:$T$2,0))</f>
        <v>0</v>
      </c>
      <c r="Q28" s="139">
        <f t="array" ref="Q28">INDEX(F_Inputs!$G$4:$T$381,MATCH(Data!$B28&amp;Data!Q$6,F_Inputs!$A$4:$A$381&amp;F_Inputs!$B$4:$B$381,0),MATCH(Data!$C28,F_Inputs!$G$2:$T$2,0))</f>
        <v>0</v>
      </c>
      <c r="R28" s="139">
        <f t="array" ref="R28">INDEX(F_Inputs!$G$4:$T$381,MATCH(Data!$B28&amp;Data!R$6,F_Inputs!$A$4:$A$381&amp;F_Inputs!$B$4:$B$381,0),MATCH(Data!$C28,F_Inputs!$G$2:$T$2,0))</f>
        <v>7.77</v>
      </c>
      <c r="S28" s="139">
        <f t="array" ref="S28">INDEX(F_Inputs!$G$4:$T$381,MATCH(Data!$B28&amp;Data!S$6,F_Inputs!$A$4:$A$381&amp;F_Inputs!$B$4:$B$381,0),MATCH(Data!$C28,F_Inputs!$G$2:$T$2,0))</f>
        <v>7.77</v>
      </c>
      <c r="U28" s="139">
        <f t="array" ref="U28">INDEX(F_Inputs!$G$4:$T$381,MATCH(Data!$B28&amp;Data!U$6,F_Inputs!$A$4:$A$381&amp;F_Inputs!$B$4:$B$381,0),MATCH(Data!$C28,F_Inputs!$G$2:$T$2,0))</f>
        <v>203.21</v>
      </c>
      <c r="V28" s="139">
        <f t="array" ref="V28">INDEX(F_Inputs!$G$4:$T$381,MATCH(Data!$B28&amp;Data!V$6,F_Inputs!$A$4:$A$381&amp;F_Inputs!$B$4:$B$381,0),MATCH(Data!$C28,F_Inputs!$G$2:$T$2,0))</f>
        <v>25912</v>
      </c>
      <c r="W28" s="139">
        <f t="array" ref="W28">INDEX(F_Inputs!$G$4:$T$381,MATCH(Data!$B28&amp;Data!W$6,F_Inputs!$A$4:$A$381&amp;F_Inputs!$B$4:$B$381,0),MATCH(Data!$C28,F_Inputs!$G$2:$T$2,0))</f>
        <v>2018.673</v>
      </c>
    </row>
    <row r="29" spans="1:23" x14ac:dyDescent="0.2">
      <c r="A29" s="141" t="s">
        <v>143</v>
      </c>
      <c r="B29" s="142" t="s">
        <v>28</v>
      </c>
      <c r="C29" s="142" t="s">
        <v>71</v>
      </c>
      <c r="D29" s="139">
        <f t="array" ref="D29">INDEX(F_Inputs!$G$4:$T$381,MATCH(Data!$B29&amp;Data!D$6,F_Inputs!$A$4:$A$381&amp;F_Inputs!$B$4:$B$381,0),MATCH(Data!$C29,F_Inputs!$G$2:$T$2,0))</f>
        <v>0</v>
      </c>
      <c r="E29" s="139">
        <f t="array" ref="E29">INDEX(F_Inputs!$G$4:$T$381,MATCH(Data!$B29&amp;Data!E$6,F_Inputs!$A$4:$A$381&amp;F_Inputs!$B$4:$B$381,0),MATCH(Data!$C29,F_Inputs!$G$2:$T$2,0))</f>
        <v>0.15282281059063199</v>
      </c>
      <c r="F29" s="139">
        <f t="array" ref="F29">INDEX(F_Inputs!$G$4:$T$381,MATCH(Data!$B29&amp;Data!F$6,F_Inputs!$A$4:$A$381&amp;F_Inputs!$B$4:$B$381,0),MATCH(Data!$C29,F_Inputs!$G$2:$T$2,0))</f>
        <v>0</v>
      </c>
      <c r="G29" s="139">
        <f t="array" ref="G29">INDEX(F_Inputs!$G$4:$T$381,MATCH(Data!$B29&amp;Data!G$6,F_Inputs!$A$4:$A$381&amp;F_Inputs!$B$4:$B$381,0),MATCH(Data!$C29,F_Inputs!$G$2:$T$2,0))</f>
        <v>0</v>
      </c>
      <c r="I29" s="139">
        <f t="array" ref="I29">INDEX(F_Inputs!$G$4:$T$381,MATCH(Data!$B29&amp;Data!I$6,F_Inputs!$A$4:$A$381&amp;F_Inputs!$B$4:$B$381,0),MATCH(Data!$C29,F_Inputs!$G$2:$T$2,0))</f>
        <v>0</v>
      </c>
      <c r="J29" s="139">
        <f t="array" ref="J29">INDEX(F_Inputs!$G$4:$T$381,MATCH(Data!$B29&amp;Data!J$6,F_Inputs!$A$4:$A$381&amp;F_Inputs!$B$4:$B$381,0),MATCH(Data!$C29,F_Inputs!$G$2:$T$2,0))</f>
        <v>0</v>
      </c>
      <c r="K29" s="139">
        <f t="array" ref="K29">INDEX(F_Inputs!$G$4:$T$381,MATCH(Data!$B29&amp;Data!K$6,F_Inputs!$A$4:$A$381&amp;F_Inputs!$B$4:$B$381,0),MATCH(Data!$C29,F_Inputs!$G$2:$T$2,0))</f>
        <v>0</v>
      </c>
      <c r="L29" s="139">
        <f t="array" ref="L29">INDEX(F_Inputs!$G$4:$T$381,MATCH(Data!$B29&amp;Data!L$6,F_Inputs!$A$4:$A$381&amp;F_Inputs!$B$4:$B$381,0),MATCH(Data!$C29,F_Inputs!$G$2:$T$2,0))</f>
        <v>0</v>
      </c>
      <c r="N29" s="139">
        <f t="array" ref="N29">INDEX(F_Inputs!$G$4:$T$381,MATCH(Data!$B29&amp;Data!N$6,F_Inputs!$A$4:$A$381&amp;F_Inputs!$B$4:$B$381,0),MATCH(Data!$C29,F_Inputs!$G$2:$T$2,0))</f>
        <v>367.75143991853599</v>
      </c>
      <c r="P29" s="139">
        <f t="array" ref="P29">INDEX(F_Inputs!$G$4:$T$381,MATCH(Data!$B29&amp;Data!P$6,F_Inputs!$A$4:$A$381&amp;F_Inputs!$B$4:$B$381,0),MATCH(Data!$C29,F_Inputs!$G$2:$T$2,0))</f>
        <v>0</v>
      </c>
      <c r="Q29" s="139">
        <f t="array" ref="Q29">INDEX(F_Inputs!$G$4:$T$381,MATCH(Data!$B29&amp;Data!Q$6,F_Inputs!$A$4:$A$381&amp;F_Inputs!$B$4:$B$381,0),MATCH(Data!$C29,F_Inputs!$G$2:$T$2,0))</f>
        <v>0</v>
      </c>
      <c r="R29" s="139">
        <f t="array" ref="R29">INDEX(F_Inputs!$G$4:$T$381,MATCH(Data!$B29&amp;Data!R$6,F_Inputs!$A$4:$A$381&amp;F_Inputs!$B$4:$B$381,0),MATCH(Data!$C29,F_Inputs!$G$2:$T$2,0))</f>
        <v>7.44</v>
      </c>
      <c r="S29" s="139">
        <f t="array" ref="S29">INDEX(F_Inputs!$G$4:$T$381,MATCH(Data!$B29&amp;Data!S$6,F_Inputs!$A$4:$A$381&amp;F_Inputs!$B$4:$B$381,0),MATCH(Data!$C29,F_Inputs!$G$2:$T$2,0))</f>
        <v>7.44</v>
      </c>
      <c r="U29" s="139">
        <f t="array" ref="U29">INDEX(F_Inputs!$G$4:$T$381,MATCH(Data!$B29&amp;Data!U$6,F_Inputs!$A$4:$A$381&amp;F_Inputs!$B$4:$B$381,0),MATCH(Data!$C29,F_Inputs!$G$2:$T$2,0))</f>
        <v>201.11</v>
      </c>
      <c r="V29" s="139">
        <f t="array" ref="V29">INDEX(F_Inputs!$G$4:$T$381,MATCH(Data!$B29&amp;Data!V$6,F_Inputs!$A$4:$A$381&amp;F_Inputs!$B$4:$B$381,0),MATCH(Data!$C29,F_Inputs!$G$2:$T$2,0))</f>
        <v>26018</v>
      </c>
      <c r="W29" s="139">
        <f t="array" ref="W29">INDEX(F_Inputs!$G$4:$T$381,MATCH(Data!$B29&amp;Data!W$6,F_Inputs!$A$4:$A$381&amp;F_Inputs!$B$4:$B$381,0),MATCH(Data!$C29,F_Inputs!$G$2:$T$2,0))</f>
        <v>2044.0360000000001</v>
      </c>
    </row>
    <row r="30" spans="1:23" x14ac:dyDescent="0.2">
      <c r="A30" s="141" t="s">
        <v>144</v>
      </c>
      <c r="B30" s="142" t="s">
        <v>28</v>
      </c>
      <c r="C30" s="142" t="s">
        <v>72</v>
      </c>
      <c r="D30" s="139">
        <f t="array" ref="D30">INDEX(F_Inputs!$G$4:$T$381,MATCH(Data!$B30&amp;Data!D$6,F_Inputs!$A$4:$A$381&amp;F_Inputs!$B$4:$B$381,0),MATCH(Data!$C30,F_Inputs!$G$2:$T$2,0))</f>
        <v>0</v>
      </c>
      <c r="E30" s="139">
        <f t="array" ref="E30">INDEX(F_Inputs!$G$4:$T$381,MATCH(Data!$B30&amp;Data!E$6,F_Inputs!$A$4:$A$381&amp;F_Inputs!$B$4:$B$381,0),MATCH(Data!$C30,F_Inputs!$G$2:$T$2,0))</f>
        <v>8.8381625441696698E-2</v>
      </c>
      <c r="F30" s="139">
        <f t="array" ref="F30">INDEX(F_Inputs!$G$4:$T$381,MATCH(Data!$B30&amp;Data!F$6,F_Inputs!$A$4:$A$381&amp;F_Inputs!$B$4:$B$381,0),MATCH(Data!$C30,F_Inputs!$G$2:$T$2,0))</f>
        <v>0</v>
      </c>
      <c r="G30" s="139">
        <f t="array" ref="G30">INDEX(F_Inputs!$G$4:$T$381,MATCH(Data!$B30&amp;Data!G$6,F_Inputs!$A$4:$A$381&amp;F_Inputs!$B$4:$B$381,0),MATCH(Data!$C30,F_Inputs!$G$2:$T$2,0))</f>
        <v>0</v>
      </c>
      <c r="I30" s="139">
        <f t="array" ref="I30">INDEX(F_Inputs!$G$4:$T$381,MATCH(Data!$B30&amp;Data!I$6,F_Inputs!$A$4:$A$381&amp;F_Inputs!$B$4:$B$381,0),MATCH(Data!$C30,F_Inputs!$G$2:$T$2,0))</f>
        <v>0</v>
      </c>
      <c r="J30" s="139">
        <f t="array" ref="J30">INDEX(F_Inputs!$G$4:$T$381,MATCH(Data!$B30&amp;Data!J$6,F_Inputs!$A$4:$A$381&amp;F_Inputs!$B$4:$B$381,0),MATCH(Data!$C30,F_Inputs!$G$2:$T$2,0))</f>
        <v>0</v>
      </c>
      <c r="K30" s="139">
        <f t="array" ref="K30">INDEX(F_Inputs!$G$4:$T$381,MATCH(Data!$B30&amp;Data!K$6,F_Inputs!$A$4:$A$381&amp;F_Inputs!$B$4:$B$381,0),MATCH(Data!$C30,F_Inputs!$G$2:$T$2,0))</f>
        <v>0</v>
      </c>
      <c r="L30" s="139">
        <f t="array" ref="L30">INDEX(F_Inputs!$G$4:$T$381,MATCH(Data!$B30&amp;Data!L$6,F_Inputs!$A$4:$A$381&amp;F_Inputs!$B$4:$B$381,0),MATCH(Data!$C30,F_Inputs!$G$2:$T$2,0))</f>
        <v>0</v>
      </c>
      <c r="N30" s="139">
        <f t="array" ref="N30">INDEX(F_Inputs!$G$4:$T$381,MATCH(Data!$B30&amp;Data!N$6,F_Inputs!$A$4:$A$381&amp;F_Inputs!$B$4:$B$381,0),MATCH(Data!$C30,F_Inputs!$G$2:$T$2,0))</f>
        <v>334.52541296666402</v>
      </c>
      <c r="P30" s="139">
        <f t="array" ref="P30">INDEX(F_Inputs!$G$4:$T$381,MATCH(Data!$B30&amp;Data!P$6,F_Inputs!$A$4:$A$381&amp;F_Inputs!$B$4:$B$381,0),MATCH(Data!$C30,F_Inputs!$G$2:$T$2,0))</f>
        <v>0</v>
      </c>
      <c r="Q30" s="139">
        <f t="array" ref="Q30">INDEX(F_Inputs!$G$4:$T$381,MATCH(Data!$B30&amp;Data!Q$6,F_Inputs!$A$4:$A$381&amp;F_Inputs!$B$4:$B$381,0),MATCH(Data!$C30,F_Inputs!$G$2:$T$2,0))</f>
        <v>0</v>
      </c>
      <c r="R30" s="139">
        <f t="array" ref="R30">INDEX(F_Inputs!$G$4:$T$381,MATCH(Data!$B30&amp;Data!R$6,F_Inputs!$A$4:$A$381&amp;F_Inputs!$B$4:$B$381,0),MATCH(Data!$C30,F_Inputs!$G$2:$T$2,0))</f>
        <v>7.92</v>
      </c>
      <c r="S30" s="139">
        <f t="array" ref="S30">INDEX(F_Inputs!$G$4:$T$381,MATCH(Data!$B30&amp;Data!S$6,F_Inputs!$A$4:$A$381&amp;F_Inputs!$B$4:$B$381,0),MATCH(Data!$C30,F_Inputs!$G$2:$T$2,0))</f>
        <v>7.92</v>
      </c>
      <c r="U30" s="139">
        <f t="array" ref="U30">INDEX(F_Inputs!$G$4:$T$381,MATCH(Data!$B30&amp;Data!U$6,F_Inputs!$A$4:$A$381&amp;F_Inputs!$B$4:$B$381,0),MATCH(Data!$C30,F_Inputs!$G$2:$T$2,0))</f>
        <v>201.11</v>
      </c>
      <c r="V30" s="139">
        <f t="array" ref="V30">INDEX(F_Inputs!$G$4:$T$381,MATCH(Data!$B30&amp;Data!V$6,F_Inputs!$A$4:$A$381&amp;F_Inputs!$B$4:$B$381,0),MATCH(Data!$C30,F_Inputs!$G$2:$T$2,0))</f>
        <v>26132</v>
      </c>
      <c r="W30" s="139">
        <f t="array" ref="W30">INDEX(F_Inputs!$G$4:$T$381,MATCH(Data!$B30&amp;Data!W$6,F_Inputs!$A$4:$A$381&amp;F_Inputs!$B$4:$B$381,0),MATCH(Data!$C30,F_Inputs!$G$2:$T$2,0))</f>
        <v>2061.067</v>
      </c>
    </row>
    <row r="31" spans="1:23" x14ac:dyDescent="0.2">
      <c r="A31" s="141" t="s">
        <v>145</v>
      </c>
      <c r="B31" s="142" t="s">
        <v>28</v>
      </c>
      <c r="C31" s="142" t="s">
        <v>73</v>
      </c>
      <c r="D31" s="139">
        <f t="array" ref="D31">INDEX(F_Inputs!$G$4:$T$381,MATCH(Data!$B31&amp;Data!D$6,F_Inputs!$A$4:$A$381&amp;F_Inputs!$B$4:$B$381,0),MATCH(Data!$C31,F_Inputs!$G$2:$T$2,0))</f>
        <v>0</v>
      </c>
      <c r="E31" s="139">
        <f t="array" ref="E31">INDEX(F_Inputs!$G$4:$T$381,MATCH(Data!$B31&amp;Data!E$6,F_Inputs!$A$4:$A$381&amp;F_Inputs!$B$4:$B$381,0),MATCH(Data!$C31,F_Inputs!$G$2:$T$2,0))</f>
        <v>0</v>
      </c>
      <c r="F31" s="139">
        <f t="array" ref="F31">INDEX(F_Inputs!$G$4:$T$381,MATCH(Data!$B31&amp;Data!F$6,F_Inputs!$A$4:$A$381&amp;F_Inputs!$B$4:$B$381,0),MATCH(Data!$C31,F_Inputs!$G$2:$T$2,0))</f>
        <v>0</v>
      </c>
      <c r="G31" s="139">
        <f t="array" ref="G31">INDEX(F_Inputs!$G$4:$T$381,MATCH(Data!$B31&amp;Data!G$6,F_Inputs!$A$4:$A$381&amp;F_Inputs!$B$4:$B$381,0),MATCH(Data!$C31,F_Inputs!$G$2:$T$2,0))</f>
        <v>0</v>
      </c>
      <c r="I31" s="139">
        <f t="array" ref="I31">INDEX(F_Inputs!$G$4:$T$381,MATCH(Data!$B31&amp;Data!I$6,F_Inputs!$A$4:$A$381&amp;F_Inputs!$B$4:$B$381,0),MATCH(Data!$C31,F_Inputs!$G$2:$T$2,0))</f>
        <v>0</v>
      </c>
      <c r="J31" s="139">
        <f t="array" ref="J31">INDEX(F_Inputs!$G$4:$T$381,MATCH(Data!$B31&amp;Data!J$6,F_Inputs!$A$4:$A$381&amp;F_Inputs!$B$4:$B$381,0),MATCH(Data!$C31,F_Inputs!$G$2:$T$2,0))</f>
        <v>0</v>
      </c>
      <c r="K31" s="139">
        <f t="array" ref="K31">INDEX(F_Inputs!$G$4:$T$381,MATCH(Data!$B31&amp;Data!K$6,F_Inputs!$A$4:$A$381&amp;F_Inputs!$B$4:$B$381,0),MATCH(Data!$C31,F_Inputs!$G$2:$T$2,0))</f>
        <v>0</v>
      </c>
      <c r="L31" s="139">
        <f t="array" ref="L31">INDEX(F_Inputs!$G$4:$T$381,MATCH(Data!$B31&amp;Data!L$6,F_Inputs!$A$4:$A$381&amp;F_Inputs!$B$4:$B$381,0),MATCH(Data!$C31,F_Inputs!$G$2:$T$2,0))</f>
        <v>0</v>
      </c>
      <c r="N31" s="139">
        <f t="array" ref="N31">INDEX(F_Inputs!$G$4:$T$381,MATCH(Data!$B31&amp;Data!N$6,F_Inputs!$A$4:$A$381&amp;F_Inputs!$B$4:$B$381,0),MATCH(Data!$C31,F_Inputs!$G$2:$T$2,0))</f>
        <v>348.07799999999997</v>
      </c>
      <c r="P31" s="139">
        <f t="array" ref="P31">INDEX(F_Inputs!$G$4:$T$381,MATCH(Data!$B31&amp;Data!P$6,F_Inputs!$A$4:$A$381&amp;F_Inputs!$B$4:$B$381,0),MATCH(Data!$C31,F_Inputs!$G$2:$T$2,0))</f>
        <v>0</v>
      </c>
      <c r="Q31" s="139">
        <f t="array" ref="Q31">INDEX(F_Inputs!$G$4:$T$381,MATCH(Data!$B31&amp;Data!Q$6,F_Inputs!$A$4:$A$381&amp;F_Inputs!$B$4:$B$381,0),MATCH(Data!$C31,F_Inputs!$G$2:$T$2,0))</f>
        <v>0</v>
      </c>
      <c r="R31" s="139">
        <f t="array" ref="R31">INDEX(F_Inputs!$G$4:$T$381,MATCH(Data!$B31&amp;Data!R$6,F_Inputs!$A$4:$A$381&amp;F_Inputs!$B$4:$B$381,0),MATCH(Data!$C31,F_Inputs!$G$2:$T$2,0))</f>
        <v>16.25</v>
      </c>
      <c r="S31" s="139">
        <f t="array" ref="S31">INDEX(F_Inputs!$G$4:$T$381,MATCH(Data!$B31&amp;Data!S$6,F_Inputs!$A$4:$A$381&amp;F_Inputs!$B$4:$B$381,0),MATCH(Data!$C31,F_Inputs!$G$2:$T$2,0))</f>
        <v>16.25</v>
      </c>
      <c r="U31" s="139">
        <f t="array" ref="U31">INDEX(F_Inputs!$G$4:$T$381,MATCH(Data!$B31&amp;Data!U$6,F_Inputs!$A$4:$A$381&amp;F_Inputs!$B$4:$B$381,0),MATCH(Data!$C31,F_Inputs!$G$2:$T$2,0))</f>
        <v>194.76</v>
      </c>
      <c r="V31" s="139">
        <f t="array" ref="V31">INDEX(F_Inputs!$G$4:$T$381,MATCH(Data!$B31&amp;Data!V$6,F_Inputs!$A$4:$A$381&amp;F_Inputs!$B$4:$B$381,0),MATCH(Data!$C31,F_Inputs!$G$2:$T$2,0))</f>
        <v>26217</v>
      </c>
      <c r="W31" s="139">
        <f t="array" ref="W31">INDEX(F_Inputs!$G$4:$T$381,MATCH(Data!$B31&amp;Data!W$6,F_Inputs!$A$4:$A$381&amp;F_Inputs!$B$4:$B$381,0),MATCH(Data!$C31,F_Inputs!$G$2:$T$2,0))</f>
        <v>2078.6469999999999</v>
      </c>
    </row>
    <row r="32" spans="1:23" x14ac:dyDescent="0.2">
      <c r="A32" s="141" t="s">
        <v>146</v>
      </c>
      <c r="B32" s="142" t="s">
        <v>28</v>
      </c>
      <c r="C32" s="142" t="s">
        <v>74</v>
      </c>
      <c r="D32" s="139">
        <f t="array" ref="D32">INDEX(F_Inputs!$G$4:$T$381,MATCH(Data!$B32&amp;Data!D$6,F_Inputs!$A$4:$A$381&amp;F_Inputs!$B$4:$B$381,0),MATCH(Data!$C32,F_Inputs!$G$2:$T$2,0))</f>
        <v>0</v>
      </c>
      <c r="E32" s="139">
        <f t="array" ref="E32">INDEX(F_Inputs!$G$4:$T$381,MATCH(Data!$B32&amp;Data!E$6,F_Inputs!$A$4:$A$381&amp;F_Inputs!$B$4:$B$381,0),MATCH(Data!$C32,F_Inputs!$G$2:$T$2,0))</f>
        <v>0</v>
      </c>
      <c r="F32" s="139">
        <f t="array" ref="F32">INDEX(F_Inputs!$G$4:$T$381,MATCH(Data!$B32&amp;Data!F$6,F_Inputs!$A$4:$A$381&amp;F_Inputs!$B$4:$B$381,0),MATCH(Data!$C32,F_Inputs!$G$2:$T$2,0))</f>
        <v>0</v>
      </c>
      <c r="G32" s="139">
        <f t="array" ref="G32">INDEX(F_Inputs!$G$4:$T$381,MATCH(Data!$B32&amp;Data!G$6,F_Inputs!$A$4:$A$381&amp;F_Inputs!$B$4:$B$381,0),MATCH(Data!$C32,F_Inputs!$G$2:$T$2,0))</f>
        <v>0</v>
      </c>
      <c r="I32" s="139">
        <f t="array" ref="I32">INDEX(F_Inputs!$G$4:$T$381,MATCH(Data!$B32&amp;Data!I$6,F_Inputs!$A$4:$A$381&amp;F_Inputs!$B$4:$B$381,0),MATCH(Data!$C32,F_Inputs!$G$2:$T$2,0))</f>
        <v>0</v>
      </c>
      <c r="J32" s="139">
        <f t="array" ref="J32">INDEX(F_Inputs!$G$4:$T$381,MATCH(Data!$B32&amp;Data!J$6,F_Inputs!$A$4:$A$381&amp;F_Inputs!$B$4:$B$381,0),MATCH(Data!$C32,F_Inputs!$G$2:$T$2,0))</f>
        <v>0</v>
      </c>
      <c r="K32" s="139">
        <f t="array" ref="K32">INDEX(F_Inputs!$G$4:$T$381,MATCH(Data!$B32&amp;Data!K$6,F_Inputs!$A$4:$A$381&amp;F_Inputs!$B$4:$B$381,0),MATCH(Data!$C32,F_Inputs!$G$2:$T$2,0))</f>
        <v>0</v>
      </c>
      <c r="L32" s="139">
        <f t="array" ref="L32">INDEX(F_Inputs!$G$4:$T$381,MATCH(Data!$B32&amp;Data!L$6,F_Inputs!$A$4:$A$381&amp;F_Inputs!$B$4:$B$381,0),MATCH(Data!$C32,F_Inputs!$G$2:$T$2,0))</f>
        <v>0</v>
      </c>
      <c r="N32" s="139">
        <f t="array" ref="N32">INDEX(F_Inputs!$G$4:$T$381,MATCH(Data!$B32&amp;Data!N$6,F_Inputs!$A$4:$A$381&amp;F_Inputs!$B$4:$B$381,0),MATCH(Data!$C32,F_Inputs!$G$2:$T$2,0))</f>
        <v>368.71699999999998</v>
      </c>
      <c r="P32" s="139">
        <f t="array" ref="P32">INDEX(F_Inputs!$G$4:$T$381,MATCH(Data!$B32&amp;Data!P$6,F_Inputs!$A$4:$A$381&amp;F_Inputs!$B$4:$B$381,0),MATCH(Data!$C32,F_Inputs!$G$2:$T$2,0))</f>
        <v>0</v>
      </c>
      <c r="Q32" s="139">
        <f t="array" ref="Q32">INDEX(F_Inputs!$G$4:$T$381,MATCH(Data!$B32&amp;Data!Q$6,F_Inputs!$A$4:$A$381&amp;F_Inputs!$B$4:$B$381,0),MATCH(Data!$C32,F_Inputs!$G$2:$T$2,0))</f>
        <v>0</v>
      </c>
      <c r="R32" s="139">
        <f t="array" ref="R32">INDEX(F_Inputs!$G$4:$T$381,MATCH(Data!$B32&amp;Data!R$6,F_Inputs!$A$4:$A$381&amp;F_Inputs!$B$4:$B$381,0),MATCH(Data!$C32,F_Inputs!$G$2:$T$2,0))</f>
        <v>30.9</v>
      </c>
      <c r="S32" s="139">
        <f t="array" ref="S32">INDEX(F_Inputs!$G$4:$T$381,MATCH(Data!$B32&amp;Data!S$6,F_Inputs!$A$4:$A$381&amp;F_Inputs!$B$4:$B$381,0),MATCH(Data!$C32,F_Inputs!$G$2:$T$2,0))</f>
        <v>30.9</v>
      </c>
      <c r="U32" s="139">
        <f t="array" ref="U32">INDEX(F_Inputs!$G$4:$T$381,MATCH(Data!$B32&amp;Data!U$6,F_Inputs!$A$4:$A$381&amp;F_Inputs!$B$4:$B$381,0),MATCH(Data!$C32,F_Inputs!$G$2:$T$2,0))</f>
        <v>188.42</v>
      </c>
      <c r="V32" s="139">
        <f t="array" ref="V32">INDEX(F_Inputs!$G$4:$T$381,MATCH(Data!$B32&amp;Data!V$6,F_Inputs!$A$4:$A$381&amp;F_Inputs!$B$4:$B$381,0),MATCH(Data!$C32,F_Inputs!$G$2:$T$2,0))</f>
        <v>26367</v>
      </c>
      <c r="W32" s="139">
        <f t="array" ref="W32">INDEX(F_Inputs!$G$4:$T$381,MATCH(Data!$B32&amp;Data!W$6,F_Inputs!$A$4:$A$381&amp;F_Inputs!$B$4:$B$381,0),MATCH(Data!$C32,F_Inputs!$G$2:$T$2,0))</f>
        <v>2096.0149999999999</v>
      </c>
    </row>
    <row r="33" spans="1:23" x14ac:dyDescent="0.2">
      <c r="A33" s="141" t="s">
        <v>147</v>
      </c>
      <c r="B33" s="142" t="s">
        <v>28</v>
      </c>
      <c r="C33" s="142" t="s">
        <v>75</v>
      </c>
      <c r="D33" s="139">
        <f t="array" ref="D33">INDEX(F_Inputs!$G$4:$T$381,MATCH(Data!$B33&amp;Data!D$6,F_Inputs!$A$4:$A$381&amp;F_Inputs!$B$4:$B$381,0),MATCH(Data!$C33,F_Inputs!$G$2:$T$2,0))</f>
        <v>0</v>
      </c>
      <c r="E33" s="139">
        <f t="array" ref="E33">INDEX(F_Inputs!$G$4:$T$381,MATCH(Data!$B33&amp;Data!E$6,F_Inputs!$A$4:$A$381&amp;F_Inputs!$B$4:$B$381,0),MATCH(Data!$C33,F_Inputs!$G$2:$T$2,0))</f>
        <v>0</v>
      </c>
      <c r="F33" s="139">
        <f t="array" ref="F33">INDEX(F_Inputs!$G$4:$T$381,MATCH(Data!$B33&amp;Data!F$6,F_Inputs!$A$4:$A$381&amp;F_Inputs!$B$4:$B$381,0),MATCH(Data!$C33,F_Inputs!$G$2:$T$2,0))</f>
        <v>0</v>
      </c>
      <c r="G33" s="139">
        <f t="array" ref="G33">INDEX(F_Inputs!$G$4:$T$381,MATCH(Data!$B33&amp;Data!G$6,F_Inputs!$A$4:$A$381&amp;F_Inputs!$B$4:$B$381,0),MATCH(Data!$C33,F_Inputs!$G$2:$T$2,0))</f>
        <v>0</v>
      </c>
      <c r="I33" s="139">
        <f t="array" ref="I33">INDEX(F_Inputs!$G$4:$T$381,MATCH(Data!$B33&amp;Data!I$6,F_Inputs!$A$4:$A$381&amp;F_Inputs!$B$4:$B$381,0),MATCH(Data!$C33,F_Inputs!$G$2:$T$2,0))</f>
        <v>0</v>
      </c>
      <c r="J33" s="139">
        <f t="array" ref="J33">INDEX(F_Inputs!$G$4:$T$381,MATCH(Data!$B33&amp;Data!J$6,F_Inputs!$A$4:$A$381&amp;F_Inputs!$B$4:$B$381,0),MATCH(Data!$C33,F_Inputs!$G$2:$T$2,0))</f>
        <v>0</v>
      </c>
      <c r="K33" s="139">
        <f t="array" ref="K33">INDEX(F_Inputs!$G$4:$T$381,MATCH(Data!$B33&amp;Data!K$6,F_Inputs!$A$4:$A$381&amp;F_Inputs!$B$4:$B$381,0),MATCH(Data!$C33,F_Inputs!$G$2:$T$2,0))</f>
        <v>0</v>
      </c>
      <c r="L33" s="139">
        <f t="array" ref="L33">INDEX(F_Inputs!$G$4:$T$381,MATCH(Data!$B33&amp;Data!L$6,F_Inputs!$A$4:$A$381&amp;F_Inputs!$B$4:$B$381,0),MATCH(Data!$C33,F_Inputs!$G$2:$T$2,0))</f>
        <v>0</v>
      </c>
      <c r="N33" s="139">
        <f t="array" ref="N33">INDEX(F_Inputs!$G$4:$T$381,MATCH(Data!$B33&amp;Data!N$6,F_Inputs!$A$4:$A$381&amp;F_Inputs!$B$4:$B$381,0),MATCH(Data!$C33,F_Inputs!$G$2:$T$2,0))</f>
        <v>360.49900000000002</v>
      </c>
      <c r="P33" s="139">
        <f t="array" ref="P33">INDEX(F_Inputs!$G$4:$T$381,MATCH(Data!$B33&amp;Data!P$6,F_Inputs!$A$4:$A$381&amp;F_Inputs!$B$4:$B$381,0),MATCH(Data!$C33,F_Inputs!$G$2:$T$2,0))</f>
        <v>0</v>
      </c>
      <c r="Q33" s="139">
        <f t="array" ref="Q33">INDEX(F_Inputs!$G$4:$T$381,MATCH(Data!$B33&amp;Data!Q$6,F_Inputs!$A$4:$A$381&amp;F_Inputs!$B$4:$B$381,0),MATCH(Data!$C33,F_Inputs!$G$2:$T$2,0))</f>
        <v>0</v>
      </c>
      <c r="R33" s="139">
        <f t="array" ref="R33">INDEX(F_Inputs!$G$4:$T$381,MATCH(Data!$B33&amp;Data!R$6,F_Inputs!$A$4:$A$381&amp;F_Inputs!$B$4:$B$381,0),MATCH(Data!$C33,F_Inputs!$G$2:$T$2,0))</f>
        <v>31.3</v>
      </c>
      <c r="S33" s="139">
        <f t="array" ref="S33">INDEX(F_Inputs!$G$4:$T$381,MATCH(Data!$B33&amp;Data!S$6,F_Inputs!$A$4:$A$381&amp;F_Inputs!$B$4:$B$381,0),MATCH(Data!$C33,F_Inputs!$G$2:$T$2,0))</f>
        <v>31.3</v>
      </c>
      <c r="U33" s="139">
        <f t="array" ref="U33">INDEX(F_Inputs!$G$4:$T$381,MATCH(Data!$B33&amp;Data!U$6,F_Inputs!$A$4:$A$381&amp;F_Inputs!$B$4:$B$381,0),MATCH(Data!$C33,F_Inputs!$G$2:$T$2,0))</f>
        <v>182.07</v>
      </c>
      <c r="V33" s="139">
        <f t="array" ref="V33">INDEX(F_Inputs!$G$4:$T$381,MATCH(Data!$B33&amp;Data!V$6,F_Inputs!$A$4:$A$381&amp;F_Inputs!$B$4:$B$381,0),MATCH(Data!$C33,F_Inputs!$G$2:$T$2,0))</f>
        <v>26509</v>
      </c>
      <c r="W33" s="139">
        <f t="array" ref="W33">INDEX(F_Inputs!$G$4:$T$381,MATCH(Data!$B33&amp;Data!W$6,F_Inputs!$A$4:$A$381&amp;F_Inputs!$B$4:$B$381,0),MATCH(Data!$C33,F_Inputs!$G$2:$T$2,0))</f>
        <v>2112.8389999999999</v>
      </c>
    </row>
    <row r="34" spans="1:23" x14ac:dyDescent="0.2">
      <c r="A34" s="141" t="s">
        <v>148</v>
      </c>
      <c r="B34" s="142" t="s">
        <v>28</v>
      </c>
      <c r="C34" s="142" t="s">
        <v>76</v>
      </c>
      <c r="D34" s="139">
        <f t="array" ref="D34">INDEX(F_Inputs!$G$4:$T$381,MATCH(Data!$B34&amp;Data!D$6,F_Inputs!$A$4:$A$381&amp;F_Inputs!$B$4:$B$381,0),MATCH(Data!$C34,F_Inputs!$G$2:$T$2,0))</f>
        <v>0</v>
      </c>
      <c r="E34" s="139">
        <f t="array" ref="E34">INDEX(F_Inputs!$G$4:$T$381,MATCH(Data!$B34&amp;Data!E$6,F_Inputs!$A$4:$A$381&amp;F_Inputs!$B$4:$B$381,0),MATCH(Data!$C34,F_Inputs!$G$2:$T$2,0))</f>
        <v>0</v>
      </c>
      <c r="F34" s="139">
        <f t="array" ref="F34">INDEX(F_Inputs!$G$4:$T$381,MATCH(Data!$B34&amp;Data!F$6,F_Inputs!$A$4:$A$381&amp;F_Inputs!$B$4:$B$381,0),MATCH(Data!$C34,F_Inputs!$G$2:$T$2,0))</f>
        <v>0</v>
      </c>
      <c r="G34" s="139">
        <f t="array" ref="G34">INDEX(F_Inputs!$G$4:$T$381,MATCH(Data!$B34&amp;Data!G$6,F_Inputs!$A$4:$A$381&amp;F_Inputs!$B$4:$B$381,0),MATCH(Data!$C34,F_Inputs!$G$2:$T$2,0))</f>
        <v>0</v>
      </c>
      <c r="I34" s="139">
        <f t="array" ref="I34">INDEX(F_Inputs!$G$4:$T$381,MATCH(Data!$B34&amp;Data!I$6,F_Inputs!$A$4:$A$381&amp;F_Inputs!$B$4:$B$381,0),MATCH(Data!$C34,F_Inputs!$G$2:$T$2,0))</f>
        <v>0</v>
      </c>
      <c r="J34" s="139">
        <f t="array" ref="J34">INDEX(F_Inputs!$G$4:$T$381,MATCH(Data!$B34&amp;Data!J$6,F_Inputs!$A$4:$A$381&amp;F_Inputs!$B$4:$B$381,0),MATCH(Data!$C34,F_Inputs!$G$2:$T$2,0))</f>
        <v>0</v>
      </c>
      <c r="K34" s="139">
        <f t="array" ref="K34">INDEX(F_Inputs!$G$4:$T$381,MATCH(Data!$B34&amp;Data!K$6,F_Inputs!$A$4:$A$381&amp;F_Inputs!$B$4:$B$381,0),MATCH(Data!$C34,F_Inputs!$G$2:$T$2,0))</f>
        <v>0</v>
      </c>
      <c r="L34" s="139">
        <f t="array" ref="L34">INDEX(F_Inputs!$G$4:$T$381,MATCH(Data!$B34&amp;Data!L$6,F_Inputs!$A$4:$A$381&amp;F_Inputs!$B$4:$B$381,0),MATCH(Data!$C34,F_Inputs!$G$2:$T$2,0))</f>
        <v>0</v>
      </c>
      <c r="N34" s="139">
        <f t="array" ref="N34">INDEX(F_Inputs!$G$4:$T$381,MATCH(Data!$B34&amp;Data!N$6,F_Inputs!$A$4:$A$381&amp;F_Inputs!$B$4:$B$381,0),MATCH(Data!$C34,F_Inputs!$G$2:$T$2,0))</f>
        <v>337.22899999999998</v>
      </c>
      <c r="P34" s="139">
        <f t="array" ref="P34">INDEX(F_Inputs!$G$4:$T$381,MATCH(Data!$B34&amp;Data!P$6,F_Inputs!$A$4:$A$381&amp;F_Inputs!$B$4:$B$381,0),MATCH(Data!$C34,F_Inputs!$G$2:$T$2,0))</f>
        <v>0</v>
      </c>
      <c r="Q34" s="139">
        <f t="array" ref="Q34">INDEX(F_Inputs!$G$4:$T$381,MATCH(Data!$B34&amp;Data!Q$6,F_Inputs!$A$4:$A$381&amp;F_Inputs!$B$4:$B$381,0),MATCH(Data!$C34,F_Inputs!$G$2:$T$2,0))</f>
        <v>0</v>
      </c>
      <c r="R34" s="139">
        <f t="array" ref="R34">INDEX(F_Inputs!$G$4:$T$381,MATCH(Data!$B34&amp;Data!R$6,F_Inputs!$A$4:$A$381&amp;F_Inputs!$B$4:$B$381,0),MATCH(Data!$C34,F_Inputs!$G$2:$T$2,0))</f>
        <v>30.78</v>
      </c>
      <c r="S34" s="139">
        <f t="array" ref="S34">INDEX(F_Inputs!$G$4:$T$381,MATCH(Data!$B34&amp;Data!S$6,F_Inputs!$A$4:$A$381&amp;F_Inputs!$B$4:$B$381,0),MATCH(Data!$C34,F_Inputs!$G$2:$T$2,0))</f>
        <v>30.78</v>
      </c>
      <c r="U34" s="139">
        <f t="array" ref="U34">INDEX(F_Inputs!$G$4:$T$381,MATCH(Data!$B34&amp;Data!U$6,F_Inputs!$A$4:$A$381&amp;F_Inputs!$B$4:$B$381,0),MATCH(Data!$C34,F_Inputs!$G$2:$T$2,0))</f>
        <v>175.72</v>
      </c>
      <c r="V34" s="139">
        <f t="array" ref="V34">INDEX(F_Inputs!$G$4:$T$381,MATCH(Data!$B34&amp;Data!V$6,F_Inputs!$A$4:$A$381&amp;F_Inputs!$B$4:$B$381,0),MATCH(Data!$C34,F_Inputs!$G$2:$T$2,0))</f>
        <v>26662</v>
      </c>
      <c r="W34" s="139">
        <f t="array" ref="W34">INDEX(F_Inputs!$G$4:$T$381,MATCH(Data!$B34&amp;Data!W$6,F_Inputs!$A$4:$A$381&amp;F_Inputs!$B$4:$B$381,0),MATCH(Data!$C34,F_Inputs!$G$2:$T$2,0))</f>
        <v>2129.0250000000001</v>
      </c>
    </row>
    <row r="35" spans="1:23" x14ac:dyDescent="0.2">
      <c r="A35" s="141" t="s">
        <v>149</v>
      </c>
      <c r="B35" s="142" t="s">
        <v>28</v>
      </c>
      <c r="C35" s="142" t="s">
        <v>24</v>
      </c>
      <c r="D35" s="139">
        <f t="array" ref="D35">INDEX(F_Inputs!$G$4:$T$381,MATCH(Data!$B35&amp;Data!D$6,F_Inputs!$A$4:$A$381&amp;F_Inputs!$B$4:$B$381,0),MATCH(Data!$C35,F_Inputs!$G$2:$T$2,0))</f>
        <v>0</v>
      </c>
      <c r="E35" s="139">
        <f t="array" ref="E35">INDEX(F_Inputs!$G$4:$T$381,MATCH(Data!$B35&amp;Data!E$6,F_Inputs!$A$4:$A$381&amp;F_Inputs!$B$4:$B$381,0),MATCH(Data!$C35,F_Inputs!$G$2:$T$2,0))</f>
        <v>0</v>
      </c>
      <c r="F35" s="139">
        <f t="array" ref="F35">INDEX(F_Inputs!$G$4:$T$381,MATCH(Data!$B35&amp;Data!F$6,F_Inputs!$A$4:$A$381&amp;F_Inputs!$B$4:$B$381,0),MATCH(Data!$C35,F_Inputs!$G$2:$T$2,0))</f>
        <v>0</v>
      </c>
      <c r="G35" s="139">
        <f t="array" ref="G35">INDEX(F_Inputs!$G$4:$T$381,MATCH(Data!$B35&amp;Data!G$6,F_Inputs!$A$4:$A$381&amp;F_Inputs!$B$4:$B$381,0),MATCH(Data!$C35,F_Inputs!$G$2:$T$2,0))</f>
        <v>0</v>
      </c>
      <c r="I35" s="139">
        <f t="array" ref="I35">INDEX(F_Inputs!$G$4:$T$381,MATCH(Data!$B35&amp;Data!I$6,F_Inputs!$A$4:$A$381&amp;F_Inputs!$B$4:$B$381,0),MATCH(Data!$C35,F_Inputs!$G$2:$T$2,0))</f>
        <v>0</v>
      </c>
      <c r="J35" s="139">
        <f t="array" ref="J35">INDEX(F_Inputs!$G$4:$T$381,MATCH(Data!$B35&amp;Data!J$6,F_Inputs!$A$4:$A$381&amp;F_Inputs!$B$4:$B$381,0),MATCH(Data!$C35,F_Inputs!$G$2:$T$2,0))</f>
        <v>0</v>
      </c>
      <c r="K35" s="139">
        <f t="array" ref="K35">INDEX(F_Inputs!$G$4:$T$381,MATCH(Data!$B35&amp;Data!K$6,F_Inputs!$A$4:$A$381&amp;F_Inputs!$B$4:$B$381,0),MATCH(Data!$C35,F_Inputs!$G$2:$T$2,0))</f>
        <v>0</v>
      </c>
      <c r="L35" s="139">
        <f t="array" ref="L35">INDEX(F_Inputs!$G$4:$T$381,MATCH(Data!$B35&amp;Data!L$6,F_Inputs!$A$4:$A$381&amp;F_Inputs!$B$4:$B$381,0),MATCH(Data!$C35,F_Inputs!$G$2:$T$2,0))</f>
        <v>0</v>
      </c>
      <c r="N35" s="139">
        <f t="array" ref="N35">INDEX(F_Inputs!$G$4:$T$381,MATCH(Data!$B35&amp;Data!N$6,F_Inputs!$A$4:$A$381&amp;F_Inputs!$B$4:$B$381,0),MATCH(Data!$C35,F_Inputs!$G$2:$T$2,0))</f>
        <v>311.733</v>
      </c>
      <c r="P35" s="139">
        <f t="array" ref="P35">INDEX(F_Inputs!$G$4:$T$381,MATCH(Data!$B35&amp;Data!P$6,F_Inputs!$A$4:$A$381&amp;F_Inputs!$B$4:$B$381,0),MATCH(Data!$C35,F_Inputs!$G$2:$T$2,0))</f>
        <v>0</v>
      </c>
      <c r="Q35" s="139">
        <f t="array" ref="Q35">INDEX(F_Inputs!$G$4:$T$381,MATCH(Data!$B35&amp;Data!Q$6,F_Inputs!$A$4:$A$381&amp;F_Inputs!$B$4:$B$381,0),MATCH(Data!$C35,F_Inputs!$G$2:$T$2,0))</f>
        <v>0</v>
      </c>
      <c r="R35" s="139">
        <f t="array" ref="R35">INDEX(F_Inputs!$G$4:$T$381,MATCH(Data!$B35&amp;Data!R$6,F_Inputs!$A$4:$A$381&amp;F_Inputs!$B$4:$B$381,0),MATCH(Data!$C35,F_Inputs!$G$2:$T$2,0))</f>
        <v>30.47</v>
      </c>
      <c r="S35" s="139">
        <f t="array" ref="S35">INDEX(F_Inputs!$G$4:$T$381,MATCH(Data!$B35&amp;Data!S$6,F_Inputs!$A$4:$A$381&amp;F_Inputs!$B$4:$B$381,0),MATCH(Data!$C35,F_Inputs!$G$2:$T$2,0))</f>
        <v>30.47</v>
      </c>
      <c r="U35" s="139">
        <f t="array" ref="U35">INDEX(F_Inputs!$G$4:$T$381,MATCH(Data!$B35&amp;Data!U$6,F_Inputs!$A$4:$A$381&amp;F_Inputs!$B$4:$B$381,0),MATCH(Data!$C35,F_Inputs!$G$2:$T$2,0))</f>
        <v>169.38</v>
      </c>
      <c r="V35" s="139">
        <f t="array" ref="V35">INDEX(F_Inputs!$G$4:$T$381,MATCH(Data!$B35&amp;Data!V$6,F_Inputs!$A$4:$A$381&amp;F_Inputs!$B$4:$B$381,0),MATCH(Data!$C35,F_Inputs!$G$2:$T$2,0))</f>
        <v>26821</v>
      </c>
      <c r="W35" s="139">
        <f t="array" ref="W35">INDEX(F_Inputs!$G$4:$T$381,MATCH(Data!$B35&amp;Data!W$6,F_Inputs!$A$4:$A$381&amp;F_Inputs!$B$4:$B$381,0),MATCH(Data!$C35,F_Inputs!$G$2:$T$2,0))</f>
        <v>2145.3789999999999</v>
      </c>
    </row>
    <row r="36" spans="1:23" x14ac:dyDescent="0.2">
      <c r="A36" s="138" t="str">
        <f t="shared" ref="A36" si="1">B36&amp;RIGHT(C36,2)</f>
        <v>NWT12</v>
      </c>
      <c r="B36" s="19" t="s">
        <v>32</v>
      </c>
      <c r="C36" s="143" t="s">
        <v>64</v>
      </c>
      <c r="D36" s="139">
        <f t="array" ref="D36">INDEX(F_Inputs!$G$4:$T$381,MATCH(Data!$B36&amp;Data!D$6,F_Inputs!$A$4:$A$381&amp;F_Inputs!$B$4:$B$381,0),MATCH(Data!$C36,F_Inputs!$G$2:$T$2,0))</f>
        <v>3.9837368638627302</v>
      </c>
      <c r="E36" s="139">
        <f t="array" ref="E36">INDEX(F_Inputs!$G$4:$T$381,MATCH(Data!$B36&amp;Data!E$6,F_Inputs!$A$4:$A$381&amp;F_Inputs!$B$4:$B$381,0),MATCH(Data!$C36,F_Inputs!$G$2:$T$2,0))</f>
        <v>0</v>
      </c>
      <c r="F36" s="139">
        <f t="array" ref="F36">INDEX(F_Inputs!$G$4:$T$381,MATCH(Data!$B36&amp;Data!F$6,F_Inputs!$A$4:$A$381&amp;F_Inputs!$B$4:$B$381,0),MATCH(Data!$C36,F_Inputs!$G$2:$T$2,0))</f>
        <v>6.6308581986449298</v>
      </c>
      <c r="G36" s="139">
        <f t="array" ref="G36">INDEX(F_Inputs!$G$4:$T$381,MATCH(Data!$B36&amp;Data!G$6,F_Inputs!$A$4:$A$381&amp;F_Inputs!$B$4:$B$381,0),MATCH(Data!$C36,F_Inputs!$G$2:$T$2,0))</f>
        <v>0</v>
      </c>
      <c r="I36" s="139">
        <f t="array" ref="I36">INDEX(F_Inputs!$G$4:$T$381,MATCH(Data!$B36&amp;Data!I$6,F_Inputs!$A$4:$A$381&amp;F_Inputs!$B$4:$B$381,0),MATCH(Data!$C36,F_Inputs!$G$2:$T$2,0))</f>
        <v>0</v>
      </c>
      <c r="J36" s="139">
        <f t="array" ref="J36">INDEX(F_Inputs!$G$4:$T$381,MATCH(Data!$B36&amp;Data!J$6,F_Inputs!$A$4:$A$381&amp;F_Inputs!$B$4:$B$381,0),MATCH(Data!$C36,F_Inputs!$G$2:$T$2,0))</f>
        <v>0</v>
      </c>
      <c r="K36" s="139">
        <f t="array" ref="K36">INDEX(F_Inputs!$G$4:$T$381,MATCH(Data!$B36&amp;Data!K$6,F_Inputs!$A$4:$A$381&amp;F_Inputs!$B$4:$B$381,0),MATCH(Data!$C36,F_Inputs!$G$2:$T$2,0))</f>
        <v>0</v>
      </c>
      <c r="L36" s="139">
        <f t="array" ref="L36">INDEX(F_Inputs!$G$4:$T$381,MATCH(Data!$B36&amp;Data!L$6,F_Inputs!$A$4:$A$381&amp;F_Inputs!$B$4:$B$381,0),MATCH(Data!$C36,F_Inputs!$G$2:$T$2,0))</f>
        <v>0</v>
      </c>
      <c r="N36" s="139">
        <f t="array" ref="N36">INDEX(F_Inputs!$G$4:$T$381,MATCH(Data!$B36&amp;Data!N$6,F_Inputs!$A$4:$A$381&amp;F_Inputs!$B$4:$B$381,0),MATCH(Data!$C36,F_Inputs!$G$2:$T$2,0))</f>
        <v>531.29721876834401</v>
      </c>
      <c r="P36" s="139">
        <f t="array" ref="P36">INDEX(F_Inputs!$G$4:$T$381,MATCH(Data!$B36&amp;Data!P$6,F_Inputs!$A$4:$A$381&amp;F_Inputs!$B$4:$B$381,0),MATCH(Data!$C36,F_Inputs!$G$2:$T$2,0))</f>
        <v>0</v>
      </c>
      <c r="Q36" s="139">
        <f t="array" ref="Q36">INDEX(F_Inputs!$G$4:$T$381,MATCH(Data!$B36&amp;Data!Q$6,F_Inputs!$A$4:$A$381&amp;F_Inputs!$B$4:$B$381,0),MATCH(Data!$C36,F_Inputs!$G$2:$T$2,0))</f>
        <v>0</v>
      </c>
      <c r="R36" s="139">
        <f t="array" ref="R36">INDEX(F_Inputs!$G$4:$T$381,MATCH(Data!$B36&amp;Data!R$6,F_Inputs!$A$4:$A$381&amp;F_Inputs!$B$4:$B$381,0),MATCH(Data!$C36,F_Inputs!$G$2:$T$2,0))</f>
        <v>0</v>
      </c>
      <c r="S36" s="139">
        <f t="array" ref="S36">INDEX(F_Inputs!$G$4:$T$381,MATCH(Data!$B36&amp;Data!S$6,F_Inputs!$A$4:$A$381&amp;F_Inputs!$B$4:$B$381,0),MATCH(Data!$C36,F_Inputs!$G$2:$T$2,0))</f>
        <v>0</v>
      </c>
      <c r="U36" s="139">
        <f t="array" ref="U36">INDEX(F_Inputs!$G$4:$T$381,MATCH(Data!$B36&amp;Data!U$6,F_Inputs!$A$4:$A$381&amp;F_Inputs!$B$4:$B$381,0),MATCH(Data!$C36,F_Inputs!$G$2:$T$2,0))</f>
        <v>0</v>
      </c>
      <c r="V36" s="139">
        <f t="array" ref="V36">INDEX(F_Inputs!$G$4:$T$381,MATCH(Data!$B36&amp;Data!V$6,F_Inputs!$A$4:$A$381&amp;F_Inputs!$B$4:$B$381,0),MATCH(Data!$C36,F_Inputs!$G$2:$T$2,0))</f>
        <v>0</v>
      </c>
      <c r="W36" s="139">
        <f t="array" ref="W36">INDEX(F_Inputs!$G$4:$T$381,MATCH(Data!$B36&amp;Data!W$6,F_Inputs!$A$4:$A$381&amp;F_Inputs!$B$4:$B$381,0),MATCH(Data!$C36,F_Inputs!$G$2:$T$2,0))</f>
        <v>0</v>
      </c>
    </row>
    <row r="37" spans="1:23" x14ac:dyDescent="0.2">
      <c r="A37" s="138" t="str">
        <f>B37&amp;RIGHT(C37,2)</f>
        <v>NWT13</v>
      </c>
      <c r="B37" s="19" t="s">
        <v>32</v>
      </c>
      <c r="C37" s="143" t="s">
        <v>65</v>
      </c>
      <c r="D37" s="139">
        <f t="array" ref="D37">INDEX(F_Inputs!$G$4:$T$381,MATCH(Data!$B37&amp;Data!D$6,F_Inputs!$A$4:$A$381&amp;F_Inputs!$B$4:$B$381,0),MATCH(Data!$C37,F_Inputs!$G$2:$T$2,0))</f>
        <v>0.40804596913852997</v>
      </c>
      <c r="E37" s="139">
        <f t="array" ref="E37">INDEX(F_Inputs!$G$4:$T$381,MATCH(Data!$B37&amp;Data!E$6,F_Inputs!$A$4:$A$381&amp;F_Inputs!$B$4:$B$381,0),MATCH(Data!$C37,F_Inputs!$G$2:$T$2,0))</f>
        <v>0</v>
      </c>
      <c r="F37" s="139">
        <f t="array" ref="F37">INDEX(F_Inputs!$G$4:$T$381,MATCH(Data!$B37&amp;Data!F$6,F_Inputs!$A$4:$A$381&amp;F_Inputs!$B$4:$B$381,0),MATCH(Data!$C37,F_Inputs!$G$2:$T$2,0))</f>
        <v>12.768281741420999</v>
      </c>
      <c r="G37" s="139">
        <f t="array" ref="G37">INDEX(F_Inputs!$G$4:$T$381,MATCH(Data!$B37&amp;Data!G$6,F_Inputs!$A$4:$A$381&amp;F_Inputs!$B$4:$B$381,0),MATCH(Data!$C37,F_Inputs!$G$2:$T$2,0))</f>
        <v>0</v>
      </c>
      <c r="I37" s="139">
        <f t="array" ref="I37">INDEX(F_Inputs!$G$4:$T$381,MATCH(Data!$B37&amp;Data!I$6,F_Inputs!$A$4:$A$381&amp;F_Inputs!$B$4:$B$381,0),MATCH(Data!$C37,F_Inputs!$G$2:$T$2,0))</f>
        <v>0</v>
      </c>
      <c r="J37" s="139">
        <f t="array" ref="J37">INDEX(F_Inputs!$G$4:$T$381,MATCH(Data!$B37&amp;Data!J$6,F_Inputs!$A$4:$A$381&amp;F_Inputs!$B$4:$B$381,0),MATCH(Data!$C37,F_Inputs!$G$2:$T$2,0))</f>
        <v>0</v>
      </c>
      <c r="K37" s="139">
        <f t="array" ref="K37">INDEX(F_Inputs!$G$4:$T$381,MATCH(Data!$B37&amp;Data!K$6,F_Inputs!$A$4:$A$381&amp;F_Inputs!$B$4:$B$381,0),MATCH(Data!$C37,F_Inputs!$G$2:$T$2,0))</f>
        <v>0</v>
      </c>
      <c r="L37" s="139">
        <f t="array" ref="L37">INDEX(F_Inputs!$G$4:$T$381,MATCH(Data!$B37&amp;Data!L$6,F_Inputs!$A$4:$A$381&amp;F_Inputs!$B$4:$B$381,0),MATCH(Data!$C37,F_Inputs!$G$2:$T$2,0))</f>
        <v>0</v>
      </c>
      <c r="N37" s="139">
        <f t="array" ref="N37">INDEX(F_Inputs!$G$4:$T$381,MATCH(Data!$B37&amp;Data!N$6,F_Inputs!$A$4:$A$381&amp;F_Inputs!$B$4:$B$381,0),MATCH(Data!$C37,F_Inputs!$G$2:$T$2,0))</f>
        <v>554.365810094106</v>
      </c>
      <c r="P37" s="139">
        <f t="array" ref="P37">INDEX(F_Inputs!$G$4:$T$381,MATCH(Data!$B37&amp;Data!P$6,F_Inputs!$A$4:$A$381&amp;F_Inputs!$B$4:$B$381,0),MATCH(Data!$C37,F_Inputs!$G$2:$T$2,0))</f>
        <v>0</v>
      </c>
      <c r="Q37" s="139">
        <f t="array" ref="Q37">INDEX(F_Inputs!$G$4:$T$381,MATCH(Data!$B37&amp;Data!Q$6,F_Inputs!$A$4:$A$381&amp;F_Inputs!$B$4:$B$381,0),MATCH(Data!$C37,F_Inputs!$G$2:$T$2,0))</f>
        <v>0</v>
      </c>
      <c r="R37" s="139">
        <f t="array" ref="R37">INDEX(F_Inputs!$G$4:$T$381,MATCH(Data!$B37&amp;Data!R$6,F_Inputs!$A$4:$A$381&amp;F_Inputs!$B$4:$B$381,0),MATCH(Data!$C37,F_Inputs!$G$2:$T$2,0))</f>
        <v>0</v>
      </c>
      <c r="S37" s="139">
        <f t="array" ref="S37">INDEX(F_Inputs!$G$4:$T$381,MATCH(Data!$B37&amp;Data!S$6,F_Inputs!$A$4:$A$381&amp;F_Inputs!$B$4:$B$381,0),MATCH(Data!$C37,F_Inputs!$G$2:$T$2,0))</f>
        <v>0</v>
      </c>
      <c r="U37" s="139">
        <f t="array" ref="U37">INDEX(F_Inputs!$G$4:$T$381,MATCH(Data!$B37&amp;Data!U$6,F_Inputs!$A$4:$A$381&amp;F_Inputs!$B$4:$B$381,0),MATCH(Data!$C37,F_Inputs!$G$2:$T$2,0))</f>
        <v>0</v>
      </c>
      <c r="V37" s="139">
        <f t="array" ref="V37">INDEX(F_Inputs!$G$4:$T$381,MATCH(Data!$B37&amp;Data!V$6,F_Inputs!$A$4:$A$381&amp;F_Inputs!$B$4:$B$381,0),MATCH(Data!$C37,F_Inputs!$G$2:$T$2,0))</f>
        <v>0</v>
      </c>
      <c r="W37" s="139">
        <f t="array" ref="W37">INDEX(F_Inputs!$G$4:$T$381,MATCH(Data!$B37&amp;Data!W$6,F_Inputs!$A$4:$A$381&amp;F_Inputs!$B$4:$B$381,0),MATCH(Data!$C37,F_Inputs!$G$2:$T$2,0))</f>
        <v>0</v>
      </c>
    </row>
    <row r="38" spans="1:23" x14ac:dyDescent="0.2">
      <c r="A38" s="138" t="str">
        <f>B38&amp;RIGHT(C38,2)</f>
        <v>NWT14</v>
      </c>
      <c r="B38" s="19" t="s">
        <v>32</v>
      </c>
      <c r="C38" s="143" t="s">
        <v>66</v>
      </c>
      <c r="D38" s="139">
        <f t="array" ref="D38">INDEX(F_Inputs!$G$4:$T$381,MATCH(Data!$B38&amp;Data!D$6,F_Inputs!$A$4:$A$381&amp;F_Inputs!$B$4:$B$381,0),MATCH(Data!$C38,F_Inputs!$G$2:$T$2,0))</f>
        <v>1.3872362629082</v>
      </c>
      <c r="E38" s="139">
        <f t="array" ref="E38">INDEX(F_Inputs!$G$4:$T$381,MATCH(Data!$B38&amp;Data!E$6,F_Inputs!$A$4:$A$381&amp;F_Inputs!$B$4:$B$381,0),MATCH(Data!$C38,F_Inputs!$G$2:$T$2,0))</f>
        <v>0</v>
      </c>
      <c r="F38" s="139">
        <f t="array" ref="F38">INDEX(F_Inputs!$G$4:$T$381,MATCH(Data!$B38&amp;Data!F$6,F_Inputs!$A$4:$A$381&amp;F_Inputs!$B$4:$B$381,0),MATCH(Data!$C38,F_Inputs!$G$2:$T$2,0))</f>
        <v>4.8185751848526097</v>
      </c>
      <c r="G38" s="139">
        <f t="array" ref="G38">INDEX(F_Inputs!$G$4:$T$381,MATCH(Data!$B38&amp;Data!G$6,F_Inputs!$A$4:$A$381&amp;F_Inputs!$B$4:$B$381,0),MATCH(Data!$C38,F_Inputs!$G$2:$T$2,0))</f>
        <v>0</v>
      </c>
      <c r="I38" s="139">
        <f t="array" ref="I38">INDEX(F_Inputs!$G$4:$T$381,MATCH(Data!$B38&amp;Data!I$6,F_Inputs!$A$4:$A$381&amp;F_Inputs!$B$4:$B$381,0),MATCH(Data!$C38,F_Inputs!$G$2:$T$2,0))</f>
        <v>0</v>
      </c>
      <c r="J38" s="139">
        <f t="array" ref="J38">INDEX(F_Inputs!$G$4:$T$381,MATCH(Data!$B38&amp;Data!J$6,F_Inputs!$A$4:$A$381&amp;F_Inputs!$B$4:$B$381,0),MATCH(Data!$C38,F_Inputs!$G$2:$T$2,0))</f>
        <v>0</v>
      </c>
      <c r="K38" s="139">
        <f t="array" ref="K38">INDEX(F_Inputs!$G$4:$T$381,MATCH(Data!$B38&amp;Data!K$6,F_Inputs!$A$4:$A$381&amp;F_Inputs!$B$4:$B$381,0),MATCH(Data!$C38,F_Inputs!$G$2:$T$2,0))</f>
        <v>0</v>
      </c>
      <c r="L38" s="139">
        <f t="array" ref="L38">INDEX(F_Inputs!$G$4:$T$381,MATCH(Data!$B38&amp;Data!L$6,F_Inputs!$A$4:$A$381&amp;F_Inputs!$B$4:$B$381,0),MATCH(Data!$C38,F_Inputs!$G$2:$T$2,0))</f>
        <v>0</v>
      </c>
      <c r="N38" s="139">
        <f t="array" ref="N38">INDEX(F_Inputs!$G$4:$T$381,MATCH(Data!$B38&amp;Data!N$6,F_Inputs!$A$4:$A$381&amp;F_Inputs!$B$4:$B$381,0),MATCH(Data!$C38,F_Inputs!$G$2:$T$2,0))</f>
        <v>550.98658258033299</v>
      </c>
      <c r="P38" s="139">
        <f t="array" ref="P38">INDEX(F_Inputs!$G$4:$T$381,MATCH(Data!$B38&amp;Data!P$6,F_Inputs!$A$4:$A$381&amp;F_Inputs!$B$4:$B$381,0),MATCH(Data!$C38,F_Inputs!$G$2:$T$2,0))</f>
        <v>0</v>
      </c>
      <c r="Q38" s="139">
        <f t="array" ref="Q38">INDEX(F_Inputs!$G$4:$T$381,MATCH(Data!$B38&amp;Data!Q$6,F_Inputs!$A$4:$A$381&amp;F_Inputs!$B$4:$B$381,0),MATCH(Data!$C38,F_Inputs!$G$2:$T$2,0))</f>
        <v>0</v>
      </c>
      <c r="R38" s="139">
        <f t="array" ref="R38">INDEX(F_Inputs!$G$4:$T$381,MATCH(Data!$B38&amp;Data!R$6,F_Inputs!$A$4:$A$381&amp;F_Inputs!$B$4:$B$381,0),MATCH(Data!$C38,F_Inputs!$G$2:$T$2,0))</f>
        <v>0</v>
      </c>
      <c r="S38" s="139">
        <f t="array" ref="S38">INDEX(F_Inputs!$G$4:$T$381,MATCH(Data!$B38&amp;Data!S$6,F_Inputs!$A$4:$A$381&amp;F_Inputs!$B$4:$B$381,0),MATCH(Data!$C38,F_Inputs!$G$2:$T$2,0))</f>
        <v>0</v>
      </c>
      <c r="U38" s="139">
        <f t="array" ref="U38">INDEX(F_Inputs!$G$4:$T$381,MATCH(Data!$B38&amp;Data!U$6,F_Inputs!$A$4:$A$381&amp;F_Inputs!$B$4:$B$381,0),MATCH(Data!$C38,F_Inputs!$G$2:$T$2,0))</f>
        <v>0</v>
      </c>
      <c r="V38" s="139">
        <f t="array" ref="V38">INDEX(F_Inputs!$G$4:$T$381,MATCH(Data!$B38&amp;Data!V$6,F_Inputs!$A$4:$A$381&amp;F_Inputs!$B$4:$B$381,0),MATCH(Data!$C38,F_Inputs!$G$2:$T$2,0))</f>
        <v>0</v>
      </c>
      <c r="W38" s="139">
        <f t="array" ref="W38">INDEX(F_Inputs!$G$4:$T$381,MATCH(Data!$B38&amp;Data!W$6,F_Inputs!$A$4:$A$381&amp;F_Inputs!$B$4:$B$381,0),MATCH(Data!$C38,F_Inputs!$G$2:$T$2,0))</f>
        <v>0</v>
      </c>
    </row>
    <row r="39" spans="1:23" x14ac:dyDescent="0.2">
      <c r="A39" s="138" t="str">
        <f>B39&amp;RIGHT(C39,2)</f>
        <v>NWT15</v>
      </c>
      <c r="B39" s="19" t="s">
        <v>32</v>
      </c>
      <c r="C39" s="143" t="s">
        <v>67</v>
      </c>
      <c r="D39" s="139">
        <f t="array" ref="D39">INDEX(F_Inputs!$G$4:$T$381,MATCH(Data!$B39&amp;Data!D$6,F_Inputs!$A$4:$A$381&amp;F_Inputs!$B$4:$B$381,0),MATCH(Data!$C39,F_Inputs!$G$2:$T$2,0))</f>
        <v>5.6390525741188604</v>
      </c>
      <c r="E39" s="139">
        <f t="array" ref="E39">INDEX(F_Inputs!$G$4:$T$381,MATCH(Data!$B39&amp;Data!E$6,F_Inputs!$A$4:$A$381&amp;F_Inputs!$B$4:$B$381,0),MATCH(Data!$C39,F_Inputs!$G$2:$T$2,0))</f>
        <v>0</v>
      </c>
      <c r="F39" s="139">
        <f t="array" ref="F39">INDEX(F_Inputs!$G$4:$T$381,MATCH(Data!$B39&amp;Data!F$6,F_Inputs!$A$4:$A$381&amp;F_Inputs!$B$4:$B$381,0),MATCH(Data!$C39,F_Inputs!$G$2:$T$2,0))</f>
        <v>3.3850244246005801</v>
      </c>
      <c r="G39" s="139">
        <f t="array" ref="G39">INDEX(F_Inputs!$G$4:$T$381,MATCH(Data!$B39&amp;Data!G$6,F_Inputs!$A$4:$A$381&amp;F_Inputs!$B$4:$B$381,0),MATCH(Data!$C39,F_Inputs!$G$2:$T$2,0))</f>
        <v>0</v>
      </c>
      <c r="I39" s="139">
        <f t="array" ref="I39">INDEX(F_Inputs!$G$4:$T$381,MATCH(Data!$B39&amp;Data!I$6,F_Inputs!$A$4:$A$381&amp;F_Inputs!$B$4:$B$381,0),MATCH(Data!$C39,F_Inputs!$G$2:$T$2,0))</f>
        <v>0</v>
      </c>
      <c r="J39" s="139">
        <f t="array" ref="J39">INDEX(F_Inputs!$G$4:$T$381,MATCH(Data!$B39&amp;Data!J$6,F_Inputs!$A$4:$A$381&amp;F_Inputs!$B$4:$B$381,0),MATCH(Data!$C39,F_Inputs!$G$2:$T$2,0))</f>
        <v>0</v>
      </c>
      <c r="K39" s="139">
        <f t="array" ref="K39">INDEX(F_Inputs!$G$4:$T$381,MATCH(Data!$B39&amp;Data!K$6,F_Inputs!$A$4:$A$381&amp;F_Inputs!$B$4:$B$381,0),MATCH(Data!$C39,F_Inputs!$G$2:$T$2,0))</f>
        <v>0</v>
      </c>
      <c r="L39" s="139">
        <f t="array" ref="L39">INDEX(F_Inputs!$G$4:$T$381,MATCH(Data!$B39&amp;Data!L$6,F_Inputs!$A$4:$A$381&amp;F_Inputs!$B$4:$B$381,0),MATCH(Data!$C39,F_Inputs!$G$2:$T$2,0))</f>
        <v>0</v>
      </c>
      <c r="N39" s="139">
        <f t="array" ref="N39">INDEX(F_Inputs!$G$4:$T$381,MATCH(Data!$B39&amp;Data!N$6,F_Inputs!$A$4:$A$381&amp;F_Inputs!$B$4:$B$381,0),MATCH(Data!$C39,F_Inputs!$G$2:$T$2,0))</f>
        <v>545.10877467810997</v>
      </c>
      <c r="P39" s="139">
        <f t="array" ref="P39">INDEX(F_Inputs!$G$4:$T$381,MATCH(Data!$B39&amp;Data!P$6,F_Inputs!$A$4:$A$381&amp;F_Inputs!$B$4:$B$381,0),MATCH(Data!$C39,F_Inputs!$G$2:$T$2,0))</f>
        <v>0</v>
      </c>
      <c r="Q39" s="139">
        <f t="array" ref="Q39">INDEX(F_Inputs!$G$4:$T$381,MATCH(Data!$B39&amp;Data!Q$6,F_Inputs!$A$4:$A$381&amp;F_Inputs!$B$4:$B$381,0),MATCH(Data!$C39,F_Inputs!$G$2:$T$2,0))</f>
        <v>0</v>
      </c>
      <c r="R39" s="139">
        <f t="array" ref="R39">INDEX(F_Inputs!$G$4:$T$381,MATCH(Data!$B39&amp;Data!R$6,F_Inputs!$A$4:$A$381&amp;F_Inputs!$B$4:$B$381,0),MATCH(Data!$C39,F_Inputs!$G$2:$T$2,0))</f>
        <v>0</v>
      </c>
      <c r="S39" s="139">
        <f t="array" ref="S39">INDEX(F_Inputs!$G$4:$T$381,MATCH(Data!$B39&amp;Data!S$6,F_Inputs!$A$4:$A$381&amp;F_Inputs!$B$4:$B$381,0),MATCH(Data!$C39,F_Inputs!$G$2:$T$2,0))</f>
        <v>0</v>
      </c>
      <c r="U39" s="139">
        <f t="array" ref="U39">INDEX(F_Inputs!$G$4:$T$381,MATCH(Data!$B39&amp;Data!U$6,F_Inputs!$A$4:$A$381&amp;F_Inputs!$B$4:$B$381,0),MATCH(Data!$C39,F_Inputs!$G$2:$T$2,0))</f>
        <v>0</v>
      </c>
      <c r="V39" s="139">
        <f t="array" ref="V39">INDEX(F_Inputs!$G$4:$T$381,MATCH(Data!$B39&amp;Data!V$6,F_Inputs!$A$4:$A$381&amp;F_Inputs!$B$4:$B$381,0),MATCH(Data!$C39,F_Inputs!$G$2:$T$2,0))</f>
        <v>0</v>
      </c>
      <c r="W39" s="139">
        <f t="array" ref="W39">INDEX(F_Inputs!$G$4:$T$381,MATCH(Data!$B39&amp;Data!W$6,F_Inputs!$A$4:$A$381&amp;F_Inputs!$B$4:$B$381,0),MATCH(Data!$C39,F_Inputs!$G$2:$T$2,0))</f>
        <v>0</v>
      </c>
    </row>
    <row r="40" spans="1:23" x14ac:dyDescent="0.2">
      <c r="A40" s="138" t="str">
        <f>B40&amp;RIGHT(C40,2)</f>
        <v>NWT16</v>
      </c>
      <c r="B40" s="19" t="s">
        <v>32</v>
      </c>
      <c r="C40" s="143" t="s">
        <v>68</v>
      </c>
      <c r="D40" s="139">
        <f t="array" ref="D40">INDEX(F_Inputs!$G$4:$T$381,MATCH(Data!$B40&amp;Data!D$6,F_Inputs!$A$4:$A$381&amp;F_Inputs!$B$4:$B$381,0),MATCH(Data!$C40,F_Inputs!$G$2:$T$2,0))</f>
        <v>22.404109534860101</v>
      </c>
      <c r="E40" s="139">
        <f t="array" ref="E40">INDEX(F_Inputs!$G$4:$T$381,MATCH(Data!$B40&amp;Data!E$6,F_Inputs!$A$4:$A$381&amp;F_Inputs!$B$4:$B$381,0),MATCH(Data!$C40,F_Inputs!$G$2:$T$2,0))</f>
        <v>0</v>
      </c>
      <c r="F40" s="139">
        <f t="array" ref="F40">INDEX(F_Inputs!$G$4:$T$381,MATCH(Data!$B40&amp;Data!F$6,F_Inputs!$A$4:$A$381&amp;F_Inputs!$B$4:$B$381,0),MATCH(Data!$C40,F_Inputs!$G$2:$T$2,0))</f>
        <v>13.128178702163099</v>
      </c>
      <c r="G40" s="139">
        <f t="array" ref="G40">INDEX(F_Inputs!$G$4:$T$381,MATCH(Data!$B40&amp;Data!G$6,F_Inputs!$A$4:$A$381&amp;F_Inputs!$B$4:$B$381,0),MATCH(Data!$C40,F_Inputs!$G$2:$T$2,0))</f>
        <v>0</v>
      </c>
      <c r="I40" s="139">
        <f t="array" ref="I40">INDEX(F_Inputs!$G$4:$T$381,MATCH(Data!$B40&amp;Data!I$6,F_Inputs!$A$4:$A$381&amp;F_Inputs!$B$4:$B$381,0),MATCH(Data!$C40,F_Inputs!$G$2:$T$2,0))</f>
        <v>0</v>
      </c>
      <c r="J40" s="139">
        <f t="array" ref="J40">INDEX(F_Inputs!$G$4:$T$381,MATCH(Data!$B40&amp;Data!J$6,F_Inputs!$A$4:$A$381&amp;F_Inputs!$B$4:$B$381,0),MATCH(Data!$C40,F_Inputs!$G$2:$T$2,0))</f>
        <v>0</v>
      </c>
      <c r="K40" s="139">
        <f t="array" ref="K40">INDEX(F_Inputs!$G$4:$T$381,MATCH(Data!$B40&amp;Data!K$6,F_Inputs!$A$4:$A$381&amp;F_Inputs!$B$4:$B$381,0),MATCH(Data!$C40,F_Inputs!$G$2:$T$2,0))</f>
        <v>0</v>
      </c>
      <c r="L40" s="139">
        <f t="array" ref="L40">INDEX(F_Inputs!$G$4:$T$381,MATCH(Data!$B40&amp;Data!L$6,F_Inputs!$A$4:$A$381&amp;F_Inputs!$B$4:$B$381,0),MATCH(Data!$C40,F_Inputs!$G$2:$T$2,0))</f>
        <v>0</v>
      </c>
      <c r="N40" s="139">
        <f t="array" ref="N40">INDEX(F_Inputs!$G$4:$T$381,MATCH(Data!$B40&amp;Data!N$6,F_Inputs!$A$4:$A$381&amp;F_Inputs!$B$4:$B$381,0),MATCH(Data!$C40,F_Inputs!$G$2:$T$2,0))</f>
        <v>549.52491572140104</v>
      </c>
      <c r="P40" s="139">
        <f t="array" ref="P40">INDEX(F_Inputs!$G$4:$T$381,MATCH(Data!$B40&amp;Data!P$6,F_Inputs!$A$4:$A$381&amp;F_Inputs!$B$4:$B$381,0),MATCH(Data!$C40,F_Inputs!$G$2:$T$2,0))</f>
        <v>0</v>
      </c>
      <c r="Q40" s="139">
        <f t="array" ref="Q40">INDEX(F_Inputs!$G$4:$T$381,MATCH(Data!$B40&amp;Data!Q$6,F_Inputs!$A$4:$A$381&amp;F_Inputs!$B$4:$B$381,0),MATCH(Data!$C40,F_Inputs!$G$2:$T$2,0))</f>
        <v>0</v>
      </c>
      <c r="R40" s="139">
        <f t="array" ref="R40">INDEX(F_Inputs!$G$4:$T$381,MATCH(Data!$B40&amp;Data!R$6,F_Inputs!$A$4:$A$381&amp;F_Inputs!$B$4:$B$381,0),MATCH(Data!$C40,F_Inputs!$G$2:$T$2,0))</f>
        <v>0</v>
      </c>
      <c r="S40" s="139">
        <f t="array" ref="S40">INDEX(F_Inputs!$G$4:$T$381,MATCH(Data!$B40&amp;Data!S$6,F_Inputs!$A$4:$A$381&amp;F_Inputs!$B$4:$B$381,0),MATCH(Data!$C40,F_Inputs!$G$2:$T$2,0))</f>
        <v>0</v>
      </c>
      <c r="U40" s="139">
        <f t="array" ref="U40">INDEX(F_Inputs!$G$4:$T$381,MATCH(Data!$B40&amp;Data!U$6,F_Inputs!$A$4:$A$381&amp;F_Inputs!$B$4:$B$381,0),MATCH(Data!$C40,F_Inputs!$G$2:$T$2,0))</f>
        <v>0</v>
      </c>
      <c r="V40" s="139">
        <f t="array" ref="V40">INDEX(F_Inputs!$G$4:$T$381,MATCH(Data!$B40&amp;Data!V$6,F_Inputs!$A$4:$A$381&amp;F_Inputs!$B$4:$B$381,0),MATCH(Data!$C40,F_Inputs!$G$2:$T$2,0))</f>
        <v>0</v>
      </c>
      <c r="W40" s="139">
        <f t="array" ref="W40">INDEX(F_Inputs!$G$4:$T$381,MATCH(Data!$B40&amp;Data!W$6,F_Inputs!$A$4:$A$381&amp;F_Inputs!$B$4:$B$381,0),MATCH(Data!$C40,F_Inputs!$G$2:$T$2,0))</f>
        <v>0</v>
      </c>
    </row>
    <row r="41" spans="1:23" x14ac:dyDescent="0.2">
      <c r="A41" s="138" t="str">
        <f>B41&amp;RIGHT(C41,2)</f>
        <v>NWT17</v>
      </c>
      <c r="B41" s="19" t="s">
        <v>32</v>
      </c>
      <c r="C41" s="143" t="s">
        <v>69</v>
      </c>
      <c r="D41" s="139">
        <f t="array" ref="D41">INDEX(F_Inputs!$G$4:$T$381,MATCH(Data!$B41&amp;Data!D$6,F_Inputs!$A$4:$A$381&amp;F_Inputs!$B$4:$B$381,0),MATCH(Data!$C41,F_Inputs!$G$2:$T$2,0))</f>
        <v>1.9210217673186201</v>
      </c>
      <c r="E41" s="139">
        <f t="array" ref="E41">INDEX(F_Inputs!$G$4:$T$381,MATCH(Data!$B41&amp;Data!E$6,F_Inputs!$A$4:$A$381&amp;F_Inputs!$B$4:$B$381,0),MATCH(Data!$C41,F_Inputs!$G$2:$T$2,0))</f>
        <v>0</v>
      </c>
      <c r="F41" s="139">
        <f t="array" ref="F41">INDEX(F_Inputs!$G$4:$T$381,MATCH(Data!$B41&amp;Data!F$6,F_Inputs!$A$4:$A$381&amp;F_Inputs!$B$4:$B$381,0),MATCH(Data!$C41,F_Inputs!$G$2:$T$2,0))</f>
        <v>47.9966904545931</v>
      </c>
      <c r="G41" s="139">
        <f t="array" ref="G41">INDEX(F_Inputs!$G$4:$T$381,MATCH(Data!$B41&amp;Data!G$6,F_Inputs!$A$4:$A$381&amp;F_Inputs!$B$4:$B$381,0),MATCH(Data!$C41,F_Inputs!$G$2:$T$2,0))</f>
        <v>0</v>
      </c>
      <c r="I41" s="139">
        <f t="array" ref="I41">INDEX(F_Inputs!$G$4:$T$381,MATCH(Data!$B41&amp;Data!I$6,F_Inputs!$A$4:$A$381&amp;F_Inputs!$B$4:$B$381,0),MATCH(Data!$C41,F_Inputs!$G$2:$T$2,0))</f>
        <v>0</v>
      </c>
      <c r="J41" s="139">
        <f t="array" ref="J41">INDEX(F_Inputs!$G$4:$T$381,MATCH(Data!$B41&amp;Data!J$6,F_Inputs!$A$4:$A$381&amp;F_Inputs!$B$4:$B$381,0),MATCH(Data!$C41,F_Inputs!$G$2:$T$2,0))</f>
        <v>0</v>
      </c>
      <c r="K41" s="139">
        <f t="array" ref="K41">INDEX(F_Inputs!$G$4:$T$381,MATCH(Data!$B41&amp;Data!K$6,F_Inputs!$A$4:$A$381&amp;F_Inputs!$B$4:$B$381,0),MATCH(Data!$C41,F_Inputs!$G$2:$T$2,0))</f>
        <v>0</v>
      </c>
      <c r="L41" s="139">
        <f t="array" ref="L41">INDEX(F_Inputs!$G$4:$T$381,MATCH(Data!$B41&amp;Data!L$6,F_Inputs!$A$4:$A$381&amp;F_Inputs!$B$4:$B$381,0),MATCH(Data!$C41,F_Inputs!$G$2:$T$2,0))</f>
        <v>0</v>
      </c>
      <c r="N41" s="139">
        <f t="array" ref="N41">INDEX(F_Inputs!$G$4:$T$381,MATCH(Data!$B41&amp;Data!N$6,F_Inputs!$A$4:$A$381&amp;F_Inputs!$B$4:$B$381,0),MATCH(Data!$C41,F_Inputs!$G$2:$T$2,0))</f>
        <v>612.83711295080104</v>
      </c>
      <c r="P41" s="139">
        <f t="array" ref="P41">INDEX(F_Inputs!$G$4:$T$381,MATCH(Data!$B41&amp;Data!P$6,F_Inputs!$A$4:$A$381&amp;F_Inputs!$B$4:$B$381,0),MATCH(Data!$C41,F_Inputs!$G$2:$T$2,0))</f>
        <v>0</v>
      </c>
      <c r="Q41" s="139">
        <f t="array" ref="Q41">INDEX(F_Inputs!$G$4:$T$381,MATCH(Data!$B41&amp;Data!Q$6,F_Inputs!$A$4:$A$381&amp;F_Inputs!$B$4:$B$381,0),MATCH(Data!$C41,F_Inputs!$G$2:$T$2,0))</f>
        <v>0</v>
      </c>
      <c r="R41" s="139">
        <f t="array" ref="R41">INDEX(F_Inputs!$G$4:$T$381,MATCH(Data!$B41&amp;Data!R$6,F_Inputs!$A$4:$A$381&amp;F_Inputs!$B$4:$B$381,0),MATCH(Data!$C41,F_Inputs!$G$2:$T$2,0))</f>
        <v>0</v>
      </c>
      <c r="S41" s="139">
        <f t="array" ref="S41">INDEX(F_Inputs!$G$4:$T$381,MATCH(Data!$B41&amp;Data!S$6,F_Inputs!$A$4:$A$381&amp;F_Inputs!$B$4:$B$381,0),MATCH(Data!$C41,F_Inputs!$G$2:$T$2,0))</f>
        <v>0</v>
      </c>
      <c r="U41" s="139">
        <f t="array" ref="U41">INDEX(F_Inputs!$G$4:$T$381,MATCH(Data!$B41&amp;Data!U$6,F_Inputs!$A$4:$A$381&amp;F_Inputs!$B$4:$B$381,0),MATCH(Data!$C41,F_Inputs!$G$2:$T$2,0))</f>
        <v>0</v>
      </c>
      <c r="V41" s="139">
        <f t="array" ref="V41">INDEX(F_Inputs!$G$4:$T$381,MATCH(Data!$B41&amp;Data!V$6,F_Inputs!$A$4:$A$381&amp;F_Inputs!$B$4:$B$381,0),MATCH(Data!$C41,F_Inputs!$G$2:$T$2,0))</f>
        <v>0</v>
      </c>
      <c r="W41" s="139">
        <f t="array" ref="W41">INDEX(F_Inputs!$G$4:$T$381,MATCH(Data!$B41&amp;Data!W$6,F_Inputs!$A$4:$A$381&amp;F_Inputs!$B$4:$B$381,0),MATCH(Data!$C41,F_Inputs!$G$2:$T$2,0))</f>
        <v>0</v>
      </c>
    </row>
    <row r="42" spans="1:23" x14ac:dyDescent="0.2">
      <c r="A42" s="141" t="s">
        <v>150</v>
      </c>
      <c r="B42" s="142" t="s">
        <v>32</v>
      </c>
      <c r="C42" s="142" t="s">
        <v>70</v>
      </c>
      <c r="D42" s="139">
        <f t="array" ref="D42">INDEX(F_Inputs!$G$4:$T$381,MATCH(Data!$B42&amp;Data!D$6,F_Inputs!$A$4:$A$381&amp;F_Inputs!$B$4:$B$381,0),MATCH(Data!$C42,F_Inputs!$G$2:$T$2,0))</f>
        <v>0.80757541674</v>
      </c>
      <c r="E42" s="139">
        <f t="array" ref="E42">INDEX(F_Inputs!$G$4:$T$381,MATCH(Data!$B42&amp;Data!E$6,F_Inputs!$A$4:$A$381&amp;F_Inputs!$B$4:$B$381,0),MATCH(Data!$C42,F_Inputs!$G$2:$T$2,0))</f>
        <v>0</v>
      </c>
      <c r="F42" s="139">
        <f t="array" ref="F42">INDEX(F_Inputs!$G$4:$T$381,MATCH(Data!$B42&amp;Data!F$6,F_Inputs!$A$4:$A$381&amp;F_Inputs!$B$4:$B$381,0),MATCH(Data!$C42,F_Inputs!$G$2:$T$2,0))</f>
        <v>80.262070156463395</v>
      </c>
      <c r="G42" s="139">
        <f t="array" ref="G42">INDEX(F_Inputs!$G$4:$T$381,MATCH(Data!$B42&amp;Data!G$6,F_Inputs!$A$4:$A$381&amp;F_Inputs!$B$4:$B$381,0),MATCH(Data!$C42,F_Inputs!$G$2:$T$2,0))</f>
        <v>0</v>
      </c>
      <c r="I42" s="139">
        <f t="array" ref="I42">INDEX(F_Inputs!$G$4:$T$381,MATCH(Data!$B42&amp;Data!I$6,F_Inputs!$A$4:$A$381&amp;F_Inputs!$B$4:$B$381,0),MATCH(Data!$C42,F_Inputs!$G$2:$T$2,0))</f>
        <v>0.87565898616515803</v>
      </c>
      <c r="J42" s="139">
        <f t="array" ref="J42">INDEX(F_Inputs!$G$4:$T$381,MATCH(Data!$B42&amp;Data!J$6,F_Inputs!$A$4:$A$381&amp;F_Inputs!$B$4:$B$381,0),MATCH(Data!$C42,F_Inputs!$G$2:$T$2,0))</f>
        <v>0</v>
      </c>
      <c r="K42" s="139">
        <f t="array" ref="K42">INDEX(F_Inputs!$G$4:$T$381,MATCH(Data!$B42&amp;Data!K$6,F_Inputs!$A$4:$A$381&amp;F_Inputs!$B$4:$B$381,0),MATCH(Data!$C42,F_Inputs!$G$2:$T$2,0))</f>
        <v>0</v>
      </c>
      <c r="L42" s="139">
        <f t="array" ref="L42">INDEX(F_Inputs!$G$4:$T$381,MATCH(Data!$B42&amp;Data!L$6,F_Inputs!$A$4:$A$381&amp;F_Inputs!$B$4:$B$381,0),MATCH(Data!$C42,F_Inputs!$G$2:$T$2,0))</f>
        <v>0</v>
      </c>
      <c r="N42" s="139">
        <f t="array" ref="N42">INDEX(F_Inputs!$G$4:$T$381,MATCH(Data!$B42&amp;Data!N$6,F_Inputs!$A$4:$A$381&amp;F_Inputs!$B$4:$B$381,0),MATCH(Data!$C42,F_Inputs!$G$2:$T$2,0))</f>
        <v>601.49757264262496</v>
      </c>
      <c r="P42" s="139">
        <f t="array" ref="P42">INDEX(F_Inputs!$G$4:$T$381,MATCH(Data!$B42&amp;Data!P$6,F_Inputs!$A$4:$A$381&amp;F_Inputs!$B$4:$B$381,0),MATCH(Data!$C42,F_Inputs!$G$2:$T$2,0))</f>
        <v>3</v>
      </c>
      <c r="Q42" s="139">
        <f t="array" ref="Q42">INDEX(F_Inputs!$G$4:$T$381,MATCH(Data!$B42&amp;Data!Q$6,F_Inputs!$A$4:$A$381&amp;F_Inputs!$B$4:$B$381,0),MATCH(Data!$C42,F_Inputs!$G$2:$T$2,0))</f>
        <v>3</v>
      </c>
      <c r="R42" s="139">
        <f t="array" ref="R42">INDEX(F_Inputs!$G$4:$T$381,MATCH(Data!$B42&amp;Data!R$6,F_Inputs!$A$4:$A$381&amp;F_Inputs!$B$4:$B$381,0),MATCH(Data!$C42,F_Inputs!$G$2:$T$2,0))</f>
        <v>0</v>
      </c>
      <c r="S42" s="139">
        <f t="array" ref="S42">INDEX(F_Inputs!$G$4:$T$381,MATCH(Data!$B42&amp;Data!S$6,F_Inputs!$A$4:$A$381&amp;F_Inputs!$B$4:$B$381,0),MATCH(Data!$C42,F_Inputs!$G$2:$T$2,0))</f>
        <v>0</v>
      </c>
      <c r="U42" s="139">
        <f t="array" ref="U42">INDEX(F_Inputs!$G$4:$T$381,MATCH(Data!$B42&amp;Data!U$6,F_Inputs!$A$4:$A$381&amp;F_Inputs!$B$4:$B$381,0),MATCH(Data!$C42,F_Inputs!$G$2:$T$2,0))</f>
        <v>453.52</v>
      </c>
      <c r="V42" s="139">
        <f t="array" ref="V42">INDEX(F_Inputs!$G$4:$T$381,MATCH(Data!$B42&amp;Data!V$6,F_Inputs!$A$4:$A$381&amp;F_Inputs!$B$4:$B$381,0),MATCH(Data!$C42,F_Inputs!$G$2:$T$2,0))</f>
        <v>42102.877915341996</v>
      </c>
      <c r="W42" s="139">
        <f t="array" ref="W42">INDEX(F_Inputs!$G$4:$T$381,MATCH(Data!$B42&amp;Data!W$6,F_Inputs!$A$4:$A$381&amp;F_Inputs!$B$4:$B$381,0),MATCH(Data!$C42,F_Inputs!$G$2:$T$2,0))</f>
        <v>3313.1869999999999</v>
      </c>
    </row>
    <row r="43" spans="1:23" x14ac:dyDescent="0.2">
      <c r="A43" s="141" t="s">
        <v>151</v>
      </c>
      <c r="B43" s="142" t="s">
        <v>32</v>
      </c>
      <c r="C43" s="142" t="s">
        <v>71</v>
      </c>
      <c r="D43" s="139">
        <f t="array" ref="D43">INDEX(F_Inputs!$G$4:$T$381,MATCH(Data!$B43&amp;Data!D$6,F_Inputs!$A$4:$A$381&amp;F_Inputs!$B$4:$B$381,0),MATCH(Data!$C43,F_Inputs!$G$2:$T$2,0))</f>
        <v>0.35548024774610198</v>
      </c>
      <c r="E43" s="139">
        <f t="array" ref="E43">INDEX(F_Inputs!$G$4:$T$381,MATCH(Data!$B43&amp;Data!E$6,F_Inputs!$A$4:$A$381&amp;F_Inputs!$B$4:$B$381,0),MATCH(Data!$C43,F_Inputs!$G$2:$T$2,0))</f>
        <v>0</v>
      </c>
      <c r="F43" s="139">
        <f t="array" ref="F43">INDEX(F_Inputs!$G$4:$T$381,MATCH(Data!$B43&amp;Data!F$6,F_Inputs!$A$4:$A$381&amp;F_Inputs!$B$4:$B$381,0),MATCH(Data!$C43,F_Inputs!$G$2:$T$2,0))</f>
        <v>94.367314206244302</v>
      </c>
      <c r="G43" s="139">
        <f t="array" ref="G43">INDEX(F_Inputs!$G$4:$T$381,MATCH(Data!$B43&amp;Data!G$6,F_Inputs!$A$4:$A$381&amp;F_Inputs!$B$4:$B$381,0),MATCH(Data!$C43,F_Inputs!$G$2:$T$2,0))</f>
        <v>0</v>
      </c>
      <c r="I43" s="139">
        <f t="array" ref="I43">INDEX(F_Inputs!$G$4:$T$381,MATCH(Data!$B43&amp;Data!I$6,F_Inputs!$A$4:$A$381&amp;F_Inputs!$B$4:$B$381,0),MATCH(Data!$C43,F_Inputs!$G$2:$T$2,0))</f>
        <v>0.90742003881129096</v>
      </c>
      <c r="J43" s="139">
        <f t="array" ref="J43">INDEX(F_Inputs!$G$4:$T$381,MATCH(Data!$B43&amp;Data!J$6,F_Inputs!$A$4:$A$381&amp;F_Inputs!$B$4:$B$381,0),MATCH(Data!$C43,F_Inputs!$G$2:$T$2,0))</f>
        <v>0</v>
      </c>
      <c r="K43" s="139">
        <f t="array" ref="K43">INDEX(F_Inputs!$G$4:$T$381,MATCH(Data!$B43&amp;Data!K$6,F_Inputs!$A$4:$A$381&amp;F_Inputs!$B$4:$B$381,0),MATCH(Data!$C43,F_Inputs!$G$2:$T$2,0))</f>
        <v>0</v>
      </c>
      <c r="L43" s="139">
        <f t="array" ref="L43">INDEX(F_Inputs!$G$4:$T$381,MATCH(Data!$B43&amp;Data!L$6,F_Inputs!$A$4:$A$381&amp;F_Inputs!$B$4:$B$381,0),MATCH(Data!$C43,F_Inputs!$G$2:$T$2,0))</f>
        <v>0</v>
      </c>
      <c r="N43" s="139">
        <f t="array" ref="N43">INDEX(F_Inputs!$G$4:$T$381,MATCH(Data!$B43&amp;Data!N$6,F_Inputs!$A$4:$A$381&amp;F_Inputs!$B$4:$B$381,0),MATCH(Data!$C43,F_Inputs!$G$2:$T$2,0))</f>
        <v>621.85288548097799</v>
      </c>
      <c r="P43" s="139">
        <f t="array" ref="P43">INDEX(F_Inputs!$G$4:$T$381,MATCH(Data!$B43&amp;Data!P$6,F_Inputs!$A$4:$A$381&amp;F_Inputs!$B$4:$B$381,0),MATCH(Data!$C43,F_Inputs!$G$2:$T$2,0))</f>
        <v>0</v>
      </c>
      <c r="Q43" s="139">
        <f t="array" ref="Q43">INDEX(F_Inputs!$G$4:$T$381,MATCH(Data!$B43&amp;Data!Q$6,F_Inputs!$A$4:$A$381&amp;F_Inputs!$B$4:$B$381,0),MATCH(Data!$C43,F_Inputs!$G$2:$T$2,0))</f>
        <v>0</v>
      </c>
      <c r="R43" s="139">
        <f t="array" ref="R43">INDEX(F_Inputs!$G$4:$T$381,MATCH(Data!$B43&amp;Data!R$6,F_Inputs!$A$4:$A$381&amp;F_Inputs!$B$4:$B$381,0),MATCH(Data!$C43,F_Inputs!$G$2:$T$2,0))</f>
        <v>0</v>
      </c>
      <c r="S43" s="139">
        <f t="array" ref="S43">INDEX(F_Inputs!$G$4:$T$381,MATCH(Data!$B43&amp;Data!S$6,F_Inputs!$A$4:$A$381&amp;F_Inputs!$B$4:$B$381,0),MATCH(Data!$C43,F_Inputs!$G$2:$T$2,0))</f>
        <v>0</v>
      </c>
      <c r="U43" s="139">
        <f t="array" ref="U43">INDEX(F_Inputs!$G$4:$T$381,MATCH(Data!$B43&amp;Data!U$6,F_Inputs!$A$4:$A$381&amp;F_Inputs!$B$4:$B$381,0),MATCH(Data!$C43,F_Inputs!$G$2:$T$2,0))</f>
        <v>448.23</v>
      </c>
      <c r="V43" s="139">
        <f t="array" ref="V43">INDEX(F_Inputs!$G$4:$T$381,MATCH(Data!$B43&amp;Data!V$6,F_Inputs!$A$4:$A$381&amp;F_Inputs!$B$4:$B$381,0),MATCH(Data!$C43,F_Inputs!$G$2:$T$2,0))</f>
        <v>42261.9570552</v>
      </c>
      <c r="W43" s="139">
        <f t="array" ref="W43">INDEX(F_Inputs!$G$4:$T$381,MATCH(Data!$B43&amp;Data!W$6,F_Inputs!$A$4:$A$381&amp;F_Inputs!$B$4:$B$381,0),MATCH(Data!$C43,F_Inputs!$G$2:$T$2,0))</f>
        <v>3333.5829862270598</v>
      </c>
    </row>
    <row r="44" spans="1:23" x14ac:dyDescent="0.2">
      <c r="A44" s="141" t="s">
        <v>152</v>
      </c>
      <c r="B44" s="142" t="s">
        <v>32</v>
      </c>
      <c r="C44" s="142" t="s">
        <v>72</v>
      </c>
      <c r="D44" s="139">
        <f t="array" ref="D44">INDEX(F_Inputs!$G$4:$T$381,MATCH(Data!$B44&amp;Data!D$6,F_Inputs!$A$4:$A$381&amp;F_Inputs!$B$4:$B$381,0),MATCH(Data!$C44,F_Inputs!$G$2:$T$2,0))</f>
        <v>0</v>
      </c>
      <c r="E44" s="139">
        <f t="array" ref="E44">INDEX(F_Inputs!$G$4:$T$381,MATCH(Data!$B44&amp;Data!E$6,F_Inputs!$A$4:$A$381&amp;F_Inputs!$B$4:$B$381,0),MATCH(Data!$C44,F_Inputs!$G$2:$T$2,0))</f>
        <v>0</v>
      </c>
      <c r="F44" s="139">
        <f t="array" ref="F44">INDEX(F_Inputs!$G$4:$T$381,MATCH(Data!$B44&amp;Data!F$6,F_Inputs!$A$4:$A$381&amp;F_Inputs!$B$4:$B$381,0),MATCH(Data!$C44,F_Inputs!$G$2:$T$2,0))</f>
        <v>47.5335069226577</v>
      </c>
      <c r="G44" s="139">
        <f t="array" ref="G44">INDEX(F_Inputs!$G$4:$T$381,MATCH(Data!$B44&amp;Data!G$6,F_Inputs!$A$4:$A$381&amp;F_Inputs!$B$4:$B$381,0),MATCH(Data!$C44,F_Inputs!$G$2:$T$2,0))</f>
        <v>0</v>
      </c>
      <c r="I44" s="139">
        <f t="array" ref="I44">INDEX(F_Inputs!$G$4:$T$381,MATCH(Data!$B44&amp;Data!I$6,F_Inputs!$A$4:$A$381&amp;F_Inputs!$B$4:$B$381,0),MATCH(Data!$C44,F_Inputs!$G$2:$T$2,0))</f>
        <v>0.94892594311883904</v>
      </c>
      <c r="J44" s="139">
        <f t="array" ref="J44">INDEX(F_Inputs!$G$4:$T$381,MATCH(Data!$B44&amp;Data!J$6,F_Inputs!$A$4:$A$381&amp;F_Inputs!$B$4:$B$381,0),MATCH(Data!$C44,F_Inputs!$G$2:$T$2,0))</f>
        <v>0</v>
      </c>
      <c r="K44" s="139">
        <f t="array" ref="K44">INDEX(F_Inputs!$G$4:$T$381,MATCH(Data!$B44&amp;Data!K$6,F_Inputs!$A$4:$A$381&amp;F_Inputs!$B$4:$B$381,0),MATCH(Data!$C44,F_Inputs!$G$2:$T$2,0))</f>
        <v>0</v>
      </c>
      <c r="L44" s="139">
        <f t="array" ref="L44">INDEX(F_Inputs!$G$4:$T$381,MATCH(Data!$B44&amp;Data!L$6,F_Inputs!$A$4:$A$381&amp;F_Inputs!$B$4:$B$381,0),MATCH(Data!$C44,F_Inputs!$G$2:$T$2,0))</f>
        <v>0</v>
      </c>
      <c r="N44" s="139">
        <f t="array" ref="N44">INDEX(F_Inputs!$G$4:$T$381,MATCH(Data!$B44&amp;Data!N$6,F_Inputs!$A$4:$A$381&amp;F_Inputs!$B$4:$B$381,0),MATCH(Data!$C44,F_Inputs!$G$2:$T$2,0))</f>
        <v>528.17222096499495</v>
      </c>
      <c r="P44" s="139">
        <f t="array" ref="P44">INDEX(F_Inputs!$G$4:$T$381,MATCH(Data!$B44&amp;Data!P$6,F_Inputs!$A$4:$A$381&amp;F_Inputs!$B$4:$B$381,0),MATCH(Data!$C44,F_Inputs!$G$2:$T$2,0))</f>
        <v>0</v>
      </c>
      <c r="Q44" s="139">
        <f t="array" ref="Q44">INDEX(F_Inputs!$G$4:$T$381,MATCH(Data!$B44&amp;Data!Q$6,F_Inputs!$A$4:$A$381&amp;F_Inputs!$B$4:$B$381,0),MATCH(Data!$C44,F_Inputs!$G$2:$T$2,0))</f>
        <v>0</v>
      </c>
      <c r="R44" s="139">
        <f t="array" ref="R44">INDEX(F_Inputs!$G$4:$T$381,MATCH(Data!$B44&amp;Data!R$6,F_Inputs!$A$4:$A$381&amp;F_Inputs!$B$4:$B$381,0),MATCH(Data!$C44,F_Inputs!$G$2:$T$2,0))</f>
        <v>0</v>
      </c>
      <c r="S44" s="139">
        <f t="array" ref="S44">INDEX(F_Inputs!$G$4:$T$381,MATCH(Data!$B44&amp;Data!S$6,F_Inputs!$A$4:$A$381&amp;F_Inputs!$B$4:$B$381,0),MATCH(Data!$C44,F_Inputs!$G$2:$T$2,0))</f>
        <v>0</v>
      </c>
      <c r="U44" s="139">
        <f t="array" ref="U44">INDEX(F_Inputs!$G$4:$T$381,MATCH(Data!$B44&amp;Data!U$6,F_Inputs!$A$4:$A$381&amp;F_Inputs!$B$4:$B$381,0),MATCH(Data!$C44,F_Inputs!$G$2:$T$2,0))</f>
        <v>448.23</v>
      </c>
      <c r="V44" s="139">
        <f t="array" ref="V44">INDEX(F_Inputs!$G$4:$T$381,MATCH(Data!$B44&amp;Data!V$6,F_Inputs!$A$4:$A$381&amp;F_Inputs!$B$4:$B$381,0),MATCH(Data!$C44,F_Inputs!$G$2:$T$2,0))</f>
        <v>42376.019600599997</v>
      </c>
      <c r="W44" s="139">
        <f t="array" ref="W44">INDEX(F_Inputs!$G$4:$T$381,MATCH(Data!$B44&amp;Data!W$6,F_Inputs!$A$4:$A$381&amp;F_Inputs!$B$4:$B$381,0),MATCH(Data!$C44,F_Inputs!$G$2:$T$2,0))</f>
        <v>3353.7589060355399</v>
      </c>
    </row>
    <row r="45" spans="1:23" x14ac:dyDescent="0.2">
      <c r="A45" s="141" t="s">
        <v>153</v>
      </c>
      <c r="B45" s="142" t="s">
        <v>32</v>
      </c>
      <c r="C45" s="142" t="s">
        <v>73</v>
      </c>
      <c r="D45" s="139">
        <f t="array" ref="D45">INDEX(F_Inputs!$G$4:$T$381,MATCH(Data!$B45&amp;Data!D$6,F_Inputs!$A$4:$A$381&amp;F_Inputs!$B$4:$B$381,0),MATCH(Data!$C45,F_Inputs!$G$2:$T$2,0))</f>
        <v>0</v>
      </c>
      <c r="E45" s="139">
        <f t="array" ref="E45">INDEX(F_Inputs!$G$4:$T$381,MATCH(Data!$B45&amp;Data!E$6,F_Inputs!$A$4:$A$381&amp;F_Inputs!$B$4:$B$381,0),MATCH(Data!$C45,F_Inputs!$G$2:$T$2,0))</f>
        <v>0</v>
      </c>
      <c r="F45" s="139">
        <f t="array" ref="F45">INDEX(F_Inputs!$G$4:$T$381,MATCH(Data!$B45&amp;Data!F$6,F_Inputs!$A$4:$A$381&amp;F_Inputs!$B$4:$B$381,0),MATCH(Data!$C45,F_Inputs!$G$2:$T$2,0))</f>
        <v>27.240200000000002</v>
      </c>
      <c r="G45" s="139">
        <f t="array" ref="G45">INDEX(F_Inputs!$G$4:$T$381,MATCH(Data!$B45&amp;Data!G$6,F_Inputs!$A$4:$A$381&amp;F_Inputs!$B$4:$B$381,0),MATCH(Data!$C45,F_Inputs!$G$2:$T$2,0))</f>
        <v>0</v>
      </c>
      <c r="I45" s="274">
        <f t="array" ref="I45">INDEX(F_Inputs!$G$4:$T$381,MATCH(Data!$B45&amp;Data!I$6,F_Inputs!$A$4:$A$381&amp;F_Inputs!$B$4:$B$381,0),MATCH(Data!$C45,F_Inputs!$G$2:$T$2,0))</f>
        <v>0.93465521951226904</v>
      </c>
      <c r="J45" s="139">
        <f t="array" ref="J45">INDEX(F_Inputs!$G$4:$T$381,MATCH(Data!$B45&amp;Data!J$6,F_Inputs!$A$4:$A$381&amp;F_Inputs!$B$4:$B$381,0),MATCH(Data!$C45,F_Inputs!$G$2:$T$2,0))</f>
        <v>0</v>
      </c>
      <c r="K45" s="139">
        <f t="array" ref="K45">INDEX(F_Inputs!$G$4:$T$381,MATCH(Data!$B45&amp;Data!K$6,F_Inputs!$A$4:$A$381&amp;F_Inputs!$B$4:$B$381,0),MATCH(Data!$C45,F_Inputs!$G$2:$T$2,0))</f>
        <v>0</v>
      </c>
      <c r="L45" s="139">
        <f t="array" ref="L45">INDEX(F_Inputs!$G$4:$T$381,MATCH(Data!$B45&amp;Data!L$6,F_Inputs!$A$4:$A$381&amp;F_Inputs!$B$4:$B$381,0),MATCH(Data!$C45,F_Inputs!$G$2:$T$2,0))</f>
        <v>0.20580277314335399</v>
      </c>
      <c r="N45" s="139">
        <f t="array" ref="N45">INDEX(F_Inputs!$G$4:$T$381,MATCH(Data!$B45&amp;Data!N$6,F_Inputs!$A$4:$A$381&amp;F_Inputs!$B$4:$B$381,0),MATCH(Data!$C45,F_Inputs!$G$2:$T$2,0))</f>
        <v>546.91416406629901</v>
      </c>
      <c r="P45" s="139">
        <f t="array" ref="P45">INDEX(F_Inputs!$G$4:$T$381,MATCH(Data!$B45&amp;Data!P$6,F_Inputs!$A$4:$A$381&amp;F_Inputs!$B$4:$B$381,0),MATCH(Data!$C45,F_Inputs!$G$2:$T$2,0))</f>
        <v>0</v>
      </c>
      <c r="Q45" s="139">
        <f t="array" ref="Q45">INDEX(F_Inputs!$G$4:$T$381,MATCH(Data!$B45&amp;Data!Q$6,F_Inputs!$A$4:$A$381&amp;F_Inputs!$B$4:$B$381,0),MATCH(Data!$C45,F_Inputs!$G$2:$T$2,0))</f>
        <v>0</v>
      </c>
      <c r="R45" s="139">
        <f t="array" ref="R45">INDEX(F_Inputs!$G$4:$T$381,MATCH(Data!$B45&amp;Data!R$6,F_Inputs!$A$4:$A$381&amp;F_Inputs!$B$4:$B$381,0),MATCH(Data!$C45,F_Inputs!$G$2:$T$2,0))</f>
        <v>0</v>
      </c>
      <c r="S45" s="139">
        <f t="array" ref="S45">INDEX(F_Inputs!$G$4:$T$381,MATCH(Data!$B45&amp;Data!S$6,F_Inputs!$A$4:$A$381&amp;F_Inputs!$B$4:$B$381,0),MATCH(Data!$C45,F_Inputs!$G$2:$T$2,0))</f>
        <v>0</v>
      </c>
      <c r="U45" s="139">
        <f t="array" ref="U45">INDEX(F_Inputs!$G$4:$T$381,MATCH(Data!$B45&amp;Data!U$6,F_Inputs!$A$4:$A$381&amp;F_Inputs!$B$4:$B$381,0),MATCH(Data!$C45,F_Inputs!$G$2:$T$2,0))</f>
        <v>448.23</v>
      </c>
      <c r="V45" s="139">
        <f t="array" ref="V45">INDEX(F_Inputs!$G$4:$T$381,MATCH(Data!$B45&amp;Data!V$6,F_Inputs!$A$4:$A$381&amp;F_Inputs!$B$4:$B$381,0),MATCH(Data!$C45,F_Inputs!$G$2:$T$2,0))</f>
        <v>42481.143851399996</v>
      </c>
      <c r="W45" s="139">
        <f t="array" ref="W45">INDEX(F_Inputs!$G$4:$T$381,MATCH(Data!$B45&amp;Data!W$6,F_Inputs!$A$4:$A$381&amp;F_Inputs!$B$4:$B$381,0),MATCH(Data!$C45,F_Inputs!$G$2:$T$2,0))</f>
        <v>3375.88271194356</v>
      </c>
    </row>
    <row r="46" spans="1:23" x14ac:dyDescent="0.2">
      <c r="A46" s="141" t="s">
        <v>154</v>
      </c>
      <c r="B46" s="142" t="s">
        <v>32</v>
      </c>
      <c r="C46" s="142" t="s">
        <v>74</v>
      </c>
      <c r="D46" s="139">
        <f t="array" ref="D46">INDEX(F_Inputs!$G$4:$T$381,MATCH(Data!$B46&amp;Data!D$6,F_Inputs!$A$4:$A$381&amp;F_Inputs!$B$4:$B$381,0),MATCH(Data!$C46,F_Inputs!$G$2:$T$2,0))</f>
        <v>0</v>
      </c>
      <c r="E46" s="139">
        <f t="array" ref="E46">INDEX(F_Inputs!$G$4:$T$381,MATCH(Data!$B46&amp;Data!E$6,F_Inputs!$A$4:$A$381&amp;F_Inputs!$B$4:$B$381,0),MATCH(Data!$C46,F_Inputs!$G$2:$T$2,0))</f>
        <v>0</v>
      </c>
      <c r="F46" s="139">
        <f t="array" ref="F46">INDEX(F_Inputs!$G$4:$T$381,MATCH(Data!$B46&amp;Data!F$6,F_Inputs!$A$4:$A$381&amp;F_Inputs!$B$4:$B$381,0),MATCH(Data!$C46,F_Inputs!$G$2:$T$2,0))</f>
        <v>22.2804</v>
      </c>
      <c r="G46" s="139">
        <f t="array" ref="G46">INDEX(F_Inputs!$G$4:$T$381,MATCH(Data!$B46&amp;Data!G$6,F_Inputs!$A$4:$A$381&amp;F_Inputs!$B$4:$B$381,0),MATCH(Data!$C46,F_Inputs!$G$2:$T$2,0))</f>
        <v>0</v>
      </c>
      <c r="I46" s="274">
        <f t="array" ref="I46">INDEX(F_Inputs!$G$4:$T$381,MATCH(Data!$B46&amp;Data!I$6,F_Inputs!$A$4:$A$381&amp;F_Inputs!$B$4:$B$381,0),MATCH(Data!$C46,F_Inputs!$G$2:$T$2,0))</f>
        <v>0.93596497949003199</v>
      </c>
      <c r="J46" s="139">
        <f t="array" ref="J46">INDEX(F_Inputs!$G$4:$T$381,MATCH(Data!$B46&amp;Data!J$6,F_Inputs!$A$4:$A$381&amp;F_Inputs!$B$4:$B$381,0),MATCH(Data!$C46,F_Inputs!$G$2:$T$2,0))</f>
        <v>0</v>
      </c>
      <c r="K46" s="139">
        <f t="array" ref="K46">INDEX(F_Inputs!$G$4:$T$381,MATCH(Data!$B46&amp;Data!K$6,F_Inputs!$A$4:$A$381&amp;F_Inputs!$B$4:$B$381,0),MATCH(Data!$C46,F_Inputs!$G$2:$T$2,0))</f>
        <v>0</v>
      </c>
      <c r="L46" s="139">
        <f t="array" ref="L46">INDEX(F_Inputs!$G$4:$T$381,MATCH(Data!$B46&amp;Data!L$6,F_Inputs!$A$4:$A$381&amp;F_Inputs!$B$4:$B$381,0),MATCH(Data!$C46,F_Inputs!$G$2:$T$2,0))</f>
        <v>0.20681161026660499</v>
      </c>
      <c r="N46" s="139">
        <f t="array" ref="N46">INDEX(F_Inputs!$G$4:$T$381,MATCH(Data!$B46&amp;Data!N$6,F_Inputs!$A$4:$A$381&amp;F_Inputs!$B$4:$B$381,0),MATCH(Data!$C46,F_Inputs!$G$2:$T$2,0))</f>
        <v>511.02602983742503</v>
      </c>
      <c r="P46" s="139">
        <f t="array" ref="P46">INDEX(F_Inputs!$G$4:$T$381,MATCH(Data!$B46&amp;Data!P$6,F_Inputs!$A$4:$A$381&amp;F_Inputs!$B$4:$B$381,0),MATCH(Data!$C46,F_Inputs!$G$2:$T$2,0))</f>
        <v>0</v>
      </c>
      <c r="Q46" s="139">
        <f t="array" ref="Q46">INDEX(F_Inputs!$G$4:$T$381,MATCH(Data!$B46&amp;Data!Q$6,F_Inputs!$A$4:$A$381&amp;F_Inputs!$B$4:$B$381,0),MATCH(Data!$C46,F_Inputs!$G$2:$T$2,0))</f>
        <v>0</v>
      </c>
      <c r="R46" s="139">
        <f t="array" ref="R46">INDEX(F_Inputs!$G$4:$T$381,MATCH(Data!$B46&amp;Data!R$6,F_Inputs!$A$4:$A$381&amp;F_Inputs!$B$4:$B$381,0),MATCH(Data!$C46,F_Inputs!$G$2:$T$2,0))</f>
        <v>8.93454535198663</v>
      </c>
      <c r="S46" s="139">
        <f t="array" ref="S46">INDEX(F_Inputs!$G$4:$T$381,MATCH(Data!$B46&amp;Data!S$6,F_Inputs!$A$4:$A$381&amp;F_Inputs!$B$4:$B$381,0),MATCH(Data!$C46,F_Inputs!$G$2:$T$2,0))</f>
        <v>8.93454535198663</v>
      </c>
      <c r="U46" s="139">
        <f t="array" ref="U46">INDEX(F_Inputs!$G$4:$T$381,MATCH(Data!$B46&amp;Data!U$6,F_Inputs!$A$4:$A$381&amp;F_Inputs!$B$4:$B$381,0),MATCH(Data!$C46,F_Inputs!$G$2:$T$2,0))</f>
        <v>439.27</v>
      </c>
      <c r="V46" s="139">
        <f t="array" ref="V46">INDEX(F_Inputs!$G$4:$T$381,MATCH(Data!$B46&amp;Data!V$6,F_Inputs!$A$4:$A$381&amp;F_Inputs!$B$4:$B$381,0),MATCH(Data!$C46,F_Inputs!$G$2:$T$2,0))</f>
        <v>42549.292057958002</v>
      </c>
      <c r="W46" s="139">
        <f t="array" ref="W46">INDEX(F_Inputs!$G$4:$T$381,MATCH(Data!$B46&amp;Data!W$6,F_Inputs!$A$4:$A$381&amp;F_Inputs!$B$4:$B$381,0),MATCH(Data!$C46,F_Inputs!$G$2:$T$2,0))</f>
        <v>3399.56608462738</v>
      </c>
    </row>
    <row r="47" spans="1:23" x14ac:dyDescent="0.2">
      <c r="A47" s="141" t="s">
        <v>155</v>
      </c>
      <c r="B47" s="142" t="s">
        <v>32</v>
      </c>
      <c r="C47" s="142" t="s">
        <v>75</v>
      </c>
      <c r="D47" s="139">
        <f t="array" ref="D47">INDEX(F_Inputs!$G$4:$T$381,MATCH(Data!$B47&amp;Data!D$6,F_Inputs!$A$4:$A$381&amp;F_Inputs!$B$4:$B$381,0),MATCH(Data!$C47,F_Inputs!$G$2:$T$2,0))</f>
        <v>0</v>
      </c>
      <c r="E47" s="139">
        <f t="array" ref="E47">INDEX(F_Inputs!$G$4:$T$381,MATCH(Data!$B47&amp;Data!E$6,F_Inputs!$A$4:$A$381&amp;F_Inputs!$B$4:$B$381,0),MATCH(Data!$C47,F_Inputs!$G$2:$T$2,0))</f>
        <v>0</v>
      </c>
      <c r="F47" s="139">
        <f t="array" ref="F47">INDEX(F_Inputs!$G$4:$T$381,MATCH(Data!$B47&amp;Data!F$6,F_Inputs!$A$4:$A$381&amp;F_Inputs!$B$4:$B$381,0),MATCH(Data!$C47,F_Inputs!$G$2:$T$2,0))</f>
        <v>0.48</v>
      </c>
      <c r="G47" s="139">
        <f t="array" ref="G47">INDEX(F_Inputs!$G$4:$T$381,MATCH(Data!$B47&amp;Data!G$6,F_Inputs!$A$4:$A$381&amp;F_Inputs!$B$4:$B$381,0),MATCH(Data!$C47,F_Inputs!$G$2:$T$2,0))</f>
        <v>0</v>
      </c>
      <c r="I47" s="274">
        <f t="array" ref="I47">INDEX(F_Inputs!$G$4:$T$381,MATCH(Data!$B47&amp;Data!I$6,F_Inputs!$A$4:$A$381&amp;F_Inputs!$B$4:$B$381,0),MATCH(Data!$C47,F_Inputs!$G$2:$T$2,0))</f>
        <v>0.94189485447443499</v>
      </c>
      <c r="J47" s="139">
        <f t="array" ref="J47">INDEX(F_Inputs!$G$4:$T$381,MATCH(Data!$B47&amp;Data!J$6,F_Inputs!$A$4:$A$381&amp;F_Inputs!$B$4:$B$381,0),MATCH(Data!$C47,F_Inputs!$G$2:$T$2,0))</f>
        <v>0</v>
      </c>
      <c r="K47" s="139">
        <f t="array" ref="K47">INDEX(F_Inputs!$G$4:$T$381,MATCH(Data!$B47&amp;Data!K$6,F_Inputs!$A$4:$A$381&amp;F_Inputs!$B$4:$B$381,0),MATCH(Data!$C47,F_Inputs!$G$2:$T$2,0))</f>
        <v>0</v>
      </c>
      <c r="L47" s="139">
        <f t="array" ref="L47">INDEX(F_Inputs!$G$4:$T$381,MATCH(Data!$B47&amp;Data!L$6,F_Inputs!$A$4:$A$381&amp;F_Inputs!$B$4:$B$381,0),MATCH(Data!$C47,F_Inputs!$G$2:$T$2,0))</f>
        <v>0.20731850146823899</v>
      </c>
      <c r="N47" s="139">
        <f t="array" ref="N47">INDEX(F_Inputs!$G$4:$T$381,MATCH(Data!$B47&amp;Data!N$6,F_Inputs!$A$4:$A$381&amp;F_Inputs!$B$4:$B$381,0),MATCH(Data!$C47,F_Inputs!$G$2:$T$2,0))</f>
        <v>491.88321983896702</v>
      </c>
      <c r="P47" s="139">
        <f t="array" ref="P47">INDEX(F_Inputs!$G$4:$T$381,MATCH(Data!$B47&amp;Data!P$6,F_Inputs!$A$4:$A$381&amp;F_Inputs!$B$4:$B$381,0),MATCH(Data!$C47,F_Inputs!$G$2:$T$2,0))</f>
        <v>0</v>
      </c>
      <c r="Q47" s="139">
        <f t="array" ref="Q47">INDEX(F_Inputs!$G$4:$T$381,MATCH(Data!$B47&amp;Data!Q$6,F_Inputs!$A$4:$A$381&amp;F_Inputs!$B$4:$B$381,0),MATCH(Data!$C47,F_Inputs!$G$2:$T$2,0))</f>
        <v>0</v>
      </c>
      <c r="R47" s="139">
        <f t="array" ref="R47">INDEX(F_Inputs!$G$4:$T$381,MATCH(Data!$B47&amp;Data!R$6,F_Inputs!$A$4:$A$381&amp;F_Inputs!$B$4:$B$381,0),MATCH(Data!$C47,F_Inputs!$G$2:$T$2,0))</f>
        <v>8.9700000000000006</v>
      </c>
      <c r="S47" s="139">
        <f t="array" ref="S47">INDEX(F_Inputs!$G$4:$T$381,MATCH(Data!$B47&amp;Data!S$6,F_Inputs!$A$4:$A$381&amp;F_Inputs!$B$4:$B$381,0),MATCH(Data!$C47,F_Inputs!$G$2:$T$2,0))</f>
        <v>8.9700000000000006</v>
      </c>
      <c r="U47" s="139">
        <f t="array" ref="U47">INDEX(F_Inputs!$G$4:$T$381,MATCH(Data!$B47&amp;Data!U$6,F_Inputs!$A$4:$A$381&amp;F_Inputs!$B$4:$B$381,0),MATCH(Data!$C47,F_Inputs!$G$2:$T$2,0))</f>
        <v>430.3</v>
      </c>
      <c r="V47" s="139">
        <f t="array" ref="V47">INDEX(F_Inputs!$G$4:$T$381,MATCH(Data!$B47&amp;Data!V$6,F_Inputs!$A$4:$A$381&amp;F_Inputs!$B$4:$B$381,0),MATCH(Data!$C47,F_Inputs!$G$2:$T$2,0))</f>
        <v>42646.892057958001</v>
      </c>
      <c r="W47" s="139">
        <f t="array" ref="W47">INDEX(F_Inputs!$G$4:$T$381,MATCH(Data!$B47&amp;Data!W$6,F_Inputs!$A$4:$A$381&amp;F_Inputs!$B$4:$B$381,0),MATCH(Data!$C47,F_Inputs!$G$2:$T$2,0))</f>
        <v>3423.7950089276501</v>
      </c>
    </row>
    <row r="48" spans="1:23" x14ac:dyDescent="0.2">
      <c r="A48" s="141" t="s">
        <v>156</v>
      </c>
      <c r="B48" s="142" t="s">
        <v>32</v>
      </c>
      <c r="C48" s="142" t="s">
        <v>76</v>
      </c>
      <c r="D48" s="139">
        <f t="array" ref="D48">INDEX(F_Inputs!$G$4:$T$381,MATCH(Data!$B48&amp;Data!D$6,F_Inputs!$A$4:$A$381&amp;F_Inputs!$B$4:$B$381,0),MATCH(Data!$C48,F_Inputs!$G$2:$T$2,0))</f>
        <v>0</v>
      </c>
      <c r="E48" s="139">
        <f t="array" ref="E48">INDEX(F_Inputs!$G$4:$T$381,MATCH(Data!$B48&amp;Data!E$6,F_Inputs!$A$4:$A$381&amp;F_Inputs!$B$4:$B$381,0),MATCH(Data!$C48,F_Inputs!$G$2:$T$2,0))</f>
        <v>0</v>
      </c>
      <c r="F48" s="139">
        <f t="array" ref="F48">INDEX(F_Inputs!$G$4:$T$381,MATCH(Data!$B48&amp;Data!F$6,F_Inputs!$A$4:$A$381&amp;F_Inputs!$B$4:$B$381,0),MATCH(Data!$C48,F_Inputs!$G$2:$T$2,0))</f>
        <v>0</v>
      </c>
      <c r="G48" s="139">
        <f t="array" ref="G48">INDEX(F_Inputs!$G$4:$T$381,MATCH(Data!$B48&amp;Data!G$6,F_Inputs!$A$4:$A$381&amp;F_Inputs!$B$4:$B$381,0),MATCH(Data!$C48,F_Inputs!$G$2:$T$2,0))</f>
        <v>0</v>
      </c>
      <c r="I48" s="274">
        <f t="array" ref="I48">INDEX(F_Inputs!$G$4:$T$381,MATCH(Data!$B48&amp;Data!I$6,F_Inputs!$A$4:$A$381&amp;F_Inputs!$B$4:$B$381,0),MATCH(Data!$C48,F_Inputs!$G$2:$T$2,0))</f>
        <v>0.94814964823746495</v>
      </c>
      <c r="J48" s="139">
        <f t="array" ref="J48">INDEX(F_Inputs!$G$4:$T$381,MATCH(Data!$B48&amp;Data!J$6,F_Inputs!$A$4:$A$381&amp;F_Inputs!$B$4:$B$381,0),MATCH(Data!$C48,F_Inputs!$G$2:$T$2,0))</f>
        <v>0</v>
      </c>
      <c r="K48" s="139">
        <f t="array" ref="K48">INDEX(F_Inputs!$G$4:$T$381,MATCH(Data!$B48&amp;Data!K$6,F_Inputs!$A$4:$A$381&amp;F_Inputs!$B$4:$B$381,0),MATCH(Data!$C48,F_Inputs!$G$2:$T$2,0))</f>
        <v>0</v>
      </c>
      <c r="L48" s="139">
        <f t="array" ref="L48">INDEX(F_Inputs!$G$4:$T$381,MATCH(Data!$B48&amp;Data!L$6,F_Inputs!$A$4:$A$381&amp;F_Inputs!$B$4:$B$381,0),MATCH(Data!$C48,F_Inputs!$G$2:$T$2,0))</f>
        <v>0.20731850146823899</v>
      </c>
      <c r="N48" s="139">
        <f t="array" ref="N48">INDEX(F_Inputs!$G$4:$T$381,MATCH(Data!$B48&amp;Data!N$6,F_Inputs!$A$4:$A$381&amp;F_Inputs!$B$4:$B$381,0),MATCH(Data!$C48,F_Inputs!$G$2:$T$2,0))</f>
        <v>466.261810421863</v>
      </c>
      <c r="P48" s="139">
        <f t="array" ref="P48">INDEX(F_Inputs!$G$4:$T$381,MATCH(Data!$B48&amp;Data!P$6,F_Inputs!$A$4:$A$381&amp;F_Inputs!$B$4:$B$381,0),MATCH(Data!$C48,F_Inputs!$G$2:$T$2,0))</f>
        <v>0</v>
      </c>
      <c r="Q48" s="139">
        <f t="array" ref="Q48">INDEX(F_Inputs!$G$4:$T$381,MATCH(Data!$B48&amp;Data!Q$6,F_Inputs!$A$4:$A$381&amp;F_Inputs!$B$4:$B$381,0),MATCH(Data!$C48,F_Inputs!$G$2:$T$2,0))</f>
        <v>0</v>
      </c>
      <c r="R48" s="139">
        <f t="array" ref="R48">INDEX(F_Inputs!$G$4:$T$381,MATCH(Data!$B48&amp;Data!R$6,F_Inputs!$A$4:$A$381&amp;F_Inputs!$B$4:$B$381,0),MATCH(Data!$C48,F_Inputs!$G$2:$T$2,0))</f>
        <v>13.45</v>
      </c>
      <c r="S48" s="139">
        <f t="array" ref="S48">INDEX(F_Inputs!$G$4:$T$381,MATCH(Data!$B48&amp;Data!S$6,F_Inputs!$A$4:$A$381&amp;F_Inputs!$B$4:$B$381,0),MATCH(Data!$C48,F_Inputs!$G$2:$T$2,0))</f>
        <v>13.45</v>
      </c>
      <c r="U48" s="139">
        <f t="array" ref="U48">INDEX(F_Inputs!$G$4:$T$381,MATCH(Data!$B48&amp;Data!U$6,F_Inputs!$A$4:$A$381&amp;F_Inputs!$B$4:$B$381,0),MATCH(Data!$C48,F_Inputs!$G$2:$T$2,0))</f>
        <v>416.85</v>
      </c>
      <c r="V48" s="139">
        <f t="array" ref="V48">INDEX(F_Inputs!$G$4:$T$381,MATCH(Data!$B48&amp;Data!V$6,F_Inputs!$A$4:$A$381&amp;F_Inputs!$B$4:$B$381,0),MATCH(Data!$C48,F_Inputs!$G$2:$T$2,0))</f>
        <v>42744.592057957998</v>
      </c>
      <c r="W48" s="139">
        <f t="array" ref="W48">INDEX(F_Inputs!$G$4:$T$381,MATCH(Data!$B48&amp;Data!W$6,F_Inputs!$A$4:$A$381&amp;F_Inputs!$B$4:$B$381,0),MATCH(Data!$C48,F_Inputs!$G$2:$T$2,0))</f>
        <v>3449.11040733761</v>
      </c>
    </row>
    <row r="49" spans="1:23" x14ac:dyDescent="0.2">
      <c r="A49" s="141" t="s">
        <v>157</v>
      </c>
      <c r="B49" s="142" t="s">
        <v>32</v>
      </c>
      <c r="C49" s="142" t="s">
        <v>24</v>
      </c>
      <c r="D49" s="139">
        <f t="array" ref="D49">INDEX(F_Inputs!$G$4:$T$381,MATCH(Data!$B49&amp;Data!D$6,F_Inputs!$A$4:$A$381&amp;F_Inputs!$B$4:$B$381,0),MATCH(Data!$C49,F_Inputs!$G$2:$T$2,0))</f>
        <v>0</v>
      </c>
      <c r="E49" s="139">
        <f t="array" ref="E49">INDEX(F_Inputs!$G$4:$T$381,MATCH(Data!$B49&amp;Data!E$6,F_Inputs!$A$4:$A$381&amp;F_Inputs!$B$4:$B$381,0),MATCH(Data!$C49,F_Inputs!$G$2:$T$2,0))</f>
        <v>0</v>
      </c>
      <c r="F49" s="139">
        <f t="array" ref="F49">INDEX(F_Inputs!$G$4:$T$381,MATCH(Data!$B49&amp;Data!F$6,F_Inputs!$A$4:$A$381&amp;F_Inputs!$B$4:$B$381,0),MATCH(Data!$C49,F_Inputs!$G$2:$T$2,0))</f>
        <v>0</v>
      </c>
      <c r="G49" s="139">
        <f t="array" ref="G49">INDEX(F_Inputs!$G$4:$T$381,MATCH(Data!$B49&amp;Data!G$6,F_Inputs!$A$4:$A$381&amp;F_Inputs!$B$4:$B$381,0),MATCH(Data!$C49,F_Inputs!$G$2:$T$2,0))</f>
        <v>0</v>
      </c>
      <c r="I49" s="274">
        <f t="array" ref="I49">INDEX(F_Inputs!$G$4:$T$381,MATCH(Data!$B49&amp;Data!I$6,F_Inputs!$A$4:$A$381&amp;F_Inputs!$B$4:$B$381,0),MATCH(Data!$C49,F_Inputs!$G$2:$T$2,0))</f>
        <v>0.95430676146105797</v>
      </c>
      <c r="J49" s="139">
        <f t="array" ref="J49">INDEX(F_Inputs!$G$4:$T$381,MATCH(Data!$B49&amp;Data!J$6,F_Inputs!$A$4:$A$381&amp;F_Inputs!$B$4:$B$381,0),MATCH(Data!$C49,F_Inputs!$G$2:$T$2,0))</f>
        <v>0</v>
      </c>
      <c r="K49" s="139">
        <f t="array" ref="K49">INDEX(F_Inputs!$G$4:$T$381,MATCH(Data!$B49&amp;Data!K$6,F_Inputs!$A$4:$A$381&amp;F_Inputs!$B$4:$B$381,0),MATCH(Data!$C49,F_Inputs!$G$2:$T$2,0))</f>
        <v>0</v>
      </c>
      <c r="L49" s="139">
        <f t="array" ref="L49">INDEX(F_Inputs!$G$4:$T$381,MATCH(Data!$B49&amp;Data!L$6,F_Inputs!$A$4:$A$381&amp;F_Inputs!$B$4:$B$381,0),MATCH(Data!$C49,F_Inputs!$G$2:$T$2,0))</f>
        <v>0.20731850146823899</v>
      </c>
      <c r="N49" s="139">
        <f t="array" ref="N49">INDEX(F_Inputs!$G$4:$T$381,MATCH(Data!$B49&amp;Data!N$6,F_Inputs!$A$4:$A$381&amp;F_Inputs!$B$4:$B$381,0),MATCH(Data!$C49,F_Inputs!$G$2:$T$2,0))</f>
        <v>461.41828629616703</v>
      </c>
      <c r="P49" s="139">
        <f t="array" ref="P49">INDEX(F_Inputs!$G$4:$T$381,MATCH(Data!$B49&amp;Data!P$6,F_Inputs!$A$4:$A$381&amp;F_Inputs!$B$4:$B$381,0),MATCH(Data!$C49,F_Inputs!$G$2:$T$2,0))</f>
        <v>0</v>
      </c>
      <c r="Q49" s="139">
        <f t="array" ref="Q49">INDEX(F_Inputs!$G$4:$T$381,MATCH(Data!$B49&amp;Data!Q$6,F_Inputs!$A$4:$A$381&amp;F_Inputs!$B$4:$B$381,0),MATCH(Data!$C49,F_Inputs!$G$2:$T$2,0))</f>
        <v>0</v>
      </c>
      <c r="R49" s="139">
        <f t="array" ref="R49">INDEX(F_Inputs!$G$4:$T$381,MATCH(Data!$B49&amp;Data!R$6,F_Inputs!$A$4:$A$381&amp;F_Inputs!$B$4:$B$381,0),MATCH(Data!$C49,F_Inputs!$G$2:$T$2,0))</f>
        <v>35.85</v>
      </c>
      <c r="S49" s="139">
        <f t="array" ref="S49">INDEX(F_Inputs!$G$4:$T$381,MATCH(Data!$B49&amp;Data!S$6,F_Inputs!$A$4:$A$381&amp;F_Inputs!$B$4:$B$381,0),MATCH(Data!$C49,F_Inputs!$G$2:$T$2,0))</f>
        <v>35.85</v>
      </c>
      <c r="U49" s="139">
        <f t="array" ref="U49">INDEX(F_Inputs!$G$4:$T$381,MATCH(Data!$B49&amp;Data!U$6,F_Inputs!$A$4:$A$381&amp;F_Inputs!$B$4:$B$381,0),MATCH(Data!$C49,F_Inputs!$G$2:$T$2,0))</f>
        <v>381</v>
      </c>
      <c r="V49" s="139">
        <f t="array" ref="V49">INDEX(F_Inputs!$G$4:$T$381,MATCH(Data!$B49&amp;Data!V$6,F_Inputs!$A$4:$A$381&amp;F_Inputs!$B$4:$B$381,0),MATCH(Data!$C49,F_Inputs!$G$2:$T$2,0))</f>
        <v>42842.292057958002</v>
      </c>
      <c r="W49" s="139">
        <f t="array" ref="W49">INDEX(F_Inputs!$G$4:$T$381,MATCH(Data!$B49&amp;Data!W$6,F_Inputs!$A$4:$A$381&amp;F_Inputs!$B$4:$B$381,0),MATCH(Data!$C49,F_Inputs!$G$2:$T$2,0))</f>
        <v>3475.50235997355</v>
      </c>
    </row>
    <row r="50" spans="1:23" x14ac:dyDescent="0.2">
      <c r="A50" s="138" t="str">
        <f t="shared" ref="A50" si="2">B50&amp;RIGHT(C50,2)</f>
        <v>SRN12</v>
      </c>
      <c r="B50" s="19" t="s">
        <v>30</v>
      </c>
      <c r="C50" s="143" t="s">
        <v>64</v>
      </c>
      <c r="D50" s="139">
        <f t="array" ref="D50">INDEX(F_Inputs!$G$4:$T$381,MATCH(Data!$B50&amp;Data!D$6,F_Inputs!$A$4:$A$381&amp;F_Inputs!$B$4:$B$381,0),MATCH(Data!$C50,F_Inputs!$G$2:$T$2,0))</f>
        <v>0</v>
      </c>
      <c r="E50" s="139">
        <f t="array" ref="E50">INDEX(F_Inputs!$G$4:$T$381,MATCH(Data!$B50&amp;Data!E$6,F_Inputs!$A$4:$A$381&amp;F_Inputs!$B$4:$B$381,0),MATCH(Data!$C50,F_Inputs!$G$2:$T$2,0))</f>
        <v>0.50722399929309803</v>
      </c>
      <c r="F50" s="139">
        <f t="array" ref="F50">INDEX(F_Inputs!$G$4:$T$381,MATCH(Data!$B50&amp;Data!F$6,F_Inputs!$A$4:$A$381&amp;F_Inputs!$B$4:$B$381,0),MATCH(Data!$C50,F_Inputs!$G$2:$T$2,0))</f>
        <v>0</v>
      </c>
      <c r="G50" s="139">
        <f t="array" ref="G50">INDEX(F_Inputs!$G$4:$T$381,MATCH(Data!$B50&amp;Data!G$6,F_Inputs!$A$4:$A$381&amp;F_Inputs!$B$4:$B$381,0),MATCH(Data!$C50,F_Inputs!$G$2:$T$2,0))</f>
        <v>32.628095431651502</v>
      </c>
      <c r="I50" s="139">
        <f t="array" ref="I50">INDEX(F_Inputs!$G$4:$T$381,MATCH(Data!$B50&amp;Data!I$6,F_Inputs!$A$4:$A$381&amp;F_Inputs!$B$4:$B$381,0),MATCH(Data!$C50,F_Inputs!$G$2:$T$2,0))</f>
        <v>0</v>
      </c>
      <c r="J50" s="139">
        <f t="array" ref="J50">INDEX(F_Inputs!$G$4:$T$381,MATCH(Data!$B50&amp;Data!J$6,F_Inputs!$A$4:$A$381&amp;F_Inputs!$B$4:$B$381,0),MATCH(Data!$C50,F_Inputs!$G$2:$T$2,0))</f>
        <v>0</v>
      </c>
      <c r="K50" s="139">
        <f t="array" ref="K50">INDEX(F_Inputs!$G$4:$T$381,MATCH(Data!$B50&amp;Data!K$6,F_Inputs!$A$4:$A$381&amp;F_Inputs!$B$4:$B$381,0),MATCH(Data!$C50,F_Inputs!$G$2:$T$2,0))</f>
        <v>0</v>
      </c>
      <c r="L50" s="139">
        <f t="array" ref="L50">INDEX(F_Inputs!$G$4:$T$381,MATCH(Data!$B50&amp;Data!L$6,F_Inputs!$A$4:$A$381&amp;F_Inputs!$B$4:$B$381,0),MATCH(Data!$C50,F_Inputs!$G$2:$T$2,0))</f>
        <v>0</v>
      </c>
      <c r="N50" s="139">
        <f t="array" ref="N50">INDEX(F_Inputs!$G$4:$T$381,MATCH(Data!$B50&amp;Data!N$6,F_Inputs!$A$4:$A$381&amp;F_Inputs!$B$4:$B$381,0),MATCH(Data!$C50,F_Inputs!$G$2:$T$2,0))</f>
        <v>208.08524522100399</v>
      </c>
      <c r="P50" s="139">
        <f t="array" ref="P50">INDEX(F_Inputs!$G$4:$T$381,MATCH(Data!$B50&amp;Data!P$6,F_Inputs!$A$4:$A$381&amp;F_Inputs!$B$4:$B$381,0),MATCH(Data!$C50,F_Inputs!$G$2:$T$2,0))</f>
        <v>0</v>
      </c>
      <c r="Q50" s="139">
        <f t="array" ref="Q50">INDEX(F_Inputs!$G$4:$T$381,MATCH(Data!$B50&amp;Data!Q$6,F_Inputs!$A$4:$A$381&amp;F_Inputs!$B$4:$B$381,0),MATCH(Data!$C50,F_Inputs!$G$2:$T$2,0))</f>
        <v>0</v>
      </c>
      <c r="R50" s="139">
        <f t="array" ref="R50">INDEX(F_Inputs!$G$4:$T$381,MATCH(Data!$B50&amp;Data!R$6,F_Inputs!$A$4:$A$381&amp;F_Inputs!$B$4:$B$381,0),MATCH(Data!$C50,F_Inputs!$G$2:$T$2,0))</f>
        <v>0</v>
      </c>
      <c r="S50" s="139">
        <f t="array" ref="S50">INDEX(F_Inputs!$G$4:$T$381,MATCH(Data!$B50&amp;Data!S$6,F_Inputs!$A$4:$A$381&amp;F_Inputs!$B$4:$B$381,0),MATCH(Data!$C50,F_Inputs!$G$2:$T$2,0))</f>
        <v>0</v>
      </c>
      <c r="U50" s="139">
        <f t="array" ref="U50">INDEX(F_Inputs!$G$4:$T$381,MATCH(Data!$B50&amp;Data!U$6,F_Inputs!$A$4:$A$381&amp;F_Inputs!$B$4:$B$381,0),MATCH(Data!$C50,F_Inputs!$G$2:$T$2,0))</f>
        <v>0</v>
      </c>
      <c r="V50" s="139">
        <f t="array" ref="V50">INDEX(F_Inputs!$G$4:$T$381,MATCH(Data!$B50&amp;Data!V$6,F_Inputs!$A$4:$A$381&amp;F_Inputs!$B$4:$B$381,0),MATCH(Data!$C50,F_Inputs!$G$2:$T$2,0))</f>
        <v>0</v>
      </c>
      <c r="W50" s="139">
        <f t="array" ref="W50">INDEX(F_Inputs!$G$4:$T$381,MATCH(Data!$B50&amp;Data!W$6,F_Inputs!$A$4:$A$381&amp;F_Inputs!$B$4:$B$381,0),MATCH(Data!$C50,F_Inputs!$G$2:$T$2,0))</f>
        <v>0</v>
      </c>
    </row>
    <row r="51" spans="1:23" x14ac:dyDescent="0.2">
      <c r="A51" s="138" t="str">
        <f>B51&amp;RIGHT(C51,2)</f>
        <v>SRN13</v>
      </c>
      <c r="B51" s="19" t="s">
        <v>30</v>
      </c>
      <c r="C51" s="143" t="s">
        <v>65</v>
      </c>
      <c r="D51" s="139">
        <f t="array" ref="D51">INDEX(F_Inputs!$G$4:$T$381,MATCH(Data!$B51&amp;Data!D$6,F_Inputs!$A$4:$A$381&amp;F_Inputs!$B$4:$B$381,0),MATCH(Data!$C51,F_Inputs!$G$2:$T$2,0))</f>
        <v>0</v>
      </c>
      <c r="E51" s="139">
        <f t="array" ref="E51">INDEX(F_Inputs!$G$4:$T$381,MATCH(Data!$B51&amp;Data!E$6,F_Inputs!$A$4:$A$381&amp;F_Inputs!$B$4:$B$381,0),MATCH(Data!$C51,F_Inputs!$G$2:$T$2,0))</f>
        <v>1.48798740293356</v>
      </c>
      <c r="F51" s="139">
        <f t="array" ref="F51">INDEX(F_Inputs!$G$4:$T$381,MATCH(Data!$B51&amp;Data!F$6,F_Inputs!$A$4:$A$381&amp;F_Inputs!$B$4:$B$381,0),MATCH(Data!$C51,F_Inputs!$G$2:$T$2,0))</f>
        <v>0</v>
      </c>
      <c r="G51" s="139">
        <f t="array" ref="G51">INDEX(F_Inputs!$G$4:$T$381,MATCH(Data!$B51&amp;Data!G$6,F_Inputs!$A$4:$A$381&amp;F_Inputs!$B$4:$B$381,0),MATCH(Data!$C51,F_Inputs!$G$2:$T$2,0))</f>
        <v>33.964742191544403</v>
      </c>
      <c r="I51" s="139">
        <f t="array" ref="I51">INDEX(F_Inputs!$G$4:$T$381,MATCH(Data!$B51&amp;Data!I$6,F_Inputs!$A$4:$A$381&amp;F_Inputs!$B$4:$B$381,0),MATCH(Data!$C51,F_Inputs!$G$2:$T$2,0))</f>
        <v>0</v>
      </c>
      <c r="J51" s="139">
        <f t="array" ref="J51">INDEX(F_Inputs!$G$4:$T$381,MATCH(Data!$B51&amp;Data!J$6,F_Inputs!$A$4:$A$381&amp;F_Inputs!$B$4:$B$381,0),MATCH(Data!$C51,F_Inputs!$G$2:$T$2,0))</f>
        <v>0</v>
      </c>
      <c r="K51" s="139">
        <f t="array" ref="K51">INDEX(F_Inputs!$G$4:$T$381,MATCH(Data!$B51&amp;Data!K$6,F_Inputs!$A$4:$A$381&amp;F_Inputs!$B$4:$B$381,0),MATCH(Data!$C51,F_Inputs!$G$2:$T$2,0))</f>
        <v>0</v>
      </c>
      <c r="L51" s="139">
        <f t="array" ref="L51">INDEX(F_Inputs!$G$4:$T$381,MATCH(Data!$B51&amp;Data!L$6,F_Inputs!$A$4:$A$381&amp;F_Inputs!$B$4:$B$381,0),MATCH(Data!$C51,F_Inputs!$G$2:$T$2,0))</f>
        <v>0</v>
      </c>
      <c r="N51" s="139">
        <f t="array" ref="N51">INDEX(F_Inputs!$G$4:$T$381,MATCH(Data!$B51&amp;Data!N$6,F_Inputs!$A$4:$A$381&amp;F_Inputs!$B$4:$B$381,0),MATCH(Data!$C51,F_Inputs!$G$2:$T$2,0))</f>
        <v>162.44073223190401</v>
      </c>
      <c r="P51" s="139">
        <f t="array" ref="P51">INDEX(F_Inputs!$G$4:$T$381,MATCH(Data!$B51&amp;Data!P$6,F_Inputs!$A$4:$A$381&amp;F_Inputs!$B$4:$B$381,0),MATCH(Data!$C51,F_Inputs!$G$2:$T$2,0))</f>
        <v>0</v>
      </c>
      <c r="Q51" s="139">
        <f t="array" ref="Q51">INDEX(F_Inputs!$G$4:$T$381,MATCH(Data!$B51&amp;Data!Q$6,F_Inputs!$A$4:$A$381&amp;F_Inputs!$B$4:$B$381,0),MATCH(Data!$C51,F_Inputs!$G$2:$T$2,0))</f>
        <v>0</v>
      </c>
      <c r="R51" s="139">
        <f t="array" ref="R51">INDEX(F_Inputs!$G$4:$T$381,MATCH(Data!$B51&amp;Data!R$6,F_Inputs!$A$4:$A$381&amp;F_Inputs!$B$4:$B$381,0),MATCH(Data!$C51,F_Inputs!$G$2:$T$2,0))</f>
        <v>0</v>
      </c>
      <c r="S51" s="139">
        <f t="array" ref="S51">INDEX(F_Inputs!$G$4:$T$381,MATCH(Data!$B51&amp;Data!S$6,F_Inputs!$A$4:$A$381&amp;F_Inputs!$B$4:$B$381,0),MATCH(Data!$C51,F_Inputs!$G$2:$T$2,0))</f>
        <v>0</v>
      </c>
      <c r="U51" s="139">
        <f t="array" ref="U51">INDEX(F_Inputs!$G$4:$T$381,MATCH(Data!$B51&amp;Data!U$6,F_Inputs!$A$4:$A$381&amp;F_Inputs!$B$4:$B$381,0),MATCH(Data!$C51,F_Inputs!$G$2:$T$2,0))</f>
        <v>0</v>
      </c>
      <c r="V51" s="139">
        <f t="array" ref="V51">INDEX(F_Inputs!$G$4:$T$381,MATCH(Data!$B51&amp;Data!V$6,F_Inputs!$A$4:$A$381&amp;F_Inputs!$B$4:$B$381,0),MATCH(Data!$C51,F_Inputs!$G$2:$T$2,0))</f>
        <v>0</v>
      </c>
      <c r="W51" s="139">
        <f t="array" ref="W51">INDEX(F_Inputs!$G$4:$T$381,MATCH(Data!$B51&amp;Data!W$6,F_Inputs!$A$4:$A$381&amp;F_Inputs!$B$4:$B$381,0),MATCH(Data!$C51,F_Inputs!$G$2:$T$2,0))</f>
        <v>0</v>
      </c>
    </row>
    <row r="52" spans="1:23" x14ac:dyDescent="0.2">
      <c r="A52" s="138" t="str">
        <f>B52&amp;RIGHT(C52,2)</f>
        <v>SRN14</v>
      </c>
      <c r="B52" s="19" t="s">
        <v>30</v>
      </c>
      <c r="C52" s="143" t="s">
        <v>66</v>
      </c>
      <c r="D52" s="139">
        <f t="array" ref="D52">INDEX(F_Inputs!$G$4:$T$381,MATCH(Data!$B52&amp;Data!D$6,F_Inputs!$A$4:$A$381&amp;F_Inputs!$B$4:$B$381,0),MATCH(Data!$C52,F_Inputs!$G$2:$T$2,0))</f>
        <v>0</v>
      </c>
      <c r="E52" s="139">
        <f t="array" ref="E52">INDEX(F_Inputs!$G$4:$T$381,MATCH(Data!$B52&amp;Data!E$6,F_Inputs!$A$4:$A$381&amp;F_Inputs!$B$4:$B$381,0),MATCH(Data!$C52,F_Inputs!$G$2:$T$2,0))</f>
        <v>0.80646365787694396</v>
      </c>
      <c r="F52" s="139">
        <f t="array" ref="F52">INDEX(F_Inputs!$G$4:$T$381,MATCH(Data!$B52&amp;Data!F$6,F_Inputs!$A$4:$A$381&amp;F_Inputs!$B$4:$B$381,0),MATCH(Data!$C52,F_Inputs!$G$2:$T$2,0))</f>
        <v>0</v>
      </c>
      <c r="G52" s="139">
        <f t="array" ref="G52">INDEX(F_Inputs!$G$4:$T$381,MATCH(Data!$B52&amp;Data!G$6,F_Inputs!$A$4:$A$381&amp;F_Inputs!$B$4:$B$381,0),MATCH(Data!$C52,F_Inputs!$G$2:$T$2,0))</f>
        <v>30.085427991886402</v>
      </c>
      <c r="I52" s="139">
        <f t="array" ref="I52">INDEX(F_Inputs!$G$4:$T$381,MATCH(Data!$B52&amp;Data!I$6,F_Inputs!$A$4:$A$381&amp;F_Inputs!$B$4:$B$381,0),MATCH(Data!$C52,F_Inputs!$G$2:$T$2,0))</f>
        <v>0</v>
      </c>
      <c r="J52" s="139">
        <f t="array" ref="J52">INDEX(F_Inputs!$G$4:$T$381,MATCH(Data!$B52&amp;Data!J$6,F_Inputs!$A$4:$A$381&amp;F_Inputs!$B$4:$B$381,0),MATCH(Data!$C52,F_Inputs!$G$2:$T$2,0))</f>
        <v>0</v>
      </c>
      <c r="K52" s="139">
        <f t="array" ref="K52">INDEX(F_Inputs!$G$4:$T$381,MATCH(Data!$B52&amp;Data!K$6,F_Inputs!$A$4:$A$381&amp;F_Inputs!$B$4:$B$381,0),MATCH(Data!$C52,F_Inputs!$G$2:$T$2,0))</f>
        <v>0</v>
      </c>
      <c r="L52" s="139">
        <f t="array" ref="L52">INDEX(F_Inputs!$G$4:$T$381,MATCH(Data!$B52&amp;Data!L$6,F_Inputs!$A$4:$A$381&amp;F_Inputs!$B$4:$B$381,0),MATCH(Data!$C52,F_Inputs!$G$2:$T$2,0))</f>
        <v>0</v>
      </c>
      <c r="N52" s="139">
        <f t="array" ref="N52">INDEX(F_Inputs!$G$4:$T$381,MATCH(Data!$B52&amp;Data!N$6,F_Inputs!$A$4:$A$381&amp;F_Inputs!$B$4:$B$381,0),MATCH(Data!$C52,F_Inputs!$G$2:$T$2,0))</f>
        <v>158.099920010912</v>
      </c>
      <c r="P52" s="139">
        <f t="array" ref="P52">INDEX(F_Inputs!$G$4:$T$381,MATCH(Data!$B52&amp;Data!P$6,F_Inputs!$A$4:$A$381&amp;F_Inputs!$B$4:$B$381,0),MATCH(Data!$C52,F_Inputs!$G$2:$T$2,0))</f>
        <v>0</v>
      </c>
      <c r="Q52" s="139">
        <f t="array" ref="Q52">INDEX(F_Inputs!$G$4:$T$381,MATCH(Data!$B52&amp;Data!Q$6,F_Inputs!$A$4:$A$381&amp;F_Inputs!$B$4:$B$381,0),MATCH(Data!$C52,F_Inputs!$G$2:$T$2,0))</f>
        <v>0</v>
      </c>
      <c r="R52" s="139">
        <f t="array" ref="R52">INDEX(F_Inputs!$G$4:$T$381,MATCH(Data!$B52&amp;Data!R$6,F_Inputs!$A$4:$A$381&amp;F_Inputs!$B$4:$B$381,0),MATCH(Data!$C52,F_Inputs!$G$2:$T$2,0))</f>
        <v>0</v>
      </c>
      <c r="S52" s="139">
        <f t="array" ref="S52">INDEX(F_Inputs!$G$4:$T$381,MATCH(Data!$B52&amp;Data!S$6,F_Inputs!$A$4:$A$381&amp;F_Inputs!$B$4:$B$381,0),MATCH(Data!$C52,F_Inputs!$G$2:$T$2,0))</f>
        <v>0</v>
      </c>
      <c r="U52" s="139">
        <f t="array" ref="U52">INDEX(F_Inputs!$G$4:$T$381,MATCH(Data!$B52&amp;Data!U$6,F_Inputs!$A$4:$A$381&amp;F_Inputs!$B$4:$B$381,0),MATCH(Data!$C52,F_Inputs!$G$2:$T$2,0))</f>
        <v>0</v>
      </c>
      <c r="V52" s="139">
        <f t="array" ref="V52">INDEX(F_Inputs!$G$4:$T$381,MATCH(Data!$B52&amp;Data!V$6,F_Inputs!$A$4:$A$381&amp;F_Inputs!$B$4:$B$381,0),MATCH(Data!$C52,F_Inputs!$G$2:$T$2,0))</f>
        <v>0</v>
      </c>
      <c r="W52" s="139">
        <f t="array" ref="W52">INDEX(F_Inputs!$G$4:$T$381,MATCH(Data!$B52&amp;Data!W$6,F_Inputs!$A$4:$A$381&amp;F_Inputs!$B$4:$B$381,0),MATCH(Data!$C52,F_Inputs!$G$2:$T$2,0))</f>
        <v>0</v>
      </c>
    </row>
    <row r="53" spans="1:23" x14ac:dyDescent="0.2">
      <c r="A53" s="138" t="str">
        <f>B53&amp;RIGHT(C53,2)</f>
        <v>SRN15</v>
      </c>
      <c r="B53" s="19" t="s">
        <v>30</v>
      </c>
      <c r="C53" s="143" t="s">
        <v>67</v>
      </c>
      <c r="D53" s="139">
        <f t="array" ref="D53">INDEX(F_Inputs!$G$4:$T$381,MATCH(Data!$B53&amp;Data!D$6,F_Inputs!$A$4:$A$381&amp;F_Inputs!$B$4:$B$381,0),MATCH(Data!$C53,F_Inputs!$G$2:$T$2,0))</f>
        <v>0</v>
      </c>
      <c r="E53" s="139">
        <f t="array" ref="E53">INDEX(F_Inputs!$G$4:$T$381,MATCH(Data!$B53&amp;Data!E$6,F_Inputs!$A$4:$A$381&amp;F_Inputs!$B$4:$B$381,0),MATCH(Data!$C53,F_Inputs!$G$2:$T$2,0))</f>
        <v>0.28529606417648501</v>
      </c>
      <c r="F53" s="139">
        <f t="array" ref="F53">INDEX(F_Inputs!$G$4:$T$381,MATCH(Data!$B53&amp;Data!F$6,F_Inputs!$A$4:$A$381&amp;F_Inputs!$B$4:$B$381,0),MATCH(Data!$C53,F_Inputs!$G$2:$T$2,0))</f>
        <v>0</v>
      </c>
      <c r="G53" s="139">
        <f t="array" ref="G53">INDEX(F_Inputs!$G$4:$T$381,MATCH(Data!$B53&amp;Data!G$6,F_Inputs!$A$4:$A$381&amp;F_Inputs!$B$4:$B$381,0),MATCH(Data!$C53,F_Inputs!$G$2:$T$2,0))</f>
        <v>25.7748795855269</v>
      </c>
      <c r="I53" s="139">
        <f t="array" ref="I53">INDEX(F_Inputs!$G$4:$T$381,MATCH(Data!$B53&amp;Data!I$6,F_Inputs!$A$4:$A$381&amp;F_Inputs!$B$4:$B$381,0),MATCH(Data!$C53,F_Inputs!$G$2:$T$2,0))</f>
        <v>0</v>
      </c>
      <c r="J53" s="139">
        <f t="array" ref="J53">INDEX(F_Inputs!$G$4:$T$381,MATCH(Data!$B53&amp;Data!J$6,F_Inputs!$A$4:$A$381&amp;F_Inputs!$B$4:$B$381,0),MATCH(Data!$C53,F_Inputs!$G$2:$T$2,0))</f>
        <v>0</v>
      </c>
      <c r="K53" s="139">
        <f t="array" ref="K53">INDEX(F_Inputs!$G$4:$T$381,MATCH(Data!$B53&amp;Data!K$6,F_Inputs!$A$4:$A$381&amp;F_Inputs!$B$4:$B$381,0),MATCH(Data!$C53,F_Inputs!$G$2:$T$2,0))</f>
        <v>0</v>
      </c>
      <c r="L53" s="139">
        <f t="array" ref="L53">INDEX(F_Inputs!$G$4:$T$381,MATCH(Data!$B53&amp;Data!L$6,F_Inputs!$A$4:$A$381&amp;F_Inputs!$B$4:$B$381,0),MATCH(Data!$C53,F_Inputs!$G$2:$T$2,0))</f>
        <v>0</v>
      </c>
      <c r="N53" s="139">
        <f t="array" ref="N53">INDEX(F_Inputs!$G$4:$T$381,MATCH(Data!$B53&amp;Data!N$6,F_Inputs!$A$4:$A$381&amp;F_Inputs!$B$4:$B$381,0),MATCH(Data!$C53,F_Inputs!$G$2:$T$2,0))</f>
        <v>150.636645015553</v>
      </c>
      <c r="P53" s="139">
        <f t="array" ref="P53">INDEX(F_Inputs!$G$4:$T$381,MATCH(Data!$B53&amp;Data!P$6,F_Inputs!$A$4:$A$381&amp;F_Inputs!$B$4:$B$381,0),MATCH(Data!$C53,F_Inputs!$G$2:$T$2,0))</f>
        <v>0</v>
      </c>
      <c r="Q53" s="139">
        <f t="array" ref="Q53">INDEX(F_Inputs!$G$4:$T$381,MATCH(Data!$B53&amp;Data!Q$6,F_Inputs!$A$4:$A$381&amp;F_Inputs!$B$4:$B$381,0),MATCH(Data!$C53,F_Inputs!$G$2:$T$2,0))</f>
        <v>0</v>
      </c>
      <c r="R53" s="139">
        <f t="array" ref="R53">INDEX(F_Inputs!$G$4:$T$381,MATCH(Data!$B53&amp;Data!R$6,F_Inputs!$A$4:$A$381&amp;F_Inputs!$B$4:$B$381,0),MATCH(Data!$C53,F_Inputs!$G$2:$T$2,0))</f>
        <v>0</v>
      </c>
      <c r="S53" s="139">
        <f t="array" ref="S53">INDEX(F_Inputs!$G$4:$T$381,MATCH(Data!$B53&amp;Data!S$6,F_Inputs!$A$4:$A$381&amp;F_Inputs!$B$4:$B$381,0),MATCH(Data!$C53,F_Inputs!$G$2:$T$2,0))</f>
        <v>0</v>
      </c>
      <c r="U53" s="139">
        <f t="array" ref="U53">INDEX(F_Inputs!$G$4:$T$381,MATCH(Data!$B53&amp;Data!U$6,F_Inputs!$A$4:$A$381&amp;F_Inputs!$B$4:$B$381,0),MATCH(Data!$C53,F_Inputs!$G$2:$T$2,0))</f>
        <v>0</v>
      </c>
      <c r="V53" s="139">
        <f t="array" ref="V53">INDEX(F_Inputs!$G$4:$T$381,MATCH(Data!$B53&amp;Data!V$6,F_Inputs!$A$4:$A$381&amp;F_Inputs!$B$4:$B$381,0),MATCH(Data!$C53,F_Inputs!$G$2:$T$2,0))</f>
        <v>0</v>
      </c>
      <c r="W53" s="139">
        <f t="array" ref="W53">INDEX(F_Inputs!$G$4:$T$381,MATCH(Data!$B53&amp;Data!W$6,F_Inputs!$A$4:$A$381&amp;F_Inputs!$B$4:$B$381,0),MATCH(Data!$C53,F_Inputs!$G$2:$T$2,0))</f>
        <v>0</v>
      </c>
    </row>
    <row r="54" spans="1:23" x14ac:dyDescent="0.2">
      <c r="A54" s="138" t="str">
        <f>B54&amp;RIGHT(C54,2)</f>
        <v>SRN16</v>
      </c>
      <c r="B54" s="19" t="s">
        <v>30</v>
      </c>
      <c r="C54" s="143" t="s">
        <v>68</v>
      </c>
      <c r="D54" s="139">
        <f t="array" ref="D54">INDEX(F_Inputs!$G$4:$T$381,MATCH(Data!$B54&amp;Data!D$6,F_Inputs!$A$4:$A$381&amp;F_Inputs!$B$4:$B$381,0),MATCH(Data!$C54,F_Inputs!$G$2:$T$2,0))</f>
        <v>0.75639450915141404</v>
      </c>
      <c r="E54" s="139">
        <f t="array" ref="E54">INDEX(F_Inputs!$G$4:$T$381,MATCH(Data!$B54&amp;Data!E$6,F_Inputs!$A$4:$A$381&amp;F_Inputs!$B$4:$B$381,0),MATCH(Data!$C54,F_Inputs!$G$2:$T$2,0))</f>
        <v>0.190399168053245</v>
      </c>
      <c r="F54" s="139">
        <f t="array" ref="F54">INDEX(F_Inputs!$G$4:$T$381,MATCH(Data!$B54&amp;Data!F$6,F_Inputs!$A$4:$A$381&amp;F_Inputs!$B$4:$B$381,0),MATCH(Data!$C54,F_Inputs!$G$2:$T$2,0))</f>
        <v>0</v>
      </c>
      <c r="G54" s="139">
        <f t="array" ref="G54">INDEX(F_Inputs!$G$4:$T$381,MATCH(Data!$B54&amp;Data!G$6,F_Inputs!$A$4:$A$381&amp;F_Inputs!$B$4:$B$381,0),MATCH(Data!$C54,F_Inputs!$G$2:$T$2,0))</f>
        <v>16.801946256239599</v>
      </c>
      <c r="I54" s="139">
        <f t="array" ref="I54">INDEX(F_Inputs!$G$4:$T$381,MATCH(Data!$B54&amp;Data!I$6,F_Inputs!$A$4:$A$381&amp;F_Inputs!$B$4:$B$381,0),MATCH(Data!$C54,F_Inputs!$G$2:$T$2,0))</f>
        <v>0</v>
      </c>
      <c r="J54" s="139">
        <f t="array" ref="J54">INDEX(F_Inputs!$G$4:$T$381,MATCH(Data!$B54&amp;Data!J$6,F_Inputs!$A$4:$A$381&amp;F_Inputs!$B$4:$B$381,0),MATCH(Data!$C54,F_Inputs!$G$2:$T$2,0))</f>
        <v>0</v>
      </c>
      <c r="K54" s="139">
        <f t="array" ref="K54">INDEX(F_Inputs!$G$4:$T$381,MATCH(Data!$B54&amp;Data!K$6,F_Inputs!$A$4:$A$381&amp;F_Inputs!$B$4:$B$381,0),MATCH(Data!$C54,F_Inputs!$G$2:$T$2,0))</f>
        <v>0</v>
      </c>
      <c r="L54" s="139">
        <f t="array" ref="L54">INDEX(F_Inputs!$G$4:$T$381,MATCH(Data!$B54&amp;Data!L$6,F_Inputs!$A$4:$A$381&amp;F_Inputs!$B$4:$B$381,0),MATCH(Data!$C54,F_Inputs!$G$2:$T$2,0))</f>
        <v>0</v>
      </c>
      <c r="N54" s="139">
        <f t="array" ref="N54">INDEX(F_Inputs!$G$4:$T$381,MATCH(Data!$B54&amp;Data!N$6,F_Inputs!$A$4:$A$381&amp;F_Inputs!$B$4:$B$381,0),MATCH(Data!$C54,F_Inputs!$G$2:$T$2,0))</f>
        <v>132.008285396757</v>
      </c>
      <c r="P54" s="139">
        <f t="array" ref="P54">INDEX(F_Inputs!$G$4:$T$381,MATCH(Data!$B54&amp;Data!P$6,F_Inputs!$A$4:$A$381&amp;F_Inputs!$B$4:$B$381,0),MATCH(Data!$C54,F_Inputs!$G$2:$T$2,0))</f>
        <v>0</v>
      </c>
      <c r="Q54" s="139">
        <f t="array" ref="Q54">INDEX(F_Inputs!$G$4:$T$381,MATCH(Data!$B54&amp;Data!Q$6,F_Inputs!$A$4:$A$381&amp;F_Inputs!$B$4:$B$381,0),MATCH(Data!$C54,F_Inputs!$G$2:$T$2,0))</f>
        <v>0</v>
      </c>
      <c r="R54" s="139">
        <f t="array" ref="R54">INDEX(F_Inputs!$G$4:$T$381,MATCH(Data!$B54&amp;Data!R$6,F_Inputs!$A$4:$A$381&amp;F_Inputs!$B$4:$B$381,0),MATCH(Data!$C54,F_Inputs!$G$2:$T$2,0))</f>
        <v>0</v>
      </c>
      <c r="S54" s="139">
        <f t="array" ref="S54">INDEX(F_Inputs!$G$4:$T$381,MATCH(Data!$B54&amp;Data!S$6,F_Inputs!$A$4:$A$381&amp;F_Inputs!$B$4:$B$381,0),MATCH(Data!$C54,F_Inputs!$G$2:$T$2,0))</f>
        <v>0</v>
      </c>
      <c r="U54" s="139">
        <f t="array" ref="U54">INDEX(F_Inputs!$G$4:$T$381,MATCH(Data!$B54&amp;Data!U$6,F_Inputs!$A$4:$A$381&amp;F_Inputs!$B$4:$B$381,0),MATCH(Data!$C54,F_Inputs!$G$2:$T$2,0))</f>
        <v>0</v>
      </c>
      <c r="V54" s="139">
        <f t="array" ref="V54">INDEX(F_Inputs!$G$4:$T$381,MATCH(Data!$B54&amp;Data!V$6,F_Inputs!$A$4:$A$381&amp;F_Inputs!$B$4:$B$381,0),MATCH(Data!$C54,F_Inputs!$G$2:$T$2,0))</f>
        <v>0</v>
      </c>
      <c r="W54" s="139">
        <f t="array" ref="W54">INDEX(F_Inputs!$G$4:$T$381,MATCH(Data!$B54&amp;Data!W$6,F_Inputs!$A$4:$A$381&amp;F_Inputs!$B$4:$B$381,0),MATCH(Data!$C54,F_Inputs!$G$2:$T$2,0))</f>
        <v>0</v>
      </c>
    </row>
    <row r="55" spans="1:23" x14ac:dyDescent="0.2">
      <c r="A55" s="138" t="str">
        <f t="shared" ref="A55:A64" si="3">B55&amp;RIGHT(C55,2)</f>
        <v>SRN17</v>
      </c>
      <c r="B55" s="19" t="s">
        <v>30</v>
      </c>
      <c r="C55" s="143" t="s">
        <v>69</v>
      </c>
      <c r="D55" s="139">
        <f t="array" ref="D55">INDEX(F_Inputs!$G$4:$T$381,MATCH(Data!$B55&amp;Data!D$6,F_Inputs!$A$4:$A$381&amp;F_Inputs!$B$4:$B$381,0),MATCH(Data!$C55,F_Inputs!$G$2:$T$2,0))</f>
        <v>4.3814619614279904</v>
      </c>
      <c r="E55" s="139">
        <f t="array" ref="E55">INDEX(F_Inputs!$G$4:$T$381,MATCH(Data!$B55&amp;Data!E$6,F_Inputs!$A$4:$A$381&amp;F_Inputs!$B$4:$B$381,0),MATCH(Data!$C55,F_Inputs!$G$2:$T$2,0))</f>
        <v>0.99760623717685704</v>
      </c>
      <c r="F55" s="139">
        <f t="array" ref="F55">INDEX(F_Inputs!$G$4:$T$381,MATCH(Data!$B55&amp;Data!F$6,F_Inputs!$A$4:$A$381&amp;F_Inputs!$B$4:$B$381,0),MATCH(Data!$C55,F_Inputs!$G$2:$T$2,0))</f>
        <v>0</v>
      </c>
      <c r="G55" s="139">
        <f t="array" ref="G55">INDEX(F_Inputs!$G$4:$T$381,MATCH(Data!$B55&amp;Data!G$6,F_Inputs!$A$4:$A$381&amp;F_Inputs!$B$4:$B$381,0),MATCH(Data!$C55,F_Inputs!$G$2:$T$2,0))</f>
        <v>3.2945638079606101</v>
      </c>
      <c r="I55" s="139">
        <f t="array" ref="I55">INDEX(F_Inputs!$G$4:$T$381,MATCH(Data!$B55&amp;Data!I$6,F_Inputs!$A$4:$A$381&amp;F_Inputs!$B$4:$B$381,0),MATCH(Data!$C55,F_Inputs!$G$2:$T$2,0))</f>
        <v>0</v>
      </c>
      <c r="J55" s="139">
        <f t="array" ref="J55">INDEX(F_Inputs!$G$4:$T$381,MATCH(Data!$B55&amp;Data!J$6,F_Inputs!$A$4:$A$381&amp;F_Inputs!$B$4:$B$381,0),MATCH(Data!$C55,F_Inputs!$G$2:$T$2,0))</f>
        <v>0</v>
      </c>
      <c r="K55" s="139">
        <f t="array" ref="K55">INDEX(F_Inputs!$G$4:$T$381,MATCH(Data!$B55&amp;Data!K$6,F_Inputs!$A$4:$A$381&amp;F_Inputs!$B$4:$B$381,0),MATCH(Data!$C55,F_Inputs!$G$2:$T$2,0))</f>
        <v>0</v>
      </c>
      <c r="L55" s="139">
        <f t="array" ref="L55">INDEX(F_Inputs!$G$4:$T$381,MATCH(Data!$B55&amp;Data!L$6,F_Inputs!$A$4:$A$381&amp;F_Inputs!$B$4:$B$381,0),MATCH(Data!$C55,F_Inputs!$G$2:$T$2,0))</f>
        <v>0</v>
      </c>
      <c r="N55" s="139">
        <f t="array" ref="N55">INDEX(F_Inputs!$G$4:$T$381,MATCH(Data!$B55&amp;Data!N$6,F_Inputs!$A$4:$A$381&amp;F_Inputs!$B$4:$B$381,0),MATCH(Data!$C55,F_Inputs!$G$2:$T$2,0))</f>
        <v>165.529807714399</v>
      </c>
      <c r="P55" s="139">
        <f t="array" ref="P55">INDEX(F_Inputs!$G$4:$T$381,MATCH(Data!$B55&amp;Data!P$6,F_Inputs!$A$4:$A$381&amp;F_Inputs!$B$4:$B$381,0),MATCH(Data!$C55,F_Inputs!$G$2:$T$2,0))</f>
        <v>0</v>
      </c>
      <c r="Q55" s="139">
        <f t="array" ref="Q55">INDEX(F_Inputs!$G$4:$T$381,MATCH(Data!$B55&amp;Data!Q$6,F_Inputs!$A$4:$A$381&amp;F_Inputs!$B$4:$B$381,0),MATCH(Data!$C55,F_Inputs!$G$2:$T$2,0))</f>
        <v>0</v>
      </c>
      <c r="R55" s="139">
        <f t="array" ref="R55">INDEX(F_Inputs!$G$4:$T$381,MATCH(Data!$B55&amp;Data!R$6,F_Inputs!$A$4:$A$381&amp;F_Inputs!$B$4:$B$381,0),MATCH(Data!$C55,F_Inputs!$G$2:$T$2,0))</f>
        <v>0</v>
      </c>
      <c r="S55" s="139">
        <f t="array" ref="S55">INDEX(F_Inputs!$G$4:$T$381,MATCH(Data!$B55&amp;Data!S$6,F_Inputs!$A$4:$A$381&amp;F_Inputs!$B$4:$B$381,0),MATCH(Data!$C55,F_Inputs!$G$2:$T$2,0))</f>
        <v>0</v>
      </c>
      <c r="U55" s="139">
        <f t="array" ref="U55">INDEX(F_Inputs!$G$4:$T$381,MATCH(Data!$B55&amp;Data!U$6,F_Inputs!$A$4:$A$381&amp;F_Inputs!$B$4:$B$381,0),MATCH(Data!$C55,F_Inputs!$G$2:$T$2,0))</f>
        <v>0</v>
      </c>
      <c r="V55" s="139">
        <f t="array" ref="V55">INDEX(F_Inputs!$G$4:$T$381,MATCH(Data!$B55&amp;Data!V$6,F_Inputs!$A$4:$A$381&amp;F_Inputs!$B$4:$B$381,0),MATCH(Data!$C55,F_Inputs!$G$2:$T$2,0))</f>
        <v>0</v>
      </c>
      <c r="W55" s="139">
        <f t="array" ref="W55">INDEX(F_Inputs!$G$4:$T$381,MATCH(Data!$B55&amp;Data!W$6,F_Inputs!$A$4:$A$381&amp;F_Inputs!$B$4:$B$381,0),MATCH(Data!$C55,F_Inputs!$G$2:$T$2,0))</f>
        <v>0</v>
      </c>
    </row>
    <row r="56" spans="1:23" x14ac:dyDescent="0.2">
      <c r="A56" s="141" t="s">
        <v>158</v>
      </c>
      <c r="B56" s="142" t="s">
        <v>30</v>
      </c>
      <c r="C56" s="142" t="s">
        <v>70</v>
      </c>
      <c r="D56" s="139">
        <f t="array" ref="D56">INDEX(F_Inputs!$G$4:$T$381,MATCH(Data!$B56&amp;Data!D$6,F_Inputs!$A$4:$A$381&amp;F_Inputs!$B$4:$B$381,0),MATCH(Data!$C56,F_Inputs!$G$2:$T$2,0))</f>
        <v>2.1280000000000001</v>
      </c>
      <c r="E56" s="139">
        <f t="array" ref="E56">INDEX(F_Inputs!$G$4:$T$381,MATCH(Data!$B56&amp;Data!E$6,F_Inputs!$A$4:$A$381&amp;F_Inputs!$B$4:$B$381,0),MATCH(Data!$C56,F_Inputs!$G$2:$T$2,0))</f>
        <v>1.764</v>
      </c>
      <c r="F56" s="139">
        <f t="array" ref="F56">INDEX(F_Inputs!$G$4:$T$381,MATCH(Data!$B56&amp;Data!F$6,F_Inputs!$A$4:$A$381&amp;F_Inputs!$B$4:$B$381,0),MATCH(Data!$C56,F_Inputs!$G$2:$T$2,0))</f>
        <v>0</v>
      </c>
      <c r="G56" s="139">
        <f t="array" ref="G56">INDEX(F_Inputs!$G$4:$T$381,MATCH(Data!$B56&amp;Data!G$6,F_Inputs!$A$4:$A$381&amp;F_Inputs!$B$4:$B$381,0),MATCH(Data!$C56,F_Inputs!$G$2:$T$2,0))</f>
        <v>0</v>
      </c>
      <c r="I56" s="139">
        <f t="array" ref="I56">INDEX(F_Inputs!$G$4:$T$381,MATCH(Data!$B56&amp;Data!I$6,F_Inputs!$A$4:$A$381&amp;F_Inputs!$B$4:$B$381,0),MATCH(Data!$C56,F_Inputs!$G$2:$T$2,0))</f>
        <v>6.0000000000000001E-3</v>
      </c>
      <c r="J56" s="139">
        <f t="array" ref="J56">INDEX(F_Inputs!$G$4:$T$381,MATCH(Data!$B56&amp;Data!J$6,F_Inputs!$A$4:$A$381&amp;F_Inputs!$B$4:$B$381,0),MATCH(Data!$C56,F_Inputs!$G$2:$T$2,0))</f>
        <v>0</v>
      </c>
      <c r="K56" s="139">
        <f t="array" ref="K56">INDEX(F_Inputs!$G$4:$T$381,MATCH(Data!$B56&amp;Data!K$6,F_Inputs!$A$4:$A$381&amp;F_Inputs!$B$4:$B$381,0),MATCH(Data!$C56,F_Inputs!$G$2:$T$2,0))</f>
        <v>0</v>
      </c>
      <c r="L56" s="139">
        <f t="array" ref="L56">INDEX(F_Inputs!$G$4:$T$381,MATCH(Data!$B56&amp;Data!L$6,F_Inputs!$A$4:$A$381&amp;F_Inputs!$B$4:$B$381,0),MATCH(Data!$C56,F_Inputs!$G$2:$T$2,0))</f>
        <v>0</v>
      </c>
      <c r="N56" s="139">
        <f t="array" ref="N56">INDEX(F_Inputs!$G$4:$T$381,MATCH(Data!$B56&amp;Data!N$6,F_Inputs!$A$4:$A$381&amp;F_Inputs!$B$4:$B$381,0),MATCH(Data!$C56,F_Inputs!$G$2:$T$2,0))</f>
        <v>227.072</v>
      </c>
      <c r="P56" s="139">
        <f t="array" ref="P56">INDEX(F_Inputs!$G$4:$T$381,MATCH(Data!$B56&amp;Data!P$6,F_Inputs!$A$4:$A$381&amp;F_Inputs!$B$4:$B$381,0),MATCH(Data!$C56,F_Inputs!$G$2:$T$2,0))</f>
        <v>4.7</v>
      </c>
      <c r="Q56" s="139">
        <f t="array" ref="Q56">INDEX(F_Inputs!$G$4:$T$381,MATCH(Data!$B56&amp;Data!Q$6,F_Inputs!$A$4:$A$381&amp;F_Inputs!$B$4:$B$381,0),MATCH(Data!$C56,F_Inputs!$G$2:$T$2,0))</f>
        <v>4.7</v>
      </c>
      <c r="R56" s="139">
        <f t="array" ref="R56">INDEX(F_Inputs!$G$4:$T$381,MATCH(Data!$B56&amp;Data!R$6,F_Inputs!$A$4:$A$381&amp;F_Inputs!$B$4:$B$381,0),MATCH(Data!$C56,F_Inputs!$G$2:$T$2,0))</f>
        <v>0.24</v>
      </c>
      <c r="S56" s="139">
        <f t="array" ref="S56">INDEX(F_Inputs!$G$4:$T$381,MATCH(Data!$B56&amp;Data!S$6,F_Inputs!$A$4:$A$381&amp;F_Inputs!$B$4:$B$381,0),MATCH(Data!$C56,F_Inputs!$G$2:$T$2,0))</f>
        <v>0.24</v>
      </c>
      <c r="U56" s="139">
        <f t="array" ref="U56">INDEX(F_Inputs!$G$4:$T$381,MATCH(Data!$B56&amp;Data!U$6,F_Inputs!$A$4:$A$381&amp;F_Inputs!$B$4:$B$381,0),MATCH(Data!$C56,F_Inputs!$G$2:$T$2,0))</f>
        <v>102.64</v>
      </c>
      <c r="V56" s="139">
        <f t="array" ref="V56">INDEX(F_Inputs!$G$4:$T$381,MATCH(Data!$B56&amp;Data!V$6,F_Inputs!$A$4:$A$381&amp;F_Inputs!$B$4:$B$381,0),MATCH(Data!$C56,F_Inputs!$G$2:$T$2,0))</f>
        <v>13905</v>
      </c>
      <c r="W56" s="139">
        <f t="array" ref="W56">INDEX(F_Inputs!$G$4:$T$381,MATCH(Data!$B56&amp;Data!W$6,F_Inputs!$A$4:$A$381&amp;F_Inputs!$B$4:$B$381,0),MATCH(Data!$C56,F_Inputs!$G$2:$T$2,0))</f>
        <v>1114.1600000000001</v>
      </c>
    </row>
    <row r="57" spans="1:23" x14ac:dyDescent="0.2">
      <c r="A57" s="141" t="s">
        <v>159</v>
      </c>
      <c r="B57" s="142" t="s">
        <v>30</v>
      </c>
      <c r="C57" s="142" t="s">
        <v>71</v>
      </c>
      <c r="D57" s="139">
        <f t="array" ref="D57">INDEX(F_Inputs!$G$4:$T$381,MATCH(Data!$B57&amp;Data!D$6,F_Inputs!$A$4:$A$381&amp;F_Inputs!$B$4:$B$381,0),MATCH(Data!$C57,F_Inputs!$G$2:$T$2,0))</f>
        <v>-8.7974050336095001E-3</v>
      </c>
      <c r="E57" s="139">
        <f t="array" ref="E57">INDEX(F_Inputs!$G$4:$T$381,MATCH(Data!$B57&amp;Data!E$6,F_Inputs!$A$4:$A$381&amp;F_Inputs!$B$4:$B$381,0),MATCH(Data!$C57,F_Inputs!$G$2:$T$2,0))</f>
        <v>0.73409457558230395</v>
      </c>
      <c r="F57" s="139">
        <f t="array" ref="F57">INDEX(F_Inputs!$G$4:$T$381,MATCH(Data!$B57&amp;Data!F$6,F_Inputs!$A$4:$A$381&amp;F_Inputs!$B$4:$B$381,0),MATCH(Data!$C57,F_Inputs!$G$2:$T$2,0))</f>
        <v>0</v>
      </c>
      <c r="G57" s="139">
        <f t="array" ref="G57">INDEX(F_Inputs!$G$4:$T$381,MATCH(Data!$B57&amp;Data!G$6,F_Inputs!$A$4:$A$381&amp;F_Inputs!$B$4:$B$381,0),MATCH(Data!$C57,F_Inputs!$G$2:$T$2,0))</f>
        <v>2.7164431764889798</v>
      </c>
      <c r="I57" s="139">
        <f t="array" ref="I57">INDEX(F_Inputs!$G$4:$T$381,MATCH(Data!$B57&amp;Data!I$6,F_Inputs!$A$4:$A$381&amp;F_Inputs!$B$4:$B$381,0),MATCH(Data!$C57,F_Inputs!$G$2:$T$2,0))</f>
        <v>0.18</v>
      </c>
      <c r="J57" s="139">
        <f t="array" ref="J57">INDEX(F_Inputs!$G$4:$T$381,MATCH(Data!$B57&amp;Data!J$6,F_Inputs!$A$4:$A$381&amp;F_Inputs!$B$4:$B$381,0),MATCH(Data!$C57,F_Inputs!$G$2:$T$2,0))</f>
        <v>0</v>
      </c>
      <c r="K57" s="139">
        <f t="array" ref="K57">INDEX(F_Inputs!$G$4:$T$381,MATCH(Data!$B57&amp;Data!K$6,F_Inputs!$A$4:$A$381&amp;F_Inputs!$B$4:$B$381,0),MATCH(Data!$C57,F_Inputs!$G$2:$T$2,0))</f>
        <v>0</v>
      </c>
      <c r="L57" s="139">
        <f t="array" ref="L57">INDEX(F_Inputs!$G$4:$T$381,MATCH(Data!$B57&amp;Data!L$6,F_Inputs!$A$4:$A$381&amp;F_Inputs!$B$4:$B$381,0),MATCH(Data!$C57,F_Inputs!$G$2:$T$2,0))</f>
        <v>0</v>
      </c>
      <c r="N57" s="139">
        <f t="array" ref="N57">INDEX(F_Inputs!$G$4:$T$381,MATCH(Data!$B57&amp;Data!N$6,F_Inputs!$A$4:$A$381&amp;F_Inputs!$B$4:$B$381,0),MATCH(Data!$C57,F_Inputs!$G$2:$T$2,0))</f>
        <v>212.64891949351301</v>
      </c>
      <c r="P57" s="139">
        <f t="array" ref="P57">INDEX(F_Inputs!$G$4:$T$381,MATCH(Data!$B57&amp;Data!P$6,F_Inputs!$A$4:$A$381&amp;F_Inputs!$B$4:$B$381,0),MATCH(Data!$C57,F_Inputs!$G$2:$T$2,0))</f>
        <v>31</v>
      </c>
      <c r="Q57" s="139">
        <f t="array" ref="Q57">INDEX(F_Inputs!$G$4:$T$381,MATCH(Data!$B57&amp;Data!Q$6,F_Inputs!$A$4:$A$381&amp;F_Inputs!$B$4:$B$381,0),MATCH(Data!$C57,F_Inputs!$G$2:$T$2,0))</f>
        <v>22</v>
      </c>
      <c r="R57" s="139">
        <f t="array" ref="R57">INDEX(F_Inputs!$G$4:$T$381,MATCH(Data!$B57&amp;Data!R$6,F_Inputs!$A$4:$A$381&amp;F_Inputs!$B$4:$B$381,0),MATCH(Data!$C57,F_Inputs!$G$2:$T$2,0))</f>
        <v>0.24</v>
      </c>
      <c r="S57" s="139">
        <f t="array" ref="S57">INDEX(F_Inputs!$G$4:$T$381,MATCH(Data!$B57&amp;Data!S$6,F_Inputs!$A$4:$A$381&amp;F_Inputs!$B$4:$B$381,0),MATCH(Data!$C57,F_Inputs!$G$2:$T$2,0))</f>
        <v>0.24</v>
      </c>
      <c r="U57" s="139">
        <f t="array" ref="U57">INDEX(F_Inputs!$G$4:$T$381,MATCH(Data!$B57&amp;Data!U$6,F_Inputs!$A$4:$A$381&amp;F_Inputs!$B$4:$B$381,0),MATCH(Data!$C57,F_Inputs!$G$2:$T$2,0))</f>
        <v>107.2</v>
      </c>
      <c r="V57" s="139">
        <f t="array" ref="V57">INDEX(F_Inputs!$G$4:$T$381,MATCH(Data!$B57&amp;Data!V$6,F_Inputs!$A$4:$A$381&amp;F_Inputs!$B$4:$B$381,0),MATCH(Data!$C57,F_Inputs!$G$2:$T$2,0))</f>
        <v>13940</v>
      </c>
      <c r="W57" s="139">
        <f t="array" ref="W57">INDEX(F_Inputs!$G$4:$T$381,MATCH(Data!$B57&amp;Data!W$6,F_Inputs!$A$4:$A$381&amp;F_Inputs!$B$4:$B$381,0),MATCH(Data!$C57,F_Inputs!$G$2:$T$2,0))</f>
        <v>1121.8889999999999</v>
      </c>
    </row>
    <row r="58" spans="1:23" x14ac:dyDescent="0.2">
      <c r="A58" s="141" t="s">
        <v>160</v>
      </c>
      <c r="B58" s="142" t="s">
        <v>30</v>
      </c>
      <c r="C58" s="142" t="s">
        <v>72</v>
      </c>
      <c r="D58" s="139">
        <f t="array" ref="D58">INDEX(F_Inputs!$G$4:$T$381,MATCH(Data!$B58&amp;Data!D$6,F_Inputs!$A$4:$A$381&amp;F_Inputs!$B$4:$B$381,0),MATCH(Data!$C58,F_Inputs!$G$2:$T$2,0))</f>
        <v>0</v>
      </c>
      <c r="E58" s="139">
        <f t="array" ref="E58">INDEX(F_Inputs!$G$4:$T$381,MATCH(Data!$B58&amp;Data!E$6,F_Inputs!$A$4:$A$381&amp;F_Inputs!$B$4:$B$381,0),MATCH(Data!$C58,F_Inputs!$G$2:$T$2,0))</f>
        <v>2.1730419473361899</v>
      </c>
      <c r="F58" s="139">
        <f t="array" ref="F58">INDEX(F_Inputs!$G$4:$T$381,MATCH(Data!$B58&amp;Data!F$6,F_Inputs!$A$4:$A$381&amp;F_Inputs!$B$4:$B$381,0),MATCH(Data!$C58,F_Inputs!$G$2:$T$2,0))</f>
        <v>0</v>
      </c>
      <c r="G58" s="139">
        <f t="array" ref="G58">INDEX(F_Inputs!$G$4:$T$381,MATCH(Data!$B58&amp;Data!G$6,F_Inputs!$A$4:$A$381&amp;F_Inputs!$B$4:$B$381,0),MATCH(Data!$C58,F_Inputs!$G$2:$T$2,0))</f>
        <v>3.4567640845070402</v>
      </c>
      <c r="I58" s="139">
        <f t="array" ref="I58">INDEX(F_Inputs!$G$4:$T$381,MATCH(Data!$B58&amp;Data!I$6,F_Inputs!$A$4:$A$381&amp;F_Inputs!$B$4:$B$381,0),MATCH(Data!$C58,F_Inputs!$G$2:$T$2,0))</f>
        <v>0.27900000000000003</v>
      </c>
      <c r="J58" s="139">
        <f t="array" ref="J58">INDEX(F_Inputs!$G$4:$T$381,MATCH(Data!$B58&amp;Data!J$6,F_Inputs!$A$4:$A$381&amp;F_Inputs!$B$4:$B$381,0),MATCH(Data!$C58,F_Inputs!$G$2:$T$2,0))</f>
        <v>0</v>
      </c>
      <c r="K58" s="139">
        <f t="array" ref="K58">INDEX(F_Inputs!$G$4:$T$381,MATCH(Data!$B58&amp;Data!K$6,F_Inputs!$A$4:$A$381&amp;F_Inputs!$B$4:$B$381,0),MATCH(Data!$C58,F_Inputs!$G$2:$T$2,0))</f>
        <v>0</v>
      </c>
      <c r="L58" s="139">
        <f t="array" ref="L58">INDEX(F_Inputs!$G$4:$T$381,MATCH(Data!$B58&amp;Data!L$6,F_Inputs!$A$4:$A$381&amp;F_Inputs!$B$4:$B$381,0),MATCH(Data!$C58,F_Inputs!$G$2:$T$2,0))</f>
        <v>0</v>
      </c>
      <c r="N58" s="139">
        <f t="array" ref="N58">INDEX(F_Inputs!$G$4:$T$381,MATCH(Data!$B58&amp;Data!N$6,F_Inputs!$A$4:$A$381&amp;F_Inputs!$B$4:$B$381,0),MATCH(Data!$C58,F_Inputs!$G$2:$T$2,0))</f>
        <v>211.297217544397</v>
      </c>
      <c r="P58" s="139">
        <f t="array" ref="P58">INDEX(F_Inputs!$G$4:$T$381,MATCH(Data!$B58&amp;Data!P$6,F_Inputs!$A$4:$A$381&amp;F_Inputs!$B$4:$B$381,0),MATCH(Data!$C58,F_Inputs!$G$2:$T$2,0))</f>
        <v>7</v>
      </c>
      <c r="Q58" s="139">
        <f t="array" ref="Q58">INDEX(F_Inputs!$G$4:$T$381,MATCH(Data!$B58&amp;Data!Q$6,F_Inputs!$A$4:$A$381&amp;F_Inputs!$B$4:$B$381,0),MATCH(Data!$C58,F_Inputs!$G$2:$T$2,0))</f>
        <v>8</v>
      </c>
      <c r="R58" s="139">
        <f t="array" ref="R58">INDEX(F_Inputs!$G$4:$T$381,MATCH(Data!$B58&amp;Data!R$6,F_Inputs!$A$4:$A$381&amp;F_Inputs!$B$4:$B$381,0),MATCH(Data!$C58,F_Inputs!$G$2:$T$2,0))</f>
        <v>1.97</v>
      </c>
      <c r="S58" s="139">
        <f t="array" ref="S58">INDEX(F_Inputs!$G$4:$T$381,MATCH(Data!$B58&amp;Data!S$6,F_Inputs!$A$4:$A$381&amp;F_Inputs!$B$4:$B$381,0),MATCH(Data!$C58,F_Inputs!$G$2:$T$2,0))</f>
        <v>1.97</v>
      </c>
      <c r="U58" s="139">
        <f t="array" ref="U58">INDEX(F_Inputs!$G$4:$T$381,MATCH(Data!$B58&amp;Data!U$6,F_Inputs!$A$4:$A$381&amp;F_Inputs!$B$4:$B$381,0),MATCH(Data!$C58,F_Inputs!$G$2:$T$2,0))</f>
        <v>105.4</v>
      </c>
      <c r="V58" s="139">
        <f t="array" ref="V58">INDEX(F_Inputs!$G$4:$T$381,MATCH(Data!$B58&amp;Data!V$6,F_Inputs!$A$4:$A$381&amp;F_Inputs!$B$4:$B$381,0),MATCH(Data!$C58,F_Inputs!$G$2:$T$2,0))</f>
        <v>13975</v>
      </c>
      <c r="W58" s="139">
        <f t="array" ref="W58">INDEX(F_Inputs!$G$4:$T$381,MATCH(Data!$B58&amp;Data!W$6,F_Inputs!$A$4:$A$381&amp;F_Inputs!$B$4:$B$381,0),MATCH(Data!$C58,F_Inputs!$G$2:$T$2,0))</f>
        <v>1129.319</v>
      </c>
    </row>
    <row r="59" spans="1:23" x14ac:dyDescent="0.2">
      <c r="A59" s="141" t="s">
        <v>161</v>
      </c>
      <c r="B59" s="142" t="s">
        <v>30</v>
      </c>
      <c r="C59" s="142" t="s">
        <v>73</v>
      </c>
      <c r="D59" s="139">
        <f t="array" ref="D59">INDEX(F_Inputs!$G$4:$T$381,MATCH(Data!$B59&amp;Data!D$6,F_Inputs!$A$4:$A$381&amp;F_Inputs!$B$4:$B$381,0),MATCH(Data!$C59,F_Inputs!$G$2:$T$2,0))</f>
        <v>4.0990000000000002</v>
      </c>
      <c r="E59" s="139">
        <f t="array" ref="E59">INDEX(F_Inputs!$G$4:$T$381,MATCH(Data!$B59&amp;Data!E$6,F_Inputs!$A$4:$A$381&amp;F_Inputs!$B$4:$B$381,0),MATCH(Data!$C59,F_Inputs!$G$2:$T$2,0))</f>
        <v>13.492000000000001</v>
      </c>
      <c r="F59" s="139">
        <f t="array" ref="F59">INDEX(F_Inputs!$G$4:$T$381,MATCH(Data!$B59&amp;Data!F$6,F_Inputs!$A$4:$A$381&amp;F_Inputs!$B$4:$B$381,0),MATCH(Data!$C59,F_Inputs!$G$2:$T$2,0))</f>
        <v>0</v>
      </c>
      <c r="G59" s="139">
        <f t="array" ref="G59">INDEX(F_Inputs!$G$4:$T$381,MATCH(Data!$B59&amp;Data!G$6,F_Inputs!$A$4:$A$381&amp;F_Inputs!$B$4:$B$381,0),MATCH(Data!$C59,F_Inputs!$G$2:$T$2,0))</f>
        <v>5.0839999999999996</v>
      </c>
      <c r="I59" s="139">
        <f t="array" ref="I59">INDEX(F_Inputs!$G$4:$T$381,MATCH(Data!$B59&amp;Data!I$6,F_Inputs!$A$4:$A$381&amp;F_Inputs!$B$4:$B$381,0),MATCH(Data!$C59,F_Inputs!$G$2:$T$2,0))</f>
        <v>0.2</v>
      </c>
      <c r="J59" s="139">
        <f t="array" ref="J59">INDEX(F_Inputs!$G$4:$T$381,MATCH(Data!$B59&amp;Data!J$6,F_Inputs!$A$4:$A$381&amp;F_Inputs!$B$4:$B$381,0),MATCH(Data!$C59,F_Inputs!$G$2:$T$2,0))</f>
        <v>0</v>
      </c>
      <c r="K59" s="139">
        <f t="array" ref="K59">INDEX(F_Inputs!$G$4:$T$381,MATCH(Data!$B59&amp;Data!K$6,F_Inputs!$A$4:$A$381&amp;F_Inputs!$B$4:$B$381,0),MATCH(Data!$C59,F_Inputs!$G$2:$T$2,0))</f>
        <v>0</v>
      </c>
      <c r="L59" s="139">
        <f t="array" ref="L59">INDEX(F_Inputs!$G$4:$T$381,MATCH(Data!$B59&amp;Data!L$6,F_Inputs!$A$4:$A$381&amp;F_Inputs!$B$4:$B$381,0),MATCH(Data!$C59,F_Inputs!$G$2:$T$2,0))</f>
        <v>7.282</v>
      </c>
      <c r="N59" s="139">
        <f t="array" ref="N59">INDEX(F_Inputs!$G$4:$T$381,MATCH(Data!$B59&amp;Data!N$6,F_Inputs!$A$4:$A$381&amp;F_Inputs!$B$4:$B$381,0),MATCH(Data!$C59,F_Inputs!$G$2:$T$2,0))</f>
        <v>238.96899999999999</v>
      </c>
      <c r="P59" s="139">
        <f t="array" ref="P59">INDEX(F_Inputs!$G$4:$T$381,MATCH(Data!$B59&amp;Data!P$6,F_Inputs!$A$4:$A$381&amp;F_Inputs!$B$4:$B$381,0),MATCH(Data!$C59,F_Inputs!$G$2:$T$2,0))</f>
        <v>0</v>
      </c>
      <c r="Q59" s="139">
        <f t="array" ref="Q59">INDEX(F_Inputs!$G$4:$T$381,MATCH(Data!$B59&amp;Data!Q$6,F_Inputs!$A$4:$A$381&amp;F_Inputs!$B$4:$B$381,0),MATCH(Data!$C59,F_Inputs!$G$2:$T$2,0))</f>
        <v>0</v>
      </c>
      <c r="R59" s="139">
        <f t="array" ref="R59">INDEX(F_Inputs!$G$4:$T$381,MATCH(Data!$B59&amp;Data!R$6,F_Inputs!$A$4:$A$381&amp;F_Inputs!$B$4:$B$381,0),MATCH(Data!$C59,F_Inputs!$G$2:$T$2,0))</f>
        <v>15.28</v>
      </c>
      <c r="S59" s="139">
        <f t="array" ref="S59">INDEX(F_Inputs!$G$4:$T$381,MATCH(Data!$B59&amp;Data!S$6,F_Inputs!$A$4:$A$381&amp;F_Inputs!$B$4:$B$381,0),MATCH(Data!$C59,F_Inputs!$G$2:$T$2,0))</f>
        <v>10.15</v>
      </c>
      <c r="U59" s="139">
        <f t="array" ref="U59">INDEX(F_Inputs!$G$4:$T$381,MATCH(Data!$B59&amp;Data!U$6,F_Inputs!$A$4:$A$381&amp;F_Inputs!$B$4:$B$381,0),MATCH(Data!$C59,F_Inputs!$G$2:$T$2,0))</f>
        <v>102.3</v>
      </c>
      <c r="V59" s="139">
        <f t="array" ref="V59">INDEX(F_Inputs!$G$4:$T$381,MATCH(Data!$B59&amp;Data!V$6,F_Inputs!$A$4:$A$381&amp;F_Inputs!$B$4:$B$381,0),MATCH(Data!$C59,F_Inputs!$G$2:$T$2,0))</f>
        <v>14017</v>
      </c>
      <c r="W59" s="139">
        <f t="array" ref="W59">INDEX(F_Inputs!$G$4:$T$381,MATCH(Data!$B59&amp;Data!W$6,F_Inputs!$A$4:$A$381&amp;F_Inputs!$B$4:$B$381,0),MATCH(Data!$C59,F_Inputs!$G$2:$T$2,0))</f>
        <v>1143.2149999999999</v>
      </c>
    </row>
    <row r="60" spans="1:23" x14ac:dyDescent="0.2">
      <c r="A60" s="141" t="s">
        <v>162</v>
      </c>
      <c r="B60" s="142" t="s">
        <v>30</v>
      </c>
      <c r="C60" s="142" t="s">
        <v>74</v>
      </c>
      <c r="D60" s="139">
        <f t="array" ref="D60">INDEX(F_Inputs!$G$4:$T$381,MATCH(Data!$B60&amp;Data!D$6,F_Inputs!$A$4:$A$381&amp;F_Inputs!$B$4:$B$381,0),MATCH(Data!$C60,F_Inputs!$G$2:$T$2,0))</f>
        <v>3.7989999999999999</v>
      </c>
      <c r="E60" s="139">
        <f t="array" ref="E60">INDEX(F_Inputs!$G$4:$T$381,MATCH(Data!$B60&amp;Data!E$6,F_Inputs!$A$4:$A$381&amp;F_Inputs!$B$4:$B$381,0),MATCH(Data!$C60,F_Inputs!$G$2:$T$2,0))</f>
        <v>12.164</v>
      </c>
      <c r="F60" s="139">
        <f t="array" ref="F60">INDEX(F_Inputs!$G$4:$T$381,MATCH(Data!$B60&amp;Data!F$6,F_Inputs!$A$4:$A$381&amp;F_Inputs!$B$4:$B$381,0),MATCH(Data!$C60,F_Inputs!$G$2:$T$2,0))</f>
        <v>0</v>
      </c>
      <c r="G60" s="139">
        <f t="array" ref="G60">INDEX(F_Inputs!$G$4:$T$381,MATCH(Data!$B60&amp;Data!G$6,F_Inputs!$A$4:$A$381&amp;F_Inputs!$B$4:$B$381,0),MATCH(Data!$C60,F_Inputs!$G$2:$T$2,0))</f>
        <v>5.4690000000000003</v>
      </c>
      <c r="I60" s="139">
        <f t="array" ref="I60">INDEX(F_Inputs!$G$4:$T$381,MATCH(Data!$B60&amp;Data!I$6,F_Inputs!$A$4:$A$381&amp;F_Inputs!$B$4:$B$381,0),MATCH(Data!$C60,F_Inputs!$G$2:$T$2,0))</f>
        <v>0.2</v>
      </c>
      <c r="J60" s="139">
        <f t="array" ref="J60">INDEX(F_Inputs!$G$4:$T$381,MATCH(Data!$B60&amp;Data!J$6,F_Inputs!$A$4:$A$381&amp;F_Inputs!$B$4:$B$381,0),MATCH(Data!$C60,F_Inputs!$G$2:$T$2,0))</f>
        <v>0</v>
      </c>
      <c r="K60" s="139">
        <f t="array" ref="K60">INDEX(F_Inputs!$G$4:$T$381,MATCH(Data!$B60&amp;Data!K$6,F_Inputs!$A$4:$A$381&amp;F_Inputs!$B$4:$B$381,0),MATCH(Data!$C60,F_Inputs!$G$2:$T$2,0))</f>
        <v>0</v>
      </c>
      <c r="L60" s="139">
        <f t="array" ref="L60">INDEX(F_Inputs!$G$4:$T$381,MATCH(Data!$B60&amp;Data!L$6,F_Inputs!$A$4:$A$381&amp;F_Inputs!$B$4:$B$381,0),MATCH(Data!$C60,F_Inputs!$G$2:$T$2,0))</f>
        <v>7.282</v>
      </c>
      <c r="N60" s="139">
        <f t="array" ref="N60">INDEX(F_Inputs!$G$4:$T$381,MATCH(Data!$B60&amp;Data!N$6,F_Inputs!$A$4:$A$381&amp;F_Inputs!$B$4:$B$381,0),MATCH(Data!$C60,F_Inputs!$G$2:$T$2,0))</f>
        <v>240.00800000000001</v>
      </c>
      <c r="P60" s="139">
        <f t="array" ref="P60">INDEX(F_Inputs!$G$4:$T$381,MATCH(Data!$B60&amp;Data!P$6,F_Inputs!$A$4:$A$381&amp;F_Inputs!$B$4:$B$381,0),MATCH(Data!$C60,F_Inputs!$G$2:$T$2,0))</f>
        <v>23</v>
      </c>
      <c r="Q60" s="139">
        <f t="array" ref="Q60">INDEX(F_Inputs!$G$4:$T$381,MATCH(Data!$B60&amp;Data!Q$6,F_Inputs!$A$4:$A$381&amp;F_Inputs!$B$4:$B$381,0),MATCH(Data!$C60,F_Inputs!$G$2:$T$2,0))</f>
        <v>20.100000000000001</v>
      </c>
      <c r="R60" s="139">
        <f t="array" ref="R60">INDEX(F_Inputs!$G$4:$T$381,MATCH(Data!$B60&amp;Data!R$6,F_Inputs!$A$4:$A$381&amp;F_Inputs!$B$4:$B$381,0),MATCH(Data!$C60,F_Inputs!$G$2:$T$2,0))</f>
        <v>5.68</v>
      </c>
      <c r="S60" s="139">
        <f t="array" ref="S60">INDEX(F_Inputs!$G$4:$T$381,MATCH(Data!$B60&amp;Data!S$6,F_Inputs!$A$4:$A$381&amp;F_Inputs!$B$4:$B$381,0),MATCH(Data!$C60,F_Inputs!$G$2:$T$2,0))</f>
        <v>5.29</v>
      </c>
      <c r="U60" s="139">
        <f t="array" ref="U60">INDEX(F_Inputs!$G$4:$T$381,MATCH(Data!$B60&amp;Data!U$6,F_Inputs!$A$4:$A$381&amp;F_Inputs!$B$4:$B$381,0),MATCH(Data!$C60,F_Inputs!$G$2:$T$2,0))</f>
        <v>99.1</v>
      </c>
      <c r="V60" s="139">
        <f t="array" ref="V60">INDEX(F_Inputs!$G$4:$T$381,MATCH(Data!$B60&amp;Data!V$6,F_Inputs!$A$4:$A$381&amp;F_Inputs!$B$4:$B$381,0),MATCH(Data!$C60,F_Inputs!$G$2:$T$2,0))</f>
        <v>14059</v>
      </c>
      <c r="W60" s="139">
        <f t="array" ref="W60">INDEX(F_Inputs!$G$4:$T$381,MATCH(Data!$B60&amp;Data!W$6,F_Inputs!$A$4:$A$381&amp;F_Inputs!$B$4:$B$381,0),MATCH(Data!$C60,F_Inputs!$G$2:$T$2,0))</f>
        <v>1156.473</v>
      </c>
    </row>
    <row r="61" spans="1:23" x14ac:dyDescent="0.2">
      <c r="A61" s="141" t="s">
        <v>163</v>
      </c>
      <c r="B61" s="142" t="s">
        <v>30</v>
      </c>
      <c r="C61" s="142" t="s">
        <v>75</v>
      </c>
      <c r="D61" s="139">
        <f t="array" ref="D61">INDEX(F_Inputs!$G$4:$T$381,MATCH(Data!$B61&amp;Data!D$6,F_Inputs!$A$4:$A$381&amp;F_Inputs!$B$4:$B$381,0),MATCH(Data!$C61,F_Inputs!$G$2:$T$2,0))</f>
        <v>4.7210000000000001</v>
      </c>
      <c r="E61" s="139">
        <f t="array" ref="E61">INDEX(F_Inputs!$G$4:$T$381,MATCH(Data!$B61&amp;Data!E$6,F_Inputs!$A$4:$A$381&amp;F_Inputs!$B$4:$B$381,0),MATCH(Data!$C61,F_Inputs!$G$2:$T$2,0))</f>
        <v>16.593</v>
      </c>
      <c r="F61" s="139">
        <f t="array" ref="F61">INDEX(F_Inputs!$G$4:$T$381,MATCH(Data!$B61&amp;Data!F$6,F_Inputs!$A$4:$A$381&amp;F_Inputs!$B$4:$B$381,0),MATCH(Data!$C61,F_Inputs!$G$2:$T$2,0))</f>
        <v>0</v>
      </c>
      <c r="G61" s="139">
        <f t="array" ref="G61">INDEX(F_Inputs!$G$4:$T$381,MATCH(Data!$B61&amp;Data!G$6,F_Inputs!$A$4:$A$381&amp;F_Inputs!$B$4:$B$381,0),MATCH(Data!$C61,F_Inputs!$G$2:$T$2,0))</f>
        <v>6.2380000000000004</v>
      </c>
      <c r="I61" s="139">
        <f t="array" ref="I61">INDEX(F_Inputs!$G$4:$T$381,MATCH(Data!$B61&amp;Data!I$6,F_Inputs!$A$4:$A$381&amp;F_Inputs!$B$4:$B$381,0),MATCH(Data!$C61,F_Inputs!$G$2:$T$2,0))</f>
        <v>0.2</v>
      </c>
      <c r="J61" s="139">
        <f t="array" ref="J61">INDEX(F_Inputs!$G$4:$T$381,MATCH(Data!$B61&amp;Data!J$6,F_Inputs!$A$4:$A$381&amp;F_Inputs!$B$4:$B$381,0),MATCH(Data!$C61,F_Inputs!$G$2:$T$2,0))</f>
        <v>0</v>
      </c>
      <c r="K61" s="139">
        <f t="array" ref="K61">INDEX(F_Inputs!$G$4:$T$381,MATCH(Data!$B61&amp;Data!K$6,F_Inputs!$A$4:$A$381&amp;F_Inputs!$B$4:$B$381,0),MATCH(Data!$C61,F_Inputs!$G$2:$T$2,0))</f>
        <v>0</v>
      </c>
      <c r="L61" s="139">
        <f t="array" ref="L61">INDEX(F_Inputs!$G$4:$T$381,MATCH(Data!$B61&amp;Data!L$6,F_Inputs!$A$4:$A$381&amp;F_Inputs!$B$4:$B$381,0),MATCH(Data!$C61,F_Inputs!$G$2:$T$2,0))</f>
        <v>7.282</v>
      </c>
      <c r="N61" s="139">
        <f t="array" ref="N61">INDEX(F_Inputs!$G$4:$T$381,MATCH(Data!$B61&amp;Data!N$6,F_Inputs!$A$4:$A$381&amp;F_Inputs!$B$4:$B$381,0),MATCH(Data!$C61,F_Inputs!$G$2:$T$2,0))</f>
        <v>219.66</v>
      </c>
      <c r="P61" s="139">
        <f t="array" ref="P61">INDEX(F_Inputs!$G$4:$T$381,MATCH(Data!$B61&amp;Data!P$6,F_Inputs!$A$4:$A$381&amp;F_Inputs!$B$4:$B$381,0),MATCH(Data!$C61,F_Inputs!$G$2:$T$2,0))</f>
        <v>33.68</v>
      </c>
      <c r="Q61" s="139">
        <f t="array" ref="Q61">INDEX(F_Inputs!$G$4:$T$381,MATCH(Data!$B61&amp;Data!Q$6,F_Inputs!$A$4:$A$381&amp;F_Inputs!$B$4:$B$381,0),MATCH(Data!$C61,F_Inputs!$G$2:$T$2,0))</f>
        <v>31.62</v>
      </c>
      <c r="R61" s="139">
        <f t="array" ref="R61">INDEX(F_Inputs!$G$4:$T$381,MATCH(Data!$B61&amp;Data!R$6,F_Inputs!$A$4:$A$381&amp;F_Inputs!$B$4:$B$381,0),MATCH(Data!$C61,F_Inputs!$G$2:$T$2,0))</f>
        <v>4.51</v>
      </c>
      <c r="S61" s="139">
        <f t="array" ref="S61">INDEX(F_Inputs!$G$4:$T$381,MATCH(Data!$B61&amp;Data!S$6,F_Inputs!$A$4:$A$381&amp;F_Inputs!$B$4:$B$381,0),MATCH(Data!$C61,F_Inputs!$G$2:$T$2,0))</f>
        <v>4.13</v>
      </c>
      <c r="U61" s="139">
        <f t="array" ref="U61">INDEX(F_Inputs!$G$4:$T$381,MATCH(Data!$B61&amp;Data!U$6,F_Inputs!$A$4:$A$381&amp;F_Inputs!$B$4:$B$381,0),MATCH(Data!$C61,F_Inputs!$G$2:$T$2,0))</f>
        <v>95.9</v>
      </c>
      <c r="V61" s="139">
        <f t="array" ref="V61">INDEX(F_Inputs!$G$4:$T$381,MATCH(Data!$B61&amp;Data!V$6,F_Inputs!$A$4:$A$381&amp;F_Inputs!$B$4:$B$381,0),MATCH(Data!$C61,F_Inputs!$G$2:$T$2,0))</f>
        <v>14101</v>
      </c>
      <c r="W61" s="139">
        <f t="array" ref="W61">INDEX(F_Inputs!$G$4:$T$381,MATCH(Data!$B61&amp;Data!W$6,F_Inputs!$A$4:$A$381&amp;F_Inputs!$B$4:$B$381,0),MATCH(Data!$C61,F_Inputs!$G$2:$T$2,0))</f>
        <v>1169.3689999999999</v>
      </c>
    </row>
    <row r="62" spans="1:23" x14ac:dyDescent="0.2">
      <c r="A62" s="141" t="s">
        <v>164</v>
      </c>
      <c r="B62" s="142" t="s">
        <v>30</v>
      </c>
      <c r="C62" s="142" t="s">
        <v>76</v>
      </c>
      <c r="D62" s="139">
        <f t="array" ref="D62">INDEX(F_Inputs!$G$4:$T$381,MATCH(Data!$B62&amp;Data!D$6,F_Inputs!$A$4:$A$381&amp;F_Inputs!$B$4:$B$381,0),MATCH(Data!$C62,F_Inputs!$G$2:$T$2,0))</f>
        <v>7.8520000000000003</v>
      </c>
      <c r="E62" s="139">
        <f t="array" ref="E62">INDEX(F_Inputs!$G$4:$T$381,MATCH(Data!$B62&amp;Data!E$6,F_Inputs!$A$4:$A$381&amp;F_Inputs!$B$4:$B$381,0),MATCH(Data!$C62,F_Inputs!$G$2:$T$2,0))</f>
        <v>32.426000000000002</v>
      </c>
      <c r="F62" s="139">
        <f t="array" ref="F62">INDEX(F_Inputs!$G$4:$T$381,MATCH(Data!$B62&amp;Data!F$6,F_Inputs!$A$4:$A$381&amp;F_Inputs!$B$4:$B$381,0),MATCH(Data!$C62,F_Inputs!$G$2:$T$2,0))</f>
        <v>0</v>
      </c>
      <c r="G62" s="139">
        <f t="array" ref="G62">INDEX(F_Inputs!$G$4:$T$381,MATCH(Data!$B62&amp;Data!G$6,F_Inputs!$A$4:$A$381&amp;F_Inputs!$B$4:$B$381,0),MATCH(Data!$C62,F_Inputs!$G$2:$T$2,0))</f>
        <v>7.9710000000000001</v>
      </c>
      <c r="I62" s="139">
        <f t="array" ref="I62">INDEX(F_Inputs!$G$4:$T$381,MATCH(Data!$B62&amp;Data!I$6,F_Inputs!$A$4:$A$381&amp;F_Inputs!$B$4:$B$381,0),MATCH(Data!$C62,F_Inputs!$G$2:$T$2,0))</f>
        <v>0.2</v>
      </c>
      <c r="J62" s="139">
        <f t="array" ref="J62">INDEX(F_Inputs!$G$4:$T$381,MATCH(Data!$B62&amp;Data!J$6,F_Inputs!$A$4:$A$381&amp;F_Inputs!$B$4:$B$381,0),MATCH(Data!$C62,F_Inputs!$G$2:$T$2,0))</f>
        <v>0</v>
      </c>
      <c r="K62" s="139">
        <f t="array" ref="K62">INDEX(F_Inputs!$G$4:$T$381,MATCH(Data!$B62&amp;Data!K$6,F_Inputs!$A$4:$A$381&amp;F_Inputs!$B$4:$B$381,0),MATCH(Data!$C62,F_Inputs!$G$2:$T$2,0))</f>
        <v>0</v>
      </c>
      <c r="L62" s="139">
        <f t="array" ref="L62">INDEX(F_Inputs!$G$4:$T$381,MATCH(Data!$B62&amp;Data!L$6,F_Inputs!$A$4:$A$381&amp;F_Inputs!$B$4:$B$381,0),MATCH(Data!$C62,F_Inputs!$G$2:$T$2,0))</f>
        <v>7.282</v>
      </c>
      <c r="N62" s="139">
        <f t="array" ref="N62">INDEX(F_Inputs!$G$4:$T$381,MATCH(Data!$B62&amp;Data!N$6,F_Inputs!$A$4:$A$381&amp;F_Inputs!$B$4:$B$381,0),MATCH(Data!$C62,F_Inputs!$G$2:$T$2,0))</f>
        <v>201.80199999999999</v>
      </c>
      <c r="P62" s="139">
        <f t="array" ref="P62">INDEX(F_Inputs!$G$4:$T$381,MATCH(Data!$B62&amp;Data!P$6,F_Inputs!$A$4:$A$381&amp;F_Inputs!$B$4:$B$381,0),MATCH(Data!$C62,F_Inputs!$G$2:$T$2,0))</f>
        <v>15</v>
      </c>
      <c r="Q62" s="139">
        <f t="array" ref="Q62">INDEX(F_Inputs!$G$4:$T$381,MATCH(Data!$B62&amp;Data!Q$6,F_Inputs!$A$4:$A$381&amp;F_Inputs!$B$4:$B$381,0),MATCH(Data!$C62,F_Inputs!$G$2:$T$2,0))</f>
        <v>8.6999999999999993</v>
      </c>
      <c r="R62" s="139">
        <f t="array" ref="R62">INDEX(F_Inputs!$G$4:$T$381,MATCH(Data!$B62&amp;Data!R$6,F_Inputs!$A$4:$A$381&amp;F_Inputs!$B$4:$B$381,0),MATCH(Data!$C62,F_Inputs!$G$2:$T$2,0))</f>
        <v>6.67</v>
      </c>
      <c r="S62" s="139">
        <f t="array" ref="S62">INDEX(F_Inputs!$G$4:$T$381,MATCH(Data!$B62&amp;Data!S$6,F_Inputs!$A$4:$A$381&amp;F_Inputs!$B$4:$B$381,0),MATCH(Data!$C62,F_Inputs!$G$2:$T$2,0))</f>
        <v>6.19</v>
      </c>
      <c r="U62" s="139">
        <f t="array" ref="U62">INDEX(F_Inputs!$G$4:$T$381,MATCH(Data!$B62&amp;Data!U$6,F_Inputs!$A$4:$A$381&amp;F_Inputs!$B$4:$B$381,0),MATCH(Data!$C62,F_Inputs!$G$2:$T$2,0))</f>
        <v>92.7</v>
      </c>
      <c r="V62" s="139">
        <f t="array" ref="V62">INDEX(F_Inputs!$G$4:$T$381,MATCH(Data!$B62&amp;Data!V$6,F_Inputs!$A$4:$A$381&amp;F_Inputs!$B$4:$B$381,0),MATCH(Data!$C62,F_Inputs!$G$2:$T$2,0))</f>
        <v>14143</v>
      </c>
      <c r="W62" s="139">
        <f t="array" ref="W62">INDEX(F_Inputs!$G$4:$T$381,MATCH(Data!$B62&amp;Data!W$6,F_Inputs!$A$4:$A$381&amp;F_Inputs!$B$4:$B$381,0),MATCH(Data!$C62,F_Inputs!$G$2:$T$2,0))</f>
        <v>1182.1510000000001</v>
      </c>
    </row>
    <row r="63" spans="1:23" x14ac:dyDescent="0.2">
      <c r="A63" s="141" t="s">
        <v>165</v>
      </c>
      <c r="B63" s="142" t="s">
        <v>30</v>
      </c>
      <c r="C63" s="142" t="s">
        <v>24</v>
      </c>
      <c r="D63" s="139">
        <f t="array" ref="D63">INDEX(F_Inputs!$G$4:$T$381,MATCH(Data!$B63&amp;Data!D$6,F_Inputs!$A$4:$A$381&amp;F_Inputs!$B$4:$B$381,0),MATCH(Data!$C63,F_Inputs!$G$2:$T$2,0))</f>
        <v>11.367000000000001</v>
      </c>
      <c r="E63" s="139">
        <f t="array" ref="E63">INDEX(F_Inputs!$G$4:$T$381,MATCH(Data!$B63&amp;Data!E$6,F_Inputs!$A$4:$A$381&amp;F_Inputs!$B$4:$B$381,0),MATCH(Data!$C63,F_Inputs!$G$2:$T$2,0))</f>
        <v>50.09</v>
      </c>
      <c r="F63" s="139">
        <f t="array" ref="F63">INDEX(F_Inputs!$G$4:$T$381,MATCH(Data!$B63&amp;Data!F$6,F_Inputs!$A$4:$A$381&amp;F_Inputs!$B$4:$B$381,0),MATCH(Data!$C63,F_Inputs!$G$2:$T$2,0))</f>
        <v>0</v>
      </c>
      <c r="G63" s="139">
        <f t="array" ref="G63">INDEX(F_Inputs!$G$4:$T$381,MATCH(Data!$B63&amp;Data!G$6,F_Inputs!$A$4:$A$381&amp;F_Inputs!$B$4:$B$381,0),MATCH(Data!$C63,F_Inputs!$G$2:$T$2,0))</f>
        <v>8.3559999999999999</v>
      </c>
      <c r="I63" s="139">
        <f t="array" ref="I63">INDEX(F_Inputs!$G$4:$T$381,MATCH(Data!$B63&amp;Data!I$6,F_Inputs!$A$4:$A$381&amp;F_Inputs!$B$4:$B$381,0),MATCH(Data!$C63,F_Inputs!$G$2:$T$2,0))</f>
        <v>0.2</v>
      </c>
      <c r="J63" s="139">
        <f t="array" ref="J63">INDEX(F_Inputs!$G$4:$T$381,MATCH(Data!$B63&amp;Data!J$6,F_Inputs!$A$4:$A$381&amp;F_Inputs!$B$4:$B$381,0),MATCH(Data!$C63,F_Inputs!$G$2:$T$2,0))</f>
        <v>0</v>
      </c>
      <c r="K63" s="139">
        <f t="array" ref="K63">INDEX(F_Inputs!$G$4:$T$381,MATCH(Data!$B63&amp;Data!K$6,F_Inputs!$A$4:$A$381&amp;F_Inputs!$B$4:$B$381,0),MATCH(Data!$C63,F_Inputs!$G$2:$T$2,0))</f>
        <v>0</v>
      </c>
      <c r="L63" s="139">
        <f t="array" ref="L63">INDEX(F_Inputs!$G$4:$T$381,MATCH(Data!$B63&amp;Data!L$6,F_Inputs!$A$4:$A$381&amp;F_Inputs!$B$4:$B$381,0),MATCH(Data!$C63,F_Inputs!$G$2:$T$2,0))</f>
        <v>7.282</v>
      </c>
      <c r="N63" s="139">
        <f t="array" ref="N63">INDEX(F_Inputs!$G$4:$T$381,MATCH(Data!$B63&amp;Data!N$6,F_Inputs!$A$4:$A$381&amp;F_Inputs!$B$4:$B$381,0),MATCH(Data!$C63,F_Inputs!$G$2:$T$2,0))</f>
        <v>217.626</v>
      </c>
      <c r="P63" s="139">
        <f t="array" ref="P63">INDEX(F_Inputs!$G$4:$T$381,MATCH(Data!$B63&amp;Data!P$6,F_Inputs!$A$4:$A$381&amp;F_Inputs!$B$4:$B$381,0),MATCH(Data!$C63,F_Inputs!$G$2:$T$2,0))</f>
        <v>12.12</v>
      </c>
      <c r="Q63" s="139">
        <f t="array" ref="Q63">INDEX(F_Inputs!$G$4:$T$381,MATCH(Data!$B63&amp;Data!Q$6,F_Inputs!$A$4:$A$381&amp;F_Inputs!$B$4:$B$381,0),MATCH(Data!$C63,F_Inputs!$G$2:$T$2,0))</f>
        <v>12.12</v>
      </c>
      <c r="R63" s="139">
        <f t="array" ref="R63">INDEX(F_Inputs!$G$4:$T$381,MATCH(Data!$B63&amp;Data!R$6,F_Inputs!$A$4:$A$381&amp;F_Inputs!$B$4:$B$381,0),MATCH(Data!$C63,F_Inputs!$G$2:$T$2,0))</f>
        <v>5.54</v>
      </c>
      <c r="S63" s="139">
        <f t="array" ref="S63">INDEX(F_Inputs!$G$4:$T$381,MATCH(Data!$B63&amp;Data!S$6,F_Inputs!$A$4:$A$381&amp;F_Inputs!$B$4:$B$381,0),MATCH(Data!$C63,F_Inputs!$G$2:$T$2,0))</f>
        <v>5.14</v>
      </c>
      <c r="U63" s="139">
        <f t="array" ref="U63">INDEX(F_Inputs!$G$4:$T$381,MATCH(Data!$B63&amp;Data!U$6,F_Inputs!$A$4:$A$381&amp;F_Inputs!$B$4:$B$381,0),MATCH(Data!$C63,F_Inputs!$G$2:$T$2,0))</f>
        <v>89.6</v>
      </c>
      <c r="V63" s="139">
        <f t="array" ref="V63">INDEX(F_Inputs!$G$4:$T$381,MATCH(Data!$B63&amp;Data!V$6,F_Inputs!$A$4:$A$381&amp;F_Inputs!$B$4:$B$381,0),MATCH(Data!$C63,F_Inputs!$G$2:$T$2,0))</f>
        <v>14185</v>
      </c>
      <c r="W63" s="139">
        <f t="array" ref="W63">INDEX(F_Inputs!$G$4:$T$381,MATCH(Data!$B63&amp;Data!W$6,F_Inputs!$A$4:$A$381&amp;F_Inputs!$B$4:$B$381,0),MATCH(Data!$C63,F_Inputs!$G$2:$T$2,0))</f>
        <v>1194.2829999999999</v>
      </c>
    </row>
    <row r="64" spans="1:23" x14ac:dyDescent="0.2">
      <c r="A64" s="138" t="str">
        <f t="shared" si="3"/>
        <v>SVT12</v>
      </c>
      <c r="B64" s="19" t="s">
        <v>107</v>
      </c>
      <c r="C64" s="143" t="s">
        <v>64</v>
      </c>
      <c r="D64" s="139">
        <f t="array" ref="D64">INDEX(F_Inputs!$G$4:$T$381,MATCH(Data!$B64&amp;Data!D$6,F_Inputs!$A$4:$A$381&amp;F_Inputs!$B$4:$B$381,0),MATCH(Data!$C64,F_Inputs!$G$2:$T$2,0))</f>
        <v>0</v>
      </c>
      <c r="E64" s="139">
        <f t="array" ref="E64">INDEX(F_Inputs!$G$4:$T$381,MATCH(Data!$B64&amp;Data!E$6,F_Inputs!$A$4:$A$381&amp;F_Inputs!$B$4:$B$381,0),MATCH(Data!$C64,F_Inputs!$G$2:$T$2,0))</f>
        <v>4.2488636314171799</v>
      </c>
      <c r="F64" s="139">
        <f t="array" ref="F64">INDEX(F_Inputs!$G$4:$T$381,MATCH(Data!$B64&amp;Data!F$6,F_Inputs!$A$4:$A$381&amp;F_Inputs!$B$4:$B$381,0),MATCH(Data!$C64,F_Inputs!$G$2:$T$2,0))</f>
        <v>0</v>
      </c>
      <c r="G64" s="139">
        <f t="array" ref="G64">INDEX(F_Inputs!$G$4:$T$381,MATCH(Data!$B64&amp;Data!G$6,F_Inputs!$A$4:$A$381&amp;F_Inputs!$B$4:$B$381,0),MATCH(Data!$C64,F_Inputs!$G$2:$T$2,0))</f>
        <v>0</v>
      </c>
      <c r="I64" s="139">
        <f t="array" ref="I64">INDEX(F_Inputs!$G$4:$T$381,MATCH(Data!$B64&amp;Data!I$6,F_Inputs!$A$4:$A$381&amp;F_Inputs!$B$4:$B$381,0),MATCH(Data!$C64,F_Inputs!$G$2:$T$2,0))</f>
        <v>0</v>
      </c>
      <c r="J64" s="139">
        <f t="array" ref="J64">INDEX(F_Inputs!$G$4:$T$381,MATCH(Data!$B64&amp;Data!J$6,F_Inputs!$A$4:$A$381&amp;F_Inputs!$B$4:$B$381,0),MATCH(Data!$C64,F_Inputs!$G$2:$T$2,0))</f>
        <v>0</v>
      </c>
      <c r="K64" s="139">
        <f t="array" ref="K64">INDEX(F_Inputs!$G$4:$T$381,MATCH(Data!$B64&amp;Data!K$6,F_Inputs!$A$4:$A$381&amp;F_Inputs!$B$4:$B$381,0),MATCH(Data!$C64,F_Inputs!$G$2:$T$2,0))</f>
        <v>0</v>
      </c>
      <c r="L64" s="139">
        <f t="array" ref="L64">INDEX(F_Inputs!$G$4:$T$381,MATCH(Data!$B64&amp;Data!L$6,F_Inputs!$A$4:$A$381&amp;F_Inputs!$B$4:$B$381,0),MATCH(Data!$C64,F_Inputs!$G$2:$T$2,0))</f>
        <v>0</v>
      </c>
      <c r="N64" s="139">
        <f t="array" ref="N64">INDEX(F_Inputs!$G$4:$T$381,MATCH(Data!$B64&amp;Data!N$6,F_Inputs!$A$4:$A$381&amp;F_Inputs!$B$4:$B$381,0),MATCH(Data!$C64,F_Inputs!$G$2:$T$2,0))</f>
        <v>518.00273540290698</v>
      </c>
      <c r="P64" s="139">
        <f t="array" ref="P64">INDEX(F_Inputs!$G$4:$T$381,MATCH(Data!$B64&amp;Data!P$6,F_Inputs!$A$4:$A$381&amp;F_Inputs!$B$4:$B$381,0),MATCH(Data!$C64,F_Inputs!$G$2:$T$2,0))</f>
        <v>0</v>
      </c>
      <c r="Q64" s="139">
        <f t="array" ref="Q64">INDEX(F_Inputs!$G$4:$T$381,MATCH(Data!$B64&amp;Data!Q$6,F_Inputs!$A$4:$A$381&amp;F_Inputs!$B$4:$B$381,0),MATCH(Data!$C64,F_Inputs!$G$2:$T$2,0))</f>
        <v>0</v>
      </c>
      <c r="R64" s="139">
        <f t="array" ref="R64">INDEX(F_Inputs!$G$4:$T$381,MATCH(Data!$B64&amp;Data!R$6,F_Inputs!$A$4:$A$381&amp;F_Inputs!$B$4:$B$381,0),MATCH(Data!$C64,F_Inputs!$G$2:$T$2,0))</f>
        <v>0</v>
      </c>
      <c r="S64" s="139">
        <f t="array" ref="S64">INDEX(F_Inputs!$G$4:$T$381,MATCH(Data!$B64&amp;Data!S$6,F_Inputs!$A$4:$A$381&amp;F_Inputs!$B$4:$B$381,0),MATCH(Data!$C64,F_Inputs!$G$2:$T$2,0))</f>
        <v>0</v>
      </c>
      <c r="U64" s="139">
        <f t="array" ref="U64">INDEX(F_Inputs!$G$4:$T$381,MATCH(Data!$B64&amp;Data!U$6,F_Inputs!$A$4:$A$381&amp;F_Inputs!$B$4:$B$381,0),MATCH(Data!$C64,F_Inputs!$G$2:$T$2,0))</f>
        <v>0</v>
      </c>
      <c r="V64" s="139">
        <f t="array" ref="V64">INDEX(F_Inputs!$G$4:$T$381,MATCH(Data!$B64&amp;Data!V$6,F_Inputs!$A$4:$A$381&amp;F_Inputs!$B$4:$B$381,0),MATCH(Data!$C64,F_Inputs!$G$2:$T$2,0))</f>
        <v>0</v>
      </c>
      <c r="W64" s="139">
        <f t="array" ref="W64">INDEX(F_Inputs!$G$4:$T$381,MATCH(Data!$B64&amp;Data!W$6,F_Inputs!$A$4:$A$381&amp;F_Inputs!$B$4:$B$381,0),MATCH(Data!$C64,F_Inputs!$G$2:$T$2,0))</f>
        <v>0</v>
      </c>
    </row>
    <row r="65" spans="1:23" x14ac:dyDescent="0.2">
      <c r="A65" s="138" t="str">
        <f>B65&amp;RIGHT(C65,2)</f>
        <v>SVT13</v>
      </c>
      <c r="B65" s="19" t="s">
        <v>107</v>
      </c>
      <c r="C65" s="143" t="s">
        <v>65</v>
      </c>
      <c r="D65" s="139">
        <f t="array" ref="D65">INDEX(F_Inputs!$G$4:$T$381,MATCH(Data!$B65&amp;Data!D$6,F_Inputs!$A$4:$A$381&amp;F_Inputs!$B$4:$B$381,0),MATCH(Data!$C65,F_Inputs!$G$2:$T$2,0))</f>
        <v>0</v>
      </c>
      <c r="E65" s="139">
        <f t="array" ref="E65">INDEX(F_Inputs!$G$4:$T$381,MATCH(Data!$B65&amp;Data!E$6,F_Inputs!$A$4:$A$381&amp;F_Inputs!$B$4:$B$381,0),MATCH(Data!$C65,F_Inputs!$G$2:$T$2,0))</f>
        <v>2.2452745096886502</v>
      </c>
      <c r="F65" s="139">
        <f t="array" ref="F65">INDEX(F_Inputs!$G$4:$T$381,MATCH(Data!$B65&amp;Data!F$6,F_Inputs!$A$4:$A$381&amp;F_Inputs!$B$4:$B$381,0),MATCH(Data!$C65,F_Inputs!$G$2:$T$2,0))</f>
        <v>0</v>
      </c>
      <c r="G65" s="139">
        <f t="array" ref="G65">INDEX(F_Inputs!$G$4:$T$381,MATCH(Data!$B65&amp;Data!G$6,F_Inputs!$A$4:$A$381&amp;F_Inputs!$B$4:$B$381,0),MATCH(Data!$C65,F_Inputs!$G$2:$T$2,0))</f>
        <v>0</v>
      </c>
      <c r="I65" s="139">
        <f t="array" ref="I65">INDEX(F_Inputs!$G$4:$T$381,MATCH(Data!$B65&amp;Data!I$6,F_Inputs!$A$4:$A$381&amp;F_Inputs!$B$4:$B$381,0),MATCH(Data!$C65,F_Inputs!$G$2:$T$2,0))</f>
        <v>0</v>
      </c>
      <c r="J65" s="139">
        <f t="array" ref="J65">INDEX(F_Inputs!$G$4:$T$381,MATCH(Data!$B65&amp;Data!J$6,F_Inputs!$A$4:$A$381&amp;F_Inputs!$B$4:$B$381,0),MATCH(Data!$C65,F_Inputs!$G$2:$T$2,0))</f>
        <v>0</v>
      </c>
      <c r="K65" s="139">
        <f t="array" ref="K65">INDEX(F_Inputs!$G$4:$T$381,MATCH(Data!$B65&amp;Data!K$6,F_Inputs!$A$4:$A$381&amp;F_Inputs!$B$4:$B$381,0),MATCH(Data!$C65,F_Inputs!$G$2:$T$2,0))</f>
        <v>0</v>
      </c>
      <c r="L65" s="139">
        <f t="array" ref="L65">INDEX(F_Inputs!$G$4:$T$381,MATCH(Data!$B65&amp;Data!L$6,F_Inputs!$A$4:$A$381&amp;F_Inputs!$B$4:$B$381,0),MATCH(Data!$C65,F_Inputs!$G$2:$T$2,0))</f>
        <v>0</v>
      </c>
      <c r="N65" s="139">
        <f t="array" ref="N65">INDEX(F_Inputs!$G$4:$T$381,MATCH(Data!$B65&amp;Data!N$6,F_Inputs!$A$4:$A$381&amp;F_Inputs!$B$4:$B$381,0),MATCH(Data!$C65,F_Inputs!$G$2:$T$2,0))</f>
        <v>557.08687430292605</v>
      </c>
      <c r="P65" s="139">
        <f t="array" ref="P65">INDEX(F_Inputs!$G$4:$T$381,MATCH(Data!$B65&amp;Data!P$6,F_Inputs!$A$4:$A$381&amp;F_Inputs!$B$4:$B$381,0),MATCH(Data!$C65,F_Inputs!$G$2:$T$2,0))</f>
        <v>0</v>
      </c>
      <c r="Q65" s="139">
        <f t="array" ref="Q65">INDEX(F_Inputs!$G$4:$T$381,MATCH(Data!$B65&amp;Data!Q$6,F_Inputs!$A$4:$A$381&amp;F_Inputs!$B$4:$B$381,0),MATCH(Data!$C65,F_Inputs!$G$2:$T$2,0))</f>
        <v>0</v>
      </c>
      <c r="R65" s="139">
        <f t="array" ref="R65">INDEX(F_Inputs!$G$4:$T$381,MATCH(Data!$B65&amp;Data!R$6,F_Inputs!$A$4:$A$381&amp;F_Inputs!$B$4:$B$381,0),MATCH(Data!$C65,F_Inputs!$G$2:$T$2,0))</f>
        <v>0</v>
      </c>
      <c r="S65" s="139">
        <f t="array" ref="S65">INDEX(F_Inputs!$G$4:$T$381,MATCH(Data!$B65&amp;Data!S$6,F_Inputs!$A$4:$A$381&amp;F_Inputs!$B$4:$B$381,0),MATCH(Data!$C65,F_Inputs!$G$2:$T$2,0))</f>
        <v>0</v>
      </c>
      <c r="U65" s="139">
        <f t="array" ref="U65">INDEX(F_Inputs!$G$4:$T$381,MATCH(Data!$B65&amp;Data!U$6,F_Inputs!$A$4:$A$381&amp;F_Inputs!$B$4:$B$381,0),MATCH(Data!$C65,F_Inputs!$G$2:$T$2,0))</f>
        <v>0</v>
      </c>
      <c r="V65" s="139">
        <f t="array" ref="V65">INDEX(F_Inputs!$G$4:$T$381,MATCH(Data!$B65&amp;Data!V$6,F_Inputs!$A$4:$A$381&amp;F_Inputs!$B$4:$B$381,0),MATCH(Data!$C65,F_Inputs!$G$2:$T$2,0))</f>
        <v>0</v>
      </c>
      <c r="W65" s="139">
        <f t="array" ref="W65">INDEX(F_Inputs!$G$4:$T$381,MATCH(Data!$B65&amp;Data!W$6,F_Inputs!$A$4:$A$381&amp;F_Inputs!$B$4:$B$381,0),MATCH(Data!$C65,F_Inputs!$G$2:$T$2,0))</f>
        <v>0</v>
      </c>
    </row>
    <row r="66" spans="1:23" x14ac:dyDescent="0.2">
      <c r="A66" s="138" t="str">
        <f>B66&amp;RIGHT(C66,2)</f>
        <v>SVT14</v>
      </c>
      <c r="B66" s="19" t="s">
        <v>107</v>
      </c>
      <c r="C66" s="143" t="s">
        <v>66</v>
      </c>
      <c r="D66" s="139">
        <f t="array" ref="D66">INDEX(F_Inputs!$G$4:$T$381,MATCH(Data!$B66&amp;Data!D$6,F_Inputs!$A$4:$A$381&amp;F_Inputs!$B$4:$B$381,0),MATCH(Data!$C66,F_Inputs!$G$2:$T$2,0))</f>
        <v>0</v>
      </c>
      <c r="E66" s="139">
        <f t="array" ref="E66">INDEX(F_Inputs!$G$4:$T$381,MATCH(Data!$B66&amp;Data!E$6,F_Inputs!$A$4:$A$381&amp;F_Inputs!$B$4:$B$381,0),MATCH(Data!$C66,F_Inputs!$G$2:$T$2,0))</f>
        <v>3.2748245851029298</v>
      </c>
      <c r="F66" s="139">
        <f t="array" ref="F66">INDEX(F_Inputs!$G$4:$T$381,MATCH(Data!$B66&amp;Data!F$6,F_Inputs!$A$4:$A$381&amp;F_Inputs!$B$4:$B$381,0),MATCH(Data!$C66,F_Inputs!$G$2:$T$2,0))</f>
        <v>0</v>
      </c>
      <c r="G66" s="139">
        <f t="array" ref="G66">INDEX(F_Inputs!$G$4:$T$381,MATCH(Data!$B66&amp;Data!G$6,F_Inputs!$A$4:$A$381&amp;F_Inputs!$B$4:$B$381,0),MATCH(Data!$C66,F_Inputs!$G$2:$T$2,0))</f>
        <v>0</v>
      </c>
      <c r="I66" s="139">
        <f t="array" ref="I66">INDEX(F_Inputs!$G$4:$T$381,MATCH(Data!$B66&amp;Data!I$6,F_Inputs!$A$4:$A$381&amp;F_Inputs!$B$4:$B$381,0),MATCH(Data!$C66,F_Inputs!$G$2:$T$2,0))</f>
        <v>0</v>
      </c>
      <c r="J66" s="139">
        <f t="array" ref="J66">INDEX(F_Inputs!$G$4:$T$381,MATCH(Data!$B66&amp;Data!J$6,F_Inputs!$A$4:$A$381&amp;F_Inputs!$B$4:$B$381,0),MATCH(Data!$C66,F_Inputs!$G$2:$T$2,0))</f>
        <v>0</v>
      </c>
      <c r="K66" s="139">
        <f t="array" ref="K66">INDEX(F_Inputs!$G$4:$T$381,MATCH(Data!$B66&amp;Data!K$6,F_Inputs!$A$4:$A$381&amp;F_Inputs!$B$4:$B$381,0),MATCH(Data!$C66,F_Inputs!$G$2:$T$2,0))</f>
        <v>0</v>
      </c>
      <c r="L66" s="139">
        <f t="array" ref="L66">INDEX(F_Inputs!$G$4:$T$381,MATCH(Data!$B66&amp;Data!L$6,F_Inputs!$A$4:$A$381&amp;F_Inputs!$B$4:$B$381,0),MATCH(Data!$C66,F_Inputs!$G$2:$T$2,0))</f>
        <v>0</v>
      </c>
      <c r="N66" s="139">
        <f t="array" ref="N66">INDEX(F_Inputs!$G$4:$T$381,MATCH(Data!$B66&amp;Data!N$6,F_Inputs!$A$4:$A$381&amp;F_Inputs!$B$4:$B$381,0),MATCH(Data!$C66,F_Inputs!$G$2:$T$2,0))</f>
        <v>583.14856946547002</v>
      </c>
      <c r="P66" s="139">
        <f t="array" ref="P66">INDEX(F_Inputs!$G$4:$T$381,MATCH(Data!$B66&amp;Data!P$6,F_Inputs!$A$4:$A$381&amp;F_Inputs!$B$4:$B$381,0),MATCH(Data!$C66,F_Inputs!$G$2:$T$2,0))</f>
        <v>0</v>
      </c>
      <c r="Q66" s="139">
        <f t="array" ref="Q66">INDEX(F_Inputs!$G$4:$T$381,MATCH(Data!$B66&amp;Data!Q$6,F_Inputs!$A$4:$A$381&amp;F_Inputs!$B$4:$B$381,0),MATCH(Data!$C66,F_Inputs!$G$2:$T$2,0))</f>
        <v>0</v>
      </c>
      <c r="R66" s="139">
        <f t="array" ref="R66">INDEX(F_Inputs!$G$4:$T$381,MATCH(Data!$B66&amp;Data!R$6,F_Inputs!$A$4:$A$381&amp;F_Inputs!$B$4:$B$381,0),MATCH(Data!$C66,F_Inputs!$G$2:$T$2,0))</f>
        <v>0</v>
      </c>
      <c r="S66" s="139">
        <f t="array" ref="S66">INDEX(F_Inputs!$G$4:$T$381,MATCH(Data!$B66&amp;Data!S$6,F_Inputs!$A$4:$A$381&amp;F_Inputs!$B$4:$B$381,0),MATCH(Data!$C66,F_Inputs!$G$2:$T$2,0))</f>
        <v>0</v>
      </c>
      <c r="U66" s="139">
        <f t="array" ref="U66">INDEX(F_Inputs!$G$4:$T$381,MATCH(Data!$B66&amp;Data!U$6,F_Inputs!$A$4:$A$381&amp;F_Inputs!$B$4:$B$381,0),MATCH(Data!$C66,F_Inputs!$G$2:$T$2,0))</f>
        <v>0</v>
      </c>
      <c r="V66" s="139">
        <f t="array" ref="V66">INDEX(F_Inputs!$G$4:$T$381,MATCH(Data!$B66&amp;Data!V$6,F_Inputs!$A$4:$A$381&amp;F_Inputs!$B$4:$B$381,0),MATCH(Data!$C66,F_Inputs!$G$2:$T$2,0))</f>
        <v>0</v>
      </c>
      <c r="W66" s="139">
        <f t="array" ref="W66">INDEX(F_Inputs!$G$4:$T$381,MATCH(Data!$B66&amp;Data!W$6,F_Inputs!$A$4:$A$381&amp;F_Inputs!$B$4:$B$381,0),MATCH(Data!$C66,F_Inputs!$G$2:$T$2,0))</f>
        <v>0</v>
      </c>
    </row>
    <row r="67" spans="1:23" x14ac:dyDescent="0.2">
      <c r="A67" s="138" t="str">
        <f>B67&amp;RIGHT(C67,2)</f>
        <v>SVT15</v>
      </c>
      <c r="B67" s="19" t="s">
        <v>107</v>
      </c>
      <c r="C67" s="143" t="s">
        <v>67</v>
      </c>
      <c r="D67" s="139">
        <f t="array" ref="D67">INDEX(F_Inputs!$G$4:$T$381,MATCH(Data!$B67&amp;Data!D$6,F_Inputs!$A$4:$A$381&amp;F_Inputs!$B$4:$B$381,0),MATCH(Data!$C67,F_Inputs!$G$2:$T$2,0))</f>
        <v>0</v>
      </c>
      <c r="E67" s="139">
        <f t="array" ref="E67">INDEX(F_Inputs!$G$4:$T$381,MATCH(Data!$B67&amp;Data!E$6,F_Inputs!$A$4:$A$381&amp;F_Inputs!$B$4:$B$381,0),MATCH(Data!$C67,F_Inputs!$G$2:$T$2,0))</f>
        <v>11.3390679317526</v>
      </c>
      <c r="F67" s="139">
        <f t="array" ref="F67">INDEX(F_Inputs!$G$4:$T$381,MATCH(Data!$B67&amp;Data!F$6,F_Inputs!$A$4:$A$381&amp;F_Inputs!$B$4:$B$381,0),MATCH(Data!$C67,F_Inputs!$G$2:$T$2,0))</f>
        <v>0</v>
      </c>
      <c r="G67" s="139">
        <f t="array" ref="G67">INDEX(F_Inputs!$G$4:$T$381,MATCH(Data!$B67&amp;Data!G$6,F_Inputs!$A$4:$A$381&amp;F_Inputs!$B$4:$B$381,0),MATCH(Data!$C67,F_Inputs!$G$2:$T$2,0))</f>
        <v>0</v>
      </c>
      <c r="I67" s="139">
        <f t="array" ref="I67">INDEX(F_Inputs!$G$4:$T$381,MATCH(Data!$B67&amp;Data!I$6,F_Inputs!$A$4:$A$381&amp;F_Inputs!$B$4:$B$381,0),MATCH(Data!$C67,F_Inputs!$G$2:$T$2,0))</f>
        <v>0</v>
      </c>
      <c r="J67" s="139">
        <f t="array" ref="J67">INDEX(F_Inputs!$G$4:$T$381,MATCH(Data!$B67&amp;Data!J$6,F_Inputs!$A$4:$A$381&amp;F_Inputs!$B$4:$B$381,0),MATCH(Data!$C67,F_Inputs!$G$2:$T$2,0))</f>
        <v>0</v>
      </c>
      <c r="K67" s="139">
        <f t="array" ref="K67">INDEX(F_Inputs!$G$4:$T$381,MATCH(Data!$B67&amp;Data!K$6,F_Inputs!$A$4:$A$381&amp;F_Inputs!$B$4:$B$381,0),MATCH(Data!$C67,F_Inputs!$G$2:$T$2,0))</f>
        <v>0</v>
      </c>
      <c r="L67" s="139">
        <f t="array" ref="L67">INDEX(F_Inputs!$G$4:$T$381,MATCH(Data!$B67&amp;Data!L$6,F_Inputs!$A$4:$A$381&amp;F_Inputs!$B$4:$B$381,0),MATCH(Data!$C67,F_Inputs!$G$2:$T$2,0))</f>
        <v>0</v>
      </c>
      <c r="N67" s="139">
        <f t="array" ref="N67">INDEX(F_Inputs!$G$4:$T$381,MATCH(Data!$B67&amp;Data!N$6,F_Inputs!$A$4:$A$381&amp;F_Inputs!$B$4:$B$381,0),MATCH(Data!$C67,F_Inputs!$G$2:$T$2,0))</f>
        <v>611.92452447891799</v>
      </c>
      <c r="P67" s="139">
        <f t="array" ref="P67">INDEX(F_Inputs!$G$4:$T$381,MATCH(Data!$B67&amp;Data!P$6,F_Inputs!$A$4:$A$381&amp;F_Inputs!$B$4:$B$381,0),MATCH(Data!$C67,F_Inputs!$G$2:$T$2,0))</f>
        <v>0</v>
      </c>
      <c r="Q67" s="139">
        <f t="array" ref="Q67">INDEX(F_Inputs!$G$4:$T$381,MATCH(Data!$B67&amp;Data!Q$6,F_Inputs!$A$4:$A$381&amp;F_Inputs!$B$4:$B$381,0),MATCH(Data!$C67,F_Inputs!$G$2:$T$2,0))</f>
        <v>0</v>
      </c>
      <c r="R67" s="139">
        <f t="array" ref="R67">INDEX(F_Inputs!$G$4:$T$381,MATCH(Data!$B67&amp;Data!R$6,F_Inputs!$A$4:$A$381&amp;F_Inputs!$B$4:$B$381,0),MATCH(Data!$C67,F_Inputs!$G$2:$T$2,0))</f>
        <v>0</v>
      </c>
      <c r="S67" s="139">
        <f t="array" ref="S67">INDEX(F_Inputs!$G$4:$T$381,MATCH(Data!$B67&amp;Data!S$6,F_Inputs!$A$4:$A$381&amp;F_Inputs!$B$4:$B$381,0),MATCH(Data!$C67,F_Inputs!$G$2:$T$2,0))</f>
        <v>0</v>
      </c>
      <c r="U67" s="139">
        <f t="array" ref="U67">INDEX(F_Inputs!$G$4:$T$381,MATCH(Data!$B67&amp;Data!U$6,F_Inputs!$A$4:$A$381&amp;F_Inputs!$B$4:$B$381,0),MATCH(Data!$C67,F_Inputs!$G$2:$T$2,0))</f>
        <v>0</v>
      </c>
      <c r="V67" s="139">
        <f t="array" ref="V67">INDEX(F_Inputs!$G$4:$T$381,MATCH(Data!$B67&amp;Data!V$6,F_Inputs!$A$4:$A$381&amp;F_Inputs!$B$4:$B$381,0),MATCH(Data!$C67,F_Inputs!$G$2:$T$2,0))</f>
        <v>0</v>
      </c>
      <c r="W67" s="139">
        <f t="array" ref="W67">INDEX(F_Inputs!$G$4:$T$381,MATCH(Data!$B67&amp;Data!W$6,F_Inputs!$A$4:$A$381&amp;F_Inputs!$B$4:$B$381,0),MATCH(Data!$C67,F_Inputs!$G$2:$T$2,0))</f>
        <v>0</v>
      </c>
    </row>
    <row r="68" spans="1:23" x14ac:dyDescent="0.2">
      <c r="A68" s="138" t="str">
        <f>B68&amp;RIGHT(C68,2)</f>
        <v>SVT16</v>
      </c>
      <c r="B68" s="19" t="s">
        <v>107</v>
      </c>
      <c r="C68" s="143" t="s">
        <v>68</v>
      </c>
      <c r="D68" s="139">
        <f t="array" ref="D68">INDEX(F_Inputs!$G$4:$T$381,MATCH(Data!$B68&amp;Data!D$6,F_Inputs!$A$4:$A$381&amp;F_Inputs!$B$4:$B$381,0),MATCH(Data!$C68,F_Inputs!$G$2:$T$2,0))</f>
        <v>0</v>
      </c>
      <c r="E68" s="139">
        <f t="array" ref="E68">INDEX(F_Inputs!$G$4:$T$381,MATCH(Data!$B68&amp;Data!E$6,F_Inputs!$A$4:$A$381&amp;F_Inputs!$B$4:$B$381,0),MATCH(Data!$C68,F_Inputs!$G$2:$T$2,0))</f>
        <v>5.0366302329450896</v>
      </c>
      <c r="F68" s="139">
        <f t="array" ref="F68">INDEX(F_Inputs!$G$4:$T$381,MATCH(Data!$B68&amp;Data!F$6,F_Inputs!$A$4:$A$381&amp;F_Inputs!$B$4:$B$381,0),MATCH(Data!$C68,F_Inputs!$G$2:$T$2,0))</f>
        <v>0</v>
      </c>
      <c r="G68" s="139">
        <f t="array" ref="G68">INDEX(F_Inputs!$G$4:$T$381,MATCH(Data!$B68&amp;Data!G$6,F_Inputs!$A$4:$A$381&amp;F_Inputs!$B$4:$B$381,0),MATCH(Data!$C68,F_Inputs!$G$2:$T$2,0))</f>
        <v>0</v>
      </c>
      <c r="I68" s="139">
        <f t="array" ref="I68">INDEX(F_Inputs!$G$4:$T$381,MATCH(Data!$B68&amp;Data!I$6,F_Inputs!$A$4:$A$381&amp;F_Inputs!$B$4:$B$381,0),MATCH(Data!$C68,F_Inputs!$G$2:$T$2,0))</f>
        <v>0</v>
      </c>
      <c r="J68" s="139">
        <f t="array" ref="J68">INDEX(F_Inputs!$G$4:$T$381,MATCH(Data!$B68&amp;Data!J$6,F_Inputs!$A$4:$A$381&amp;F_Inputs!$B$4:$B$381,0),MATCH(Data!$C68,F_Inputs!$G$2:$T$2,0))</f>
        <v>0</v>
      </c>
      <c r="K68" s="139">
        <f t="array" ref="K68">INDEX(F_Inputs!$G$4:$T$381,MATCH(Data!$B68&amp;Data!K$6,F_Inputs!$A$4:$A$381&amp;F_Inputs!$B$4:$B$381,0),MATCH(Data!$C68,F_Inputs!$G$2:$T$2,0))</f>
        <v>0</v>
      </c>
      <c r="L68" s="139">
        <f t="array" ref="L68">INDEX(F_Inputs!$G$4:$T$381,MATCH(Data!$B68&amp;Data!L$6,F_Inputs!$A$4:$A$381&amp;F_Inputs!$B$4:$B$381,0),MATCH(Data!$C68,F_Inputs!$G$2:$T$2,0))</f>
        <v>0</v>
      </c>
      <c r="N68" s="139">
        <f t="array" ref="N68">INDEX(F_Inputs!$G$4:$T$381,MATCH(Data!$B68&amp;Data!N$6,F_Inputs!$A$4:$A$381&amp;F_Inputs!$B$4:$B$381,0),MATCH(Data!$C68,F_Inputs!$G$2:$T$2,0))</f>
        <v>587.18720381968706</v>
      </c>
      <c r="P68" s="139">
        <f t="array" ref="P68">INDEX(F_Inputs!$G$4:$T$381,MATCH(Data!$B68&amp;Data!P$6,F_Inputs!$A$4:$A$381&amp;F_Inputs!$B$4:$B$381,0),MATCH(Data!$C68,F_Inputs!$G$2:$T$2,0))</f>
        <v>0</v>
      </c>
      <c r="Q68" s="139">
        <f t="array" ref="Q68">INDEX(F_Inputs!$G$4:$T$381,MATCH(Data!$B68&amp;Data!Q$6,F_Inputs!$A$4:$A$381&amp;F_Inputs!$B$4:$B$381,0),MATCH(Data!$C68,F_Inputs!$G$2:$T$2,0))</f>
        <v>0</v>
      </c>
      <c r="R68" s="139">
        <f t="array" ref="R68">INDEX(F_Inputs!$G$4:$T$381,MATCH(Data!$B68&amp;Data!R$6,F_Inputs!$A$4:$A$381&amp;F_Inputs!$B$4:$B$381,0),MATCH(Data!$C68,F_Inputs!$G$2:$T$2,0))</f>
        <v>0</v>
      </c>
      <c r="S68" s="139">
        <f t="array" ref="S68">INDEX(F_Inputs!$G$4:$T$381,MATCH(Data!$B68&amp;Data!S$6,F_Inputs!$A$4:$A$381&amp;F_Inputs!$B$4:$B$381,0),MATCH(Data!$C68,F_Inputs!$G$2:$T$2,0))</f>
        <v>0</v>
      </c>
      <c r="U68" s="139">
        <f t="array" ref="U68">INDEX(F_Inputs!$G$4:$T$381,MATCH(Data!$B68&amp;Data!U$6,F_Inputs!$A$4:$A$381&amp;F_Inputs!$B$4:$B$381,0),MATCH(Data!$C68,F_Inputs!$G$2:$T$2,0))</f>
        <v>0</v>
      </c>
      <c r="V68" s="139">
        <f t="array" ref="V68">INDEX(F_Inputs!$G$4:$T$381,MATCH(Data!$B68&amp;Data!V$6,F_Inputs!$A$4:$A$381&amp;F_Inputs!$B$4:$B$381,0),MATCH(Data!$C68,F_Inputs!$G$2:$T$2,0))</f>
        <v>0</v>
      </c>
      <c r="W68" s="139">
        <f t="array" ref="W68">INDEX(F_Inputs!$G$4:$T$381,MATCH(Data!$B68&amp;Data!W$6,F_Inputs!$A$4:$A$381&amp;F_Inputs!$B$4:$B$381,0),MATCH(Data!$C68,F_Inputs!$G$2:$T$2,0))</f>
        <v>0</v>
      </c>
    </row>
    <row r="69" spans="1:23" x14ac:dyDescent="0.2">
      <c r="A69" s="138" t="str">
        <f t="shared" ref="A69:A101" si="4">B69&amp;RIGHT(C69,2)</f>
        <v>SVT17</v>
      </c>
      <c r="B69" s="19" t="s">
        <v>107</v>
      </c>
      <c r="C69" s="143" t="s">
        <v>69</v>
      </c>
      <c r="D69" s="139">
        <f t="array" ref="D69">INDEX(F_Inputs!$G$4:$T$381,MATCH(Data!$B69&amp;Data!D$6,F_Inputs!$A$4:$A$381&amp;F_Inputs!$B$4:$B$381,0),MATCH(Data!$C69,F_Inputs!$G$2:$T$2,0))</f>
        <v>0</v>
      </c>
      <c r="E69" s="139">
        <f t="array" ref="E69">INDEX(F_Inputs!$G$4:$T$381,MATCH(Data!$B69&amp;Data!E$6,F_Inputs!$A$4:$A$381&amp;F_Inputs!$B$4:$B$381,0),MATCH(Data!$C69,F_Inputs!$G$2:$T$2,0))</f>
        <v>5.2625781698809897</v>
      </c>
      <c r="F69" s="139">
        <f t="array" ref="F69">INDEX(F_Inputs!$G$4:$T$381,MATCH(Data!$B69&amp;Data!F$6,F_Inputs!$A$4:$A$381&amp;F_Inputs!$B$4:$B$381,0),MATCH(Data!$C69,F_Inputs!$G$2:$T$2,0))</f>
        <v>0</v>
      </c>
      <c r="G69" s="139">
        <f t="array" ref="G69">INDEX(F_Inputs!$G$4:$T$381,MATCH(Data!$B69&amp;Data!G$6,F_Inputs!$A$4:$A$381&amp;F_Inputs!$B$4:$B$381,0),MATCH(Data!$C69,F_Inputs!$G$2:$T$2,0))</f>
        <v>0</v>
      </c>
      <c r="I69" s="139">
        <f t="array" ref="I69">INDEX(F_Inputs!$G$4:$T$381,MATCH(Data!$B69&amp;Data!I$6,F_Inputs!$A$4:$A$381&amp;F_Inputs!$B$4:$B$381,0),MATCH(Data!$C69,F_Inputs!$G$2:$T$2,0))</f>
        <v>0</v>
      </c>
      <c r="J69" s="139">
        <f t="array" ref="J69">INDEX(F_Inputs!$G$4:$T$381,MATCH(Data!$B69&amp;Data!J$6,F_Inputs!$A$4:$A$381&amp;F_Inputs!$B$4:$B$381,0),MATCH(Data!$C69,F_Inputs!$G$2:$T$2,0))</f>
        <v>0</v>
      </c>
      <c r="K69" s="139">
        <f t="array" ref="K69">INDEX(F_Inputs!$G$4:$T$381,MATCH(Data!$B69&amp;Data!K$6,F_Inputs!$A$4:$A$381&amp;F_Inputs!$B$4:$B$381,0),MATCH(Data!$C69,F_Inputs!$G$2:$T$2,0))</f>
        <v>0</v>
      </c>
      <c r="L69" s="139">
        <f t="array" ref="L69">INDEX(F_Inputs!$G$4:$T$381,MATCH(Data!$B69&amp;Data!L$6,F_Inputs!$A$4:$A$381&amp;F_Inputs!$B$4:$B$381,0),MATCH(Data!$C69,F_Inputs!$G$2:$T$2,0))</f>
        <v>0</v>
      </c>
      <c r="N69" s="139">
        <f t="array" ref="N69">INDEX(F_Inputs!$G$4:$T$381,MATCH(Data!$B69&amp;Data!N$6,F_Inputs!$A$4:$A$381&amp;F_Inputs!$B$4:$B$381,0),MATCH(Data!$C69,F_Inputs!$G$2:$T$2,0))</f>
        <v>609.94506897156396</v>
      </c>
      <c r="P69" s="139">
        <f t="array" ref="P69">INDEX(F_Inputs!$G$4:$T$381,MATCH(Data!$B69&amp;Data!P$6,F_Inputs!$A$4:$A$381&amp;F_Inputs!$B$4:$B$381,0),MATCH(Data!$C69,F_Inputs!$G$2:$T$2,0))</f>
        <v>0</v>
      </c>
      <c r="Q69" s="139">
        <f t="array" ref="Q69">INDEX(F_Inputs!$G$4:$T$381,MATCH(Data!$B69&amp;Data!Q$6,F_Inputs!$A$4:$A$381&amp;F_Inputs!$B$4:$B$381,0),MATCH(Data!$C69,F_Inputs!$G$2:$T$2,0))</f>
        <v>0</v>
      </c>
      <c r="R69" s="139">
        <f t="array" ref="R69">INDEX(F_Inputs!$G$4:$T$381,MATCH(Data!$B69&amp;Data!R$6,F_Inputs!$A$4:$A$381&amp;F_Inputs!$B$4:$B$381,0),MATCH(Data!$C69,F_Inputs!$G$2:$T$2,0))</f>
        <v>0</v>
      </c>
      <c r="S69" s="139">
        <f t="array" ref="S69">INDEX(F_Inputs!$G$4:$T$381,MATCH(Data!$B69&amp;Data!S$6,F_Inputs!$A$4:$A$381&amp;F_Inputs!$B$4:$B$381,0),MATCH(Data!$C69,F_Inputs!$G$2:$T$2,0))</f>
        <v>0</v>
      </c>
      <c r="U69" s="139">
        <f t="array" ref="U69">INDEX(F_Inputs!$G$4:$T$381,MATCH(Data!$B69&amp;Data!U$6,F_Inputs!$A$4:$A$381&amp;F_Inputs!$B$4:$B$381,0),MATCH(Data!$C69,F_Inputs!$G$2:$T$2,0))</f>
        <v>0</v>
      </c>
      <c r="V69" s="139">
        <f t="array" ref="V69">INDEX(F_Inputs!$G$4:$T$381,MATCH(Data!$B69&amp;Data!V$6,F_Inputs!$A$4:$A$381&amp;F_Inputs!$B$4:$B$381,0),MATCH(Data!$C69,F_Inputs!$G$2:$T$2,0))</f>
        <v>0</v>
      </c>
      <c r="W69" s="139">
        <f t="array" ref="W69">INDEX(F_Inputs!$G$4:$T$381,MATCH(Data!$B69&amp;Data!W$6,F_Inputs!$A$4:$A$381&amp;F_Inputs!$B$4:$B$381,0),MATCH(Data!$C69,F_Inputs!$G$2:$T$2,0))</f>
        <v>0</v>
      </c>
    </row>
    <row r="70" spans="1:23" x14ac:dyDescent="0.2">
      <c r="A70" s="141" t="s">
        <v>166</v>
      </c>
      <c r="B70" s="142" t="s">
        <v>107</v>
      </c>
      <c r="C70" s="142" t="s">
        <v>70</v>
      </c>
      <c r="D70" s="139">
        <f t="array" ref="D70">INDEX(F_Inputs!$G$4:$T$381,MATCH(Data!$B70&amp;Data!D$6,F_Inputs!$A$4:$A$381&amp;F_Inputs!$B$4:$B$381,0),MATCH(Data!$C70,F_Inputs!$G$2:$T$2,0))</f>
        <v>0</v>
      </c>
      <c r="E70" s="139">
        <f t="array" ref="E70">INDEX(F_Inputs!$G$4:$T$381,MATCH(Data!$B70&amp;Data!E$6,F_Inputs!$A$4:$A$381&amp;F_Inputs!$B$4:$B$381,0),MATCH(Data!$C70,F_Inputs!$G$2:$T$2,0))</f>
        <v>1.1299999999999999</v>
      </c>
      <c r="F70" s="139">
        <f t="array" ref="F70">INDEX(F_Inputs!$G$4:$T$381,MATCH(Data!$B70&amp;Data!F$6,F_Inputs!$A$4:$A$381&amp;F_Inputs!$B$4:$B$381,0),MATCH(Data!$C70,F_Inputs!$G$2:$T$2,0))</f>
        <v>0</v>
      </c>
      <c r="G70" s="139">
        <f t="array" ref="G70">INDEX(F_Inputs!$G$4:$T$381,MATCH(Data!$B70&amp;Data!G$6,F_Inputs!$A$4:$A$381&amp;F_Inputs!$B$4:$B$381,0),MATCH(Data!$C70,F_Inputs!$G$2:$T$2,0))</f>
        <v>0</v>
      </c>
      <c r="I70" s="139">
        <f t="array" ref="I70">INDEX(F_Inputs!$G$4:$T$381,MATCH(Data!$B70&amp;Data!I$6,F_Inputs!$A$4:$A$381&amp;F_Inputs!$B$4:$B$381,0),MATCH(Data!$C70,F_Inputs!$G$2:$T$2,0))</f>
        <v>0</v>
      </c>
      <c r="J70" s="139">
        <f t="array" ref="J70">INDEX(F_Inputs!$G$4:$T$381,MATCH(Data!$B70&amp;Data!J$6,F_Inputs!$A$4:$A$381&amp;F_Inputs!$B$4:$B$381,0),MATCH(Data!$C70,F_Inputs!$G$2:$T$2,0))</f>
        <v>0</v>
      </c>
      <c r="K70" s="139">
        <f t="array" ref="K70">INDEX(F_Inputs!$G$4:$T$381,MATCH(Data!$B70&amp;Data!K$6,F_Inputs!$A$4:$A$381&amp;F_Inputs!$B$4:$B$381,0),MATCH(Data!$C70,F_Inputs!$G$2:$T$2,0))</f>
        <v>0</v>
      </c>
      <c r="L70" s="139">
        <f t="array" ref="L70">INDEX(F_Inputs!$G$4:$T$381,MATCH(Data!$B70&amp;Data!L$6,F_Inputs!$A$4:$A$381&amp;F_Inputs!$B$4:$B$381,0),MATCH(Data!$C70,F_Inputs!$G$2:$T$2,0))</f>
        <v>0</v>
      </c>
      <c r="N70" s="139">
        <f t="array" ref="N70">INDEX(F_Inputs!$G$4:$T$381,MATCH(Data!$B70&amp;Data!N$6,F_Inputs!$A$4:$A$381&amp;F_Inputs!$B$4:$B$381,0),MATCH(Data!$C70,F_Inputs!$G$2:$T$2,0))</f>
        <v>683.78599999999994</v>
      </c>
      <c r="P70" s="139">
        <f t="array" ref="P70">INDEX(F_Inputs!$G$4:$T$381,MATCH(Data!$B70&amp;Data!P$6,F_Inputs!$A$4:$A$381&amp;F_Inputs!$B$4:$B$381,0),MATCH(Data!$C70,F_Inputs!$G$2:$T$2,0))</f>
        <v>5.21</v>
      </c>
      <c r="Q70" s="139">
        <f t="array" ref="Q70">INDEX(F_Inputs!$G$4:$T$381,MATCH(Data!$B70&amp;Data!Q$6,F_Inputs!$A$4:$A$381&amp;F_Inputs!$B$4:$B$381,0),MATCH(Data!$C70,F_Inputs!$G$2:$T$2,0))</f>
        <v>5.21</v>
      </c>
      <c r="R70" s="139">
        <f t="array" ref="R70">INDEX(F_Inputs!$G$4:$T$381,MATCH(Data!$B70&amp;Data!R$6,F_Inputs!$A$4:$A$381&amp;F_Inputs!$B$4:$B$381,0),MATCH(Data!$C70,F_Inputs!$G$2:$T$2,0))</f>
        <v>1.65</v>
      </c>
      <c r="S70" s="139">
        <f t="array" ref="S70">INDEX(F_Inputs!$G$4:$T$381,MATCH(Data!$B70&amp;Data!S$6,F_Inputs!$A$4:$A$381&amp;F_Inputs!$B$4:$B$381,0),MATCH(Data!$C70,F_Inputs!$G$2:$T$2,0))</f>
        <v>1.65</v>
      </c>
      <c r="U70" s="139">
        <f t="array" ref="U70">INDEX(F_Inputs!$G$4:$T$381,MATCH(Data!$B70&amp;Data!U$6,F_Inputs!$A$4:$A$381&amp;F_Inputs!$B$4:$B$381,0),MATCH(Data!$C70,F_Inputs!$G$2:$T$2,0))</f>
        <v>442.52</v>
      </c>
      <c r="V70" s="139">
        <f t="array" ref="V70">INDEX(F_Inputs!$G$4:$T$381,MATCH(Data!$B70&amp;Data!V$6,F_Inputs!$A$4:$A$381&amp;F_Inputs!$B$4:$B$381,0),MATCH(Data!$C70,F_Inputs!$G$2:$T$2,0))</f>
        <v>47151.4</v>
      </c>
      <c r="W70" s="139">
        <f t="array" ref="W70">INDEX(F_Inputs!$G$4:$T$381,MATCH(Data!$B70&amp;Data!W$6,F_Inputs!$A$4:$A$381&amp;F_Inputs!$B$4:$B$381,0),MATCH(Data!$C70,F_Inputs!$G$2:$T$2,0))</f>
        <v>3588.7159999999999</v>
      </c>
    </row>
    <row r="71" spans="1:23" x14ac:dyDescent="0.2">
      <c r="A71" s="141" t="s">
        <v>167</v>
      </c>
      <c r="B71" s="142" t="s">
        <v>107</v>
      </c>
      <c r="C71" s="142" t="s">
        <v>71</v>
      </c>
      <c r="D71" s="139">
        <f t="array" ref="D71">INDEX(F_Inputs!$G$4:$T$381,MATCH(Data!$B71&amp;Data!D$6,F_Inputs!$A$4:$A$381&amp;F_Inputs!$B$4:$B$381,0),MATCH(Data!$C71,F_Inputs!$G$2:$T$2,0))</f>
        <v>0</v>
      </c>
      <c r="E71" s="139">
        <f t="array" ref="E71">INDEX(F_Inputs!$G$4:$T$381,MATCH(Data!$B71&amp;Data!E$6,F_Inputs!$A$4:$A$381&amp;F_Inputs!$B$4:$B$381,0),MATCH(Data!$C71,F_Inputs!$G$2:$T$2,0))</f>
        <v>0</v>
      </c>
      <c r="F71" s="139">
        <f t="array" ref="F71">INDEX(F_Inputs!$G$4:$T$381,MATCH(Data!$B71&amp;Data!F$6,F_Inputs!$A$4:$A$381&amp;F_Inputs!$B$4:$B$381,0),MATCH(Data!$C71,F_Inputs!$G$2:$T$2,0))</f>
        <v>0</v>
      </c>
      <c r="G71" s="139">
        <f t="array" ref="G71">INDEX(F_Inputs!$G$4:$T$381,MATCH(Data!$B71&amp;Data!G$6,F_Inputs!$A$4:$A$381&amp;F_Inputs!$B$4:$B$381,0),MATCH(Data!$C71,F_Inputs!$G$2:$T$2,0))</f>
        <v>0</v>
      </c>
      <c r="I71" s="139">
        <f t="array" ref="I71">INDEX(F_Inputs!$G$4:$T$381,MATCH(Data!$B71&amp;Data!I$6,F_Inputs!$A$4:$A$381&amp;F_Inputs!$B$4:$B$381,0),MATCH(Data!$C71,F_Inputs!$G$2:$T$2,0))</f>
        <v>0</v>
      </c>
      <c r="J71" s="139">
        <f t="array" ref="J71">INDEX(F_Inputs!$G$4:$T$381,MATCH(Data!$B71&amp;Data!J$6,F_Inputs!$A$4:$A$381&amp;F_Inputs!$B$4:$B$381,0),MATCH(Data!$C71,F_Inputs!$G$2:$T$2,0))</f>
        <v>0</v>
      </c>
      <c r="K71" s="139">
        <f t="array" ref="K71">INDEX(F_Inputs!$G$4:$T$381,MATCH(Data!$B71&amp;Data!K$6,F_Inputs!$A$4:$A$381&amp;F_Inputs!$B$4:$B$381,0),MATCH(Data!$C71,F_Inputs!$G$2:$T$2,0))</f>
        <v>0</v>
      </c>
      <c r="L71" s="139">
        <f t="array" ref="L71">INDEX(F_Inputs!$G$4:$T$381,MATCH(Data!$B71&amp;Data!L$6,F_Inputs!$A$4:$A$381&amp;F_Inputs!$B$4:$B$381,0),MATCH(Data!$C71,F_Inputs!$G$2:$T$2,0))</f>
        <v>0</v>
      </c>
      <c r="N71" s="139">
        <f t="array" ref="N71">INDEX(F_Inputs!$G$4:$T$381,MATCH(Data!$B71&amp;Data!N$6,F_Inputs!$A$4:$A$381&amp;F_Inputs!$B$4:$B$381,0),MATCH(Data!$C71,F_Inputs!$G$2:$T$2,0))</f>
        <v>0</v>
      </c>
      <c r="P71" s="139">
        <f t="array" ref="P71">INDEX(F_Inputs!$G$4:$T$381,MATCH(Data!$B71&amp;Data!P$6,F_Inputs!$A$4:$A$381&amp;F_Inputs!$B$4:$B$381,0),MATCH(Data!$C71,F_Inputs!$G$2:$T$2,0))</f>
        <v>0</v>
      </c>
      <c r="Q71" s="139">
        <f t="array" ref="Q71">INDEX(F_Inputs!$G$4:$T$381,MATCH(Data!$B71&amp;Data!Q$6,F_Inputs!$A$4:$A$381&amp;F_Inputs!$B$4:$B$381,0),MATCH(Data!$C71,F_Inputs!$G$2:$T$2,0))</f>
        <v>0</v>
      </c>
      <c r="R71" s="139">
        <f t="array" ref="R71">INDEX(F_Inputs!$G$4:$T$381,MATCH(Data!$B71&amp;Data!R$6,F_Inputs!$A$4:$A$381&amp;F_Inputs!$B$4:$B$381,0),MATCH(Data!$C71,F_Inputs!$G$2:$T$2,0))</f>
        <v>0</v>
      </c>
      <c r="S71" s="139">
        <f t="array" ref="S71">INDEX(F_Inputs!$G$4:$T$381,MATCH(Data!$B71&amp;Data!S$6,F_Inputs!$A$4:$A$381&amp;F_Inputs!$B$4:$B$381,0),MATCH(Data!$C71,F_Inputs!$G$2:$T$2,0))</f>
        <v>0</v>
      </c>
      <c r="U71" s="139">
        <f t="array" ref="U71">INDEX(F_Inputs!$G$4:$T$381,MATCH(Data!$B71&amp;Data!U$6,F_Inputs!$A$4:$A$381&amp;F_Inputs!$B$4:$B$381,0),MATCH(Data!$C71,F_Inputs!$G$2:$T$2,0))</f>
        <v>0</v>
      </c>
      <c r="V71" s="139">
        <f t="array" ref="V71">INDEX(F_Inputs!$G$4:$T$381,MATCH(Data!$B71&amp;Data!V$6,F_Inputs!$A$4:$A$381&amp;F_Inputs!$B$4:$B$381,0),MATCH(Data!$C71,F_Inputs!$G$2:$T$2,0))</f>
        <v>0</v>
      </c>
      <c r="W71" s="139">
        <f t="array" ref="W71">INDEX(F_Inputs!$G$4:$T$381,MATCH(Data!$B71&amp;Data!W$6,F_Inputs!$A$4:$A$381&amp;F_Inputs!$B$4:$B$381,0),MATCH(Data!$C71,F_Inputs!$G$2:$T$2,0))</f>
        <v>0</v>
      </c>
    </row>
    <row r="72" spans="1:23" x14ac:dyDescent="0.2">
      <c r="A72" s="141" t="s">
        <v>168</v>
      </c>
      <c r="B72" s="142" t="s">
        <v>107</v>
      </c>
      <c r="C72" s="142" t="s">
        <v>72</v>
      </c>
      <c r="D72" s="139">
        <f t="array" ref="D72">INDEX(F_Inputs!$G$4:$T$381,MATCH(Data!$B72&amp;Data!D$6,F_Inputs!$A$4:$A$381&amp;F_Inputs!$B$4:$B$381,0),MATCH(Data!$C72,F_Inputs!$G$2:$T$2,0))</f>
        <v>0</v>
      </c>
      <c r="E72" s="139">
        <f t="array" ref="E72">INDEX(F_Inputs!$G$4:$T$381,MATCH(Data!$B72&amp;Data!E$6,F_Inputs!$A$4:$A$381&amp;F_Inputs!$B$4:$B$381,0),MATCH(Data!$C72,F_Inputs!$G$2:$T$2,0))</f>
        <v>0</v>
      </c>
      <c r="F72" s="139">
        <f t="array" ref="F72">INDEX(F_Inputs!$G$4:$T$381,MATCH(Data!$B72&amp;Data!F$6,F_Inputs!$A$4:$A$381&amp;F_Inputs!$B$4:$B$381,0),MATCH(Data!$C72,F_Inputs!$G$2:$T$2,0))</f>
        <v>0</v>
      </c>
      <c r="G72" s="139">
        <f t="array" ref="G72">INDEX(F_Inputs!$G$4:$T$381,MATCH(Data!$B72&amp;Data!G$6,F_Inputs!$A$4:$A$381&amp;F_Inputs!$B$4:$B$381,0),MATCH(Data!$C72,F_Inputs!$G$2:$T$2,0))</f>
        <v>0</v>
      </c>
      <c r="I72" s="139">
        <f t="array" ref="I72">INDEX(F_Inputs!$G$4:$T$381,MATCH(Data!$B72&amp;Data!I$6,F_Inputs!$A$4:$A$381&amp;F_Inputs!$B$4:$B$381,0),MATCH(Data!$C72,F_Inputs!$G$2:$T$2,0))</f>
        <v>0</v>
      </c>
      <c r="J72" s="139">
        <f t="array" ref="J72">INDEX(F_Inputs!$G$4:$T$381,MATCH(Data!$B72&amp;Data!J$6,F_Inputs!$A$4:$A$381&amp;F_Inputs!$B$4:$B$381,0),MATCH(Data!$C72,F_Inputs!$G$2:$T$2,0))</f>
        <v>0</v>
      </c>
      <c r="K72" s="139">
        <f t="array" ref="K72">INDEX(F_Inputs!$G$4:$T$381,MATCH(Data!$B72&amp;Data!K$6,F_Inputs!$A$4:$A$381&amp;F_Inputs!$B$4:$B$381,0),MATCH(Data!$C72,F_Inputs!$G$2:$T$2,0))</f>
        <v>0</v>
      </c>
      <c r="L72" s="139">
        <f t="array" ref="L72">INDEX(F_Inputs!$G$4:$T$381,MATCH(Data!$B72&amp;Data!L$6,F_Inputs!$A$4:$A$381&amp;F_Inputs!$B$4:$B$381,0),MATCH(Data!$C72,F_Inputs!$G$2:$T$2,0))</f>
        <v>0</v>
      </c>
      <c r="N72" s="139">
        <f t="array" ref="N72">INDEX(F_Inputs!$G$4:$T$381,MATCH(Data!$B72&amp;Data!N$6,F_Inputs!$A$4:$A$381&amp;F_Inputs!$B$4:$B$381,0),MATCH(Data!$C72,F_Inputs!$G$2:$T$2,0))</f>
        <v>0</v>
      </c>
      <c r="P72" s="139">
        <f t="array" ref="P72">INDEX(F_Inputs!$G$4:$T$381,MATCH(Data!$B72&amp;Data!P$6,F_Inputs!$A$4:$A$381&amp;F_Inputs!$B$4:$B$381,0),MATCH(Data!$C72,F_Inputs!$G$2:$T$2,0))</f>
        <v>0</v>
      </c>
      <c r="Q72" s="139">
        <f t="array" ref="Q72">INDEX(F_Inputs!$G$4:$T$381,MATCH(Data!$B72&amp;Data!Q$6,F_Inputs!$A$4:$A$381&amp;F_Inputs!$B$4:$B$381,0),MATCH(Data!$C72,F_Inputs!$G$2:$T$2,0))</f>
        <v>0</v>
      </c>
      <c r="R72" s="139">
        <f t="array" ref="R72">INDEX(F_Inputs!$G$4:$T$381,MATCH(Data!$B72&amp;Data!R$6,F_Inputs!$A$4:$A$381&amp;F_Inputs!$B$4:$B$381,0),MATCH(Data!$C72,F_Inputs!$G$2:$T$2,0))</f>
        <v>0</v>
      </c>
      <c r="S72" s="139">
        <f t="array" ref="S72">INDEX(F_Inputs!$G$4:$T$381,MATCH(Data!$B72&amp;Data!S$6,F_Inputs!$A$4:$A$381&amp;F_Inputs!$B$4:$B$381,0),MATCH(Data!$C72,F_Inputs!$G$2:$T$2,0))</f>
        <v>0</v>
      </c>
      <c r="U72" s="139">
        <f t="array" ref="U72">INDEX(F_Inputs!$G$4:$T$381,MATCH(Data!$B72&amp;Data!U$6,F_Inputs!$A$4:$A$381&amp;F_Inputs!$B$4:$B$381,0),MATCH(Data!$C72,F_Inputs!$G$2:$T$2,0))</f>
        <v>0</v>
      </c>
      <c r="V72" s="139">
        <f t="array" ref="V72">INDEX(F_Inputs!$G$4:$T$381,MATCH(Data!$B72&amp;Data!V$6,F_Inputs!$A$4:$A$381&amp;F_Inputs!$B$4:$B$381,0),MATCH(Data!$C72,F_Inputs!$G$2:$T$2,0))</f>
        <v>0</v>
      </c>
      <c r="W72" s="139">
        <f t="array" ref="W72">INDEX(F_Inputs!$G$4:$T$381,MATCH(Data!$B72&amp;Data!W$6,F_Inputs!$A$4:$A$381&amp;F_Inputs!$B$4:$B$381,0),MATCH(Data!$C72,F_Inputs!$G$2:$T$2,0))</f>
        <v>0</v>
      </c>
    </row>
    <row r="73" spans="1:23" x14ac:dyDescent="0.2">
      <c r="A73" s="141" t="s">
        <v>169</v>
      </c>
      <c r="B73" s="142" t="s">
        <v>107</v>
      </c>
      <c r="C73" s="142" t="s">
        <v>73</v>
      </c>
      <c r="D73" s="139">
        <f t="array" ref="D73">INDEX(F_Inputs!$G$4:$T$381,MATCH(Data!$B73&amp;Data!D$6,F_Inputs!$A$4:$A$381&amp;F_Inputs!$B$4:$B$381,0),MATCH(Data!$C73,F_Inputs!$G$2:$T$2,0))</f>
        <v>0</v>
      </c>
      <c r="E73" s="139">
        <f t="array" ref="E73">INDEX(F_Inputs!$G$4:$T$381,MATCH(Data!$B73&amp;Data!E$6,F_Inputs!$A$4:$A$381&amp;F_Inputs!$B$4:$B$381,0),MATCH(Data!$C73,F_Inputs!$G$2:$T$2,0))</f>
        <v>0</v>
      </c>
      <c r="F73" s="139">
        <f t="array" ref="F73">INDEX(F_Inputs!$G$4:$T$381,MATCH(Data!$B73&amp;Data!F$6,F_Inputs!$A$4:$A$381&amp;F_Inputs!$B$4:$B$381,0),MATCH(Data!$C73,F_Inputs!$G$2:$T$2,0))</f>
        <v>0</v>
      </c>
      <c r="G73" s="139">
        <f t="array" ref="G73">INDEX(F_Inputs!$G$4:$T$381,MATCH(Data!$B73&amp;Data!G$6,F_Inputs!$A$4:$A$381&amp;F_Inputs!$B$4:$B$381,0),MATCH(Data!$C73,F_Inputs!$G$2:$T$2,0))</f>
        <v>0</v>
      </c>
      <c r="I73" s="139">
        <f t="array" ref="I73">INDEX(F_Inputs!$G$4:$T$381,MATCH(Data!$B73&amp;Data!I$6,F_Inputs!$A$4:$A$381&amp;F_Inputs!$B$4:$B$381,0),MATCH(Data!$C73,F_Inputs!$G$2:$T$2,0))</f>
        <v>0</v>
      </c>
      <c r="J73" s="139">
        <f t="array" ref="J73">INDEX(F_Inputs!$G$4:$T$381,MATCH(Data!$B73&amp;Data!J$6,F_Inputs!$A$4:$A$381&amp;F_Inputs!$B$4:$B$381,0),MATCH(Data!$C73,F_Inputs!$G$2:$T$2,0))</f>
        <v>0</v>
      </c>
      <c r="K73" s="139">
        <f t="array" ref="K73">INDEX(F_Inputs!$G$4:$T$381,MATCH(Data!$B73&amp;Data!K$6,F_Inputs!$A$4:$A$381&amp;F_Inputs!$B$4:$B$381,0),MATCH(Data!$C73,F_Inputs!$G$2:$T$2,0))</f>
        <v>0</v>
      </c>
      <c r="L73" s="139">
        <f t="array" ref="L73">INDEX(F_Inputs!$G$4:$T$381,MATCH(Data!$B73&amp;Data!L$6,F_Inputs!$A$4:$A$381&amp;F_Inputs!$B$4:$B$381,0),MATCH(Data!$C73,F_Inputs!$G$2:$T$2,0))</f>
        <v>0</v>
      </c>
      <c r="N73" s="139">
        <f t="array" ref="N73">INDEX(F_Inputs!$G$4:$T$381,MATCH(Data!$B73&amp;Data!N$6,F_Inputs!$A$4:$A$381&amp;F_Inputs!$B$4:$B$381,0),MATCH(Data!$C73,F_Inputs!$G$2:$T$2,0))</f>
        <v>0</v>
      </c>
      <c r="P73" s="139">
        <f t="array" ref="P73">INDEX(F_Inputs!$G$4:$T$381,MATCH(Data!$B73&amp;Data!P$6,F_Inputs!$A$4:$A$381&amp;F_Inputs!$B$4:$B$381,0),MATCH(Data!$C73,F_Inputs!$G$2:$T$2,0))</f>
        <v>0</v>
      </c>
      <c r="Q73" s="139">
        <f t="array" ref="Q73">INDEX(F_Inputs!$G$4:$T$381,MATCH(Data!$B73&amp;Data!Q$6,F_Inputs!$A$4:$A$381&amp;F_Inputs!$B$4:$B$381,0),MATCH(Data!$C73,F_Inputs!$G$2:$T$2,0))</f>
        <v>0</v>
      </c>
      <c r="R73" s="139">
        <f t="array" ref="R73">INDEX(F_Inputs!$G$4:$T$381,MATCH(Data!$B73&amp;Data!R$6,F_Inputs!$A$4:$A$381&amp;F_Inputs!$B$4:$B$381,0),MATCH(Data!$C73,F_Inputs!$G$2:$T$2,0))</f>
        <v>0</v>
      </c>
      <c r="S73" s="139">
        <f t="array" ref="S73">INDEX(F_Inputs!$G$4:$T$381,MATCH(Data!$B73&amp;Data!S$6,F_Inputs!$A$4:$A$381&amp;F_Inputs!$B$4:$B$381,0),MATCH(Data!$C73,F_Inputs!$G$2:$T$2,0))</f>
        <v>0</v>
      </c>
      <c r="U73" s="139">
        <f t="array" ref="U73">INDEX(F_Inputs!$G$4:$T$381,MATCH(Data!$B73&amp;Data!U$6,F_Inputs!$A$4:$A$381&amp;F_Inputs!$B$4:$B$381,0),MATCH(Data!$C73,F_Inputs!$G$2:$T$2,0))</f>
        <v>0</v>
      </c>
      <c r="V73" s="139">
        <f t="array" ref="V73">INDEX(F_Inputs!$G$4:$T$381,MATCH(Data!$B73&amp;Data!V$6,F_Inputs!$A$4:$A$381&amp;F_Inputs!$B$4:$B$381,0),MATCH(Data!$C73,F_Inputs!$G$2:$T$2,0))</f>
        <v>0</v>
      </c>
      <c r="W73" s="139">
        <f t="array" ref="W73">INDEX(F_Inputs!$G$4:$T$381,MATCH(Data!$B73&amp;Data!W$6,F_Inputs!$A$4:$A$381&amp;F_Inputs!$B$4:$B$381,0),MATCH(Data!$C73,F_Inputs!$G$2:$T$2,0))</f>
        <v>0</v>
      </c>
    </row>
    <row r="74" spans="1:23" x14ac:dyDescent="0.2">
      <c r="A74" s="141" t="s">
        <v>170</v>
      </c>
      <c r="B74" s="142" t="s">
        <v>107</v>
      </c>
      <c r="C74" s="142" t="s">
        <v>74</v>
      </c>
      <c r="D74" s="139">
        <f t="array" ref="D74">INDEX(F_Inputs!$G$4:$T$381,MATCH(Data!$B74&amp;Data!D$6,F_Inputs!$A$4:$A$381&amp;F_Inputs!$B$4:$B$381,0),MATCH(Data!$C74,F_Inputs!$G$2:$T$2,0))</f>
        <v>0</v>
      </c>
      <c r="E74" s="139">
        <f t="array" ref="E74">INDEX(F_Inputs!$G$4:$T$381,MATCH(Data!$B74&amp;Data!E$6,F_Inputs!$A$4:$A$381&amp;F_Inputs!$B$4:$B$381,0),MATCH(Data!$C74,F_Inputs!$G$2:$T$2,0))</f>
        <v>0</v>
      </c>
      <c r="F74" s="139">
        <f t="array" ref="F74">INDEX(F_Inputs!$G$4:$T$381,MATCH(Data!$B74&amp;Data!F$6,F_Inputs!$A$4:$A$381&amp;F_Inputs!$B$4:$B$381,0),MATCH(Data!$C74,F_Inputs!$G$2:$T$2,0))</f>
        <v>0</v>
      </c>
      <c r="G74" s="139">
        <f t="array" ref="G74">INDEX(F_Inputs!$G$4:$T$381,MATCH(Data!$B74&amp;Data!G$6,F_Inputs!$A$4:$A$381&amp;F_Inputs!$B$4:$B$381,0),MATCH(Data!$C74,F_Inputs!$G$2:$T$2,0))</f>
        <v>0</v>
      </c>
      <c r="I74" s="139">
        <f t="array" ref="I74">INDEX(F_Inputs!$G$4:$T$381,MATCH(Data!$B74&amp;Data!I$6,F_Inputs!$A$4:$A$381&amp;F_Inputs!$B$4:$B$381,0),MATCH(Data!$C74,F_Inputs!$G$2:$T$2,0))</f>
        <v>0</v>
      </c>
      <c r="J74" s="139">
        <f t="array" ref="J74">INDEX(F_Inputs!$G$4:$T$381,MATCH(Data!$B74&amp;Data!J$6,F_Inputs!$A$4:$A$381&amp;F_Inputs!$B$4:$B$381,0),MATCH(Data!$C74,F_Inputs!$G$2:$T$2,0))</f>
        <v>0</v>
      </c>
      <c r="K74" s="139">
        <f t="array" ref="K74">INDEX(F_Inputs!$G$4:$T$381,MATCH(Data!$B74&amp;Data!K$6,F_Inputs!$A$4:$A$381&amp;F_Inputs!$B$4:$B$381,0),MATCH(Data!$C74,F_Inputs!$G$2:$T$2,0))</f>
        <v>0</v>
      </c>
      <c r="L74" s="139">
        <f t="array" ref="L74">INDEX(F_Inputs!$G$4:$T$381,MATCH(Data!$B74&amp;Data!L$6,F_Inputs!$A$4:$A$381&amp;F_Inputs!$B$4:$B$381,0),MATCH(Data!$C74,F_Inputs!$G$2:$T$2,0))</f>
        <v>0</v>
      </c>
      <c r="N74" s="139">
        <f t="array" ref="N74">INDEX(F_Inputs!$G$4:$T$381,MATCH(Data!$B74&amp;Data!N$6,F_Inputs!$A$4:$A$381&amp;F_Inputs!$B$4:$B$381,0),MATCH(Data!$C74,F_Inputs!$G$2:$T$2,0))</f>
        <v>0</v>
      </c>
      <c r="P74" s="139">
        <f t="array" ref="P74">INDEX(F_Inputs!$G$4:$T$381,MATCH(Data!$B74&amp;Data!P$6,F_Inputs!$A$4:$A$381&amp;F_Inputs!$B$4:$B$381,0),MATCH(Data!$C74,F_Inputs!$G$2:$T$2,0))</f>
        <v>0</v>
      </c>
      <c r="Q74" s="139">
        <f t="array" ref="Q74">INDEX(F_Inputs!$G$4:$T$381,MATCH(Data!$B74&amp;Data!Q$6,F_Inputs!$A$4:$A$381&amp;F_Inputs!$B$4:$B$381,0),MATCH(Data!$C74,F_Inputs!$G$2:$T$2,0))</f>
        <v>0</v>
      </c>
      <c r="R74" s="139">
        <f t="array" ref="R74">INDEX(F_Inputs!$G$4:$T$381,MATCH(Data!$B74&amp;Data!R$6,F_Inputs!$A$4:$A$381&amp;F_Inputs!$B$4:$B$381,0),MATCH(Data!$C74,F_Inputs!$G$2:$T$2,0))</f>
        <v>0</v>
      </c>
      <c r="S74" s="139">
        <f t="array" ref="S74">INDEX(F_Inputs!$G$4:$T$381,MATCH(Data!$B74&amp;Data!S$6,F_Inputs!$A$4:$A$381&amp;F_Inputs!$B$4:$B$381,0),MATCH(Data!$C74,F_Inputs!$G$2:$T$2,0))</f>
        <v>0</v>
      </c>
      <c r="U74" s="139">
        <f t="array" ref="U74">INDEX(F_Inputs!$G$4:$T$381,MATCH(Data!$B74&amp;Data!U$6,F_Inputs!$A$4:$A$381&amp;F_Inputs!$B$4:$B$381,0),MATCH(Data!$C74,F_Inputs!$G$2:$T$2,0))</f>
        <v>0</v>
      </c>
      <c r="V74" s="139">
        <f t="array" ref="V74">INDEX(F_Inputs!$G$4:$T$381,MATCH(Data!$B74&amp;Data!V$6,F_Inputs!$A$4:$A$381&amp;F_Inputs!$B$4:$B$381,0),MATCH(Data!$C74,F_Inputs!$G$2:$T$2,0))</f>
        <v>0</v>
      </c>
      <c r="W74" s="139">
        <f t="array" ref="W74">INDEX(F_Inputs!$G$4:$T$381,MATCH(Data!$B74&amp;Data!W$6,F_Inputs!$A$4:$A$381&amp;F_Inputs!$B$4:$B$381,0),MATCH(Data!$C74,F_Inputs!$G$2:$T$2,0))</f>
        <v>0</v>
      </c>
    </row>
    <row r="75" spans="1:23" x14ac:dyDescent="0.2">
      <c r="A75" s="141" t="s">
        <v>171</v>
      </c>
      <c r="B75" s="142" t="s">
        <v>107</v>
      </c>
      <c r="C75" s="142" t="s">
        <v>75</v>
      </c>
      <c r="D75" s="139">
        <f t="array" ref="D75">INDEX(F_Inputs!$G$4:$T$381,MATCH(Data!$B75&amp;Data!D$6,F_Inputs!$A$4:$A$381&amp;F_Inputs!$B$4:$B$381,0),MATCH(Data!$C75,F_Inputs!$G$2:$T$2,0))</f>
        <v>0</v>
      </c>
      <c r="E75" s="139">
        <f t="array" ref="E75">INDEX(F_Inputs!$G$4:$T$381,MATCH(Data!$B75&amp;Data!E$6,F_Inputs!$A$4:$A$381&amp;F_Inputs!$B$4:$B$381,0),MATCH(Data!$C75,F_Inputs!$G$2:$T$2,0))</f>
        <v>0</v>
      </c>
      <c r="F75" s="139">
        <f t="array" ref="F75">INDEX(F_Inputs!$G$4:$T$381,MATCH(Data!$B75&amp;Data!F$6,F_Inputs!$A$4:$A$381&amp;F_Inputs!$B$4:$B$381,0),MATCH(Data!$C75,F_Inputs!$G$2:$T$2,0))</f>
        <v>0</v>
      </c>
      <c r="G75" s="139">
        <f t="array" ref="G75">INDEX(F_Inputs!$G$4:$T$381,MATCH(Data!$B75&amp;Data!G$6,F_Inputs!$A$4:$A$381&amp;F_Inputs!$B$4:$B$381,0),MATCH(Data!$C75,F_Inputs!$G$2:$T$2,0))</f>
        <v>0</v>
      </c>
      <c r="I75" s="139">
        <f t="array" ref="I75">INDEX(F_Inputs!$G$4:$T$381,MATCH(Data!$B75&amp;Data!I$6,F_Inputs!$A$4:$A$381&amp;F_Inputs!$B$4:$B$381,0),MATCH(Data!$C75,F_Inputs!$G$2:$T$2,0))</f>
        <v>0</v>
      </c>
      <c r="J75" s="139">
        <f t="array" ref="J75">INDEX(F_Inputs!$G$4:$T$381,MATCH(Data!$B75&amp;Data!J$6,F_Inputs!$A$4:$A$381&amp;F_Inputs!$B$4:$B$381,0),MATCH(Data!$C75,F_Inputs!$G$2:$T$2,0))</f>
        <v>0</v>
      </c>
      <c r="K75" s="139">
        <f t="array" ref="K75">INDEX(F_Inputs!$G$4:$T$381,MATCH(Data!$B75&amp;Data!K$6,F_Inputs!$A$4:$A$381&amp;F_Inputs!$B$4:$B$381,0),MATCH(Data!$C75,F_Inputs!$G$2:$T$2,0))</f>
        <v>0</v>
      </c>
      <c r="L75" s="139">
        <f t="array" ref="L75">INDEX(F_Inputs!$G$4:$T$381,MATCH(Data!$B75&amp;Data!L$6,F_Inputs!$A$4:$A$381&amp;F_Inputs!$B$4:$B$381,0),MATCH(Data!$C75,F_Inputs!$G$2:$T$2,0))</f>
        <v>0</v>
      </c>
      <c r="N75" s="139">
        <f t="array" ref="N75">INDEX(F_Inputs!$G$4:$T$381,MATCH(Data!$B75&amp;Data!N$6,F_Inputs!$A$4:$A$381&amp;F_Inputs!$B$4:$B$381,0),MATCH(Data!$C75,F_Inputs!$G$2:$T$2,0))</f>
        <v>0</v>
      </c>
      <c r="P75" s="139">
        <f t="array" ref="P75">INDEX(F_Inputs!$G$4:$T$381,MATCH(Data!$B75&amp;Data!P$6,F_Inputs!$A$4:$A$381&amp;F_Inputs!$B$4:$B$381,0),MATCH(Data!$C75,F_Inputs!$G$2:$T$2,0))</f>
        <v>0</v>
      </c>
      <c r="Q75" s="139">
        <f t="array" ref="Q75">INDEX(F_Inputs!$G$4:$T$381,MATCH(Data!$B75&amp;Data!Q$6,F_Inputs!$A$4:$A$381&amp;F_Inputs!$B$4:$B$381,0),MATCH(Data!$C75,F_Inputs!$G$2:$T$2,0))</f>
        <v>0</v>
      </c>
      <c r="R75" s="139">
        <f t="array" ref="R75">INDEX(F_Inputs!$G$4:$T$381,MATCH(Data!$B75&amp;Data!R$6,F_Inputs!$A$4:$A$381&amp;F_Inputs!$B$4:$B$381,0),MATCH(Data!$C75,F_Inputs!$G$2:$T$2,0))</f>
        <v>0</v>
      </c>
      <c r="S75" s="139">
        <f t="array" ref="S75">INDEX(F_Inputs!$G$4:$T$381,MATCH(Data!$B75&amp;Data!S$6,F_Inputs!$A$4:$A$381&amp;F_Inputs!$B$4:$B$381,0),MATCH(Data!$C75,F_Inputs!$G$2:$T$2,0))</f>
        <v>0</v>
      </c>
      <c r="U75" s="139">
        <f t="array" ref="U75">INDEX(F_Inputs!$G$4:$T$381,MATCH(Data!$B75&amp;Data!U$6,F_Inputs!$A$4:$A$381&amp;F_Inputs!$B$4:$B$381,0),MATCH(Data!$C75,F_Inputs!$G$2:$T$2,0))</f>
        <v>0</v>
      </c>
      <c r="V75" s="139">
        <f t="array" ref="V75">INDEX(F_Inputs!$G$4:$T$381,MATCH(Data!$B75&amp;Data!V$6,F_Inputs!$A$4:$A$381&amp;F_Inputs!$B$4:$B$381,0),MATCH(Data!$C75,F_Inputs!$G$2:$T$2,0))</f>
        <v>0</v>
      </c>
      <c r="W75" s="139">
        <f t="array" ref="W75">INDEX(F_Inputs!$G$4:$T$381,MATCH(Data!$B75&amp;Data!W$6,F_Inputs!$A$4:$A$381&amp;F_Inputs!$B$4:$B$381,0),MATCH(Data!$C75,F_Inputs!$G$2:$T$2,0))</f>
        <v>0</v>
      </c>
    </row>
    <row r="76" spans="1:23" x14ac:dyDescent="0.2">
      <c r="A76" s="141" t="s">
        <v>172</v>
      </c>
      <c r="B76" s="142" t="s">
        <v>107</v>
      </c>
      <c r="C76" s="142" t="s">
        <v>76</v>
      </c>
      <c r="D76" s="139">
        <f t="array" ref="D76">INDEX(F_Inputs!$G$4:$T$381,MATCH(Data!$B76&amp;Data!D$6,F_Inputs!$A$4:$A$381&amp;F_Inputs!$B$4:$B$381,0),MATCH(Data!$C76,F_Inputs!$G$2:$T$2,0))</f>
        <v>0</v>
      </c>
      <c r="E76" s="139">
        <f t="array" ref="E76">INDEX(F_Inputs!$G$4:$T$381,MATCH(Data!$B76&amp;Data!E$6,F_Inputs!$A$4:$A$381&amp;F_Inputs!$B$4:$B$381,0),MATCH(Data!$C76,F_Inputs!$G$2:$T$2,0))</f>
        <v>0</v>
      </c>
      <c r="F76" s="139">
        <f t="array" ref="F76">INDEX(F_Inputs!$G$4:$T$381,MATCH(Data!$B76&amp;Data!F$6,F_Inputs!$A$4:$A$381&amp;F_Inputs!$B$4:$B$381,0),MATCH(Data!$C76,F_Inputs!$G$2:$T$2,0))</f>
        <v>0</v>
      </c>
      <c r="G76" s="139">
        <f t="array" ref="G76">INDEX(F_Inputs!$G$4:$T$381,MATCH(Data!$B76&amp;Data!G$6,F_Inputs!$A$4:$A$381&amp;F_Inputs!$B$4:$B$381,0),MATCH(Data!$C76,F_Inputs!$G$2:$T$2,0))</f>
        <v>0</v>
      </c>
      <c r="I76" s="139">
        <f t="array" ref="I76">INDEX(F_Inputs!$G$4:$T$381,MATCH(Data!$B76&amp;Data!I$6,F_Inputs!$A$4:$A$381&amp;F_Inputs!$B$4:$B$381,0),MATCH(Data!$C76,F_Inputs!$G$2:$T$2,0))</f>
        <v>0</v>
      </c>
      <c r="J76" s="139">
        <f t="array" ref="J76">INDEX(F_Inputs!$G$4:$T$381,MATCH(Data!$B76&amp;Data!J$6,F_Inputs!$A$4:$A$381&amp;F_Inputs!$B$4:$B$381,0),MATCH(Data!$C76,F_Inputs!$G$2:$T$2,0))</f>
        <v>0</v>
      </c>
      <c r="K76" s="139">
        <f t="array" ref="K76">INDEX(F_Inputs!$G$4:$T$381,MATCH(Data!$B76&amp;Data!K$6,F_Inputs!$A$4:$A$381&amp;F_Inputs!$B$4:$B$381,0),MATCH(Data!$C76,F_Inputs!$G$2:$T$2,0))</f>
        <v>0</v>
      </c>
      <c r="L76" s="139">
        <f t="array" ref="L76">INDEX(F_Inputs!$G$4:$T$381,MATCH(Data!$B76&amp;Data!L$6,F_Inputs!$A$4:$A$381&amp;F_Inputs!$B$4:$B$381,0),MATCH(Data!$C76,F_Inputs!$G$2:$T$2,0))</f>
        <v>0</v>
      </c>
      <c r="N76" s="139">
        <f t="array" ref="N76">INDEX(F_Inputs!$G$4:$T$381,MATCH(Data!$B76&amp;Data!N$6,F_Inputs!$A$4:$A$381&amp;F_Inputs!$B$4:$B$381,0),MATCH(Data!$C76,F_Inputs!$G$2:$T$2,0))</f>
        <v>0</v>
      </c>
      <c r="P76" s="139">
        <f t="array" ref="P76">INDEX(F_Inputs!$G$4:$T$381,MATCH(Data!$B76&amp;Data!P$6,F_Inputs!$A$4:$A$381&amp;F_Inputs!$B$4:$B$381,0),MATCH(Data!$C76,F_Inputs!$G$2:$T$2,0))</f>
        <v>0</v>
      </c>
      <c r="Q76" s="139">
        <f t="array" ref="Q76">INDEX(F_Inputs!$G$4:$T$381,MATCH(Data!$B76&amp;Data!Q$6,F_Inputs!$A$4:$A$381&amp;F_Inputs!$B$4:$B$381,0),MATCH(Data!$C76,F_Inputs!$G$2:$T$2,0))</f>
        <v>0</v>
      </c>
      <c r="R76" s="139">
        <f t="array" ref="R76">INDEX(F_Inputs!$G$4:$T$381,MATCH(Data!$B76&amp;Data!R$6,F_Inputs!$A$4:$A$381&amp;F_Inputs!$B$4:$B$381,0),MATCH(Data!$C76,F_Inputs!$G$2:$T$2,0))</f>
        <v>0</v>
      </c>
      <c r="S76" s="139">
        <f t="array" ref="S76">INDEX(F_Inputs!$G$4:$T$381,MATCH(Data!$B76&amp;Data!S$6,F_Inputs!$A$4:$A$381&amp;F_Inputs!$B$4:$B$381,0),MATCH(Data!$C76,F_Inputs!$G$2:$T$2,0))</f>
        <v>0</v>
      </c>
      <c r="U76" s="139">
        <f t="array" ref="U76">INDEX(F_Inputs!$G$4:$T$381,MATCH(Data!$B76&amp;Data!U$6,F_Inputs!$A$4:$A$381&amp;F_Inputs!$B$4:$B$381,0),MATCH(Data!$C76,F_Inputs!$G$2:$T$2,0))</f>
        <v>0</v>
      </c>
      <c r="V76" s="139">
        <f t="array" ref="V76">INDEX(F_Inputs!$G$4:$T$381,MATCH(Data!$B76&amp;Data!V$6,F_Inputs!$A$4:$A$381&amp;F_Inputs!$B$4:$B$381,0),MATCH(Data!$C76,F_Inputs!$G$2:$T$2,0))</f>
        <v>0</v>
      </c>
      <c r="W76" s="139">
        <f t="array" ref="W76">INDEX(F_Inputs!$G$4:$T$381,MATCH(Data!$B76&amp;Data!W$6,F_Inputs!$A$4:$A$381&amp;F_Inputs!$B$4:$B$381,0),MATCH(Data!$C76,F_Inputs!$G$2:$T$2,0))</f>
        <v>0</v>
      </c>
    </row>
    <row r="77" spans="1:23" x14ac:dyDescent="0.2">
      <c r="A77" s="141" t="s">
        <v>173</v>
      </c>
      <c r="B77" s="142" t="s">
        <v>107</v>
      </c>
      <c r="C77" s="142" t="s">
        <v>24</v>
      </c>
      <c r="D77" s="139">
        <f t="array" ref="D77">INDEX(F_Inputs!$G$4:$T$381,MATCH(Data!$B77&amp;Data!D$6,F_Inputs!$A$4:$A$381&amp;F_Inputs!$B$4:$B$381,0),MATCH(Data!$C77,F_Inputs!$G$2:$T$2,0))</f>
        <v>0</v>
      </c>
      <c r="E77" s="139">
        <f t="array" ref="E77">INDEX(F_Inputs!$G$4:$T$381,MATCH(Data!$B77&amp;Data!E$6,F_Inputs!$A$4:$A$381&amp;F_Inputs!$B$4:$B$381,0),MATCH(Data!$C77,F_Inputs!$G$2:$T$2,0))</f>
        <v>0</v>
      </c>
      <c r="F77" s="139">
        <f t="array" ref="F77">INDEX(F_Inputs!$G$4:$T$381,MATCH(Data!$B77&amp;Data!F$6,F_Inputs!$A$4:$A$381&amp;F_Inputs!$B$4:$B$381,0),MATCH(Data!$C77,F_Inputs!$G$2:$T$2,0))</f>
        <v>0</v>
      </c>
      <c r="G77" s="139">
        <f t="array" ref="G77">INDEX(F_Inputs!$G$4:$T$381,MATCH(Data!$B77&amp;Data!G$6,F_Inputs!$A$4:$A$381&amp;F_Inputs!$B$4:$B$381,0),MATCH(Data!$C77,F_Inputs!$G$2:$T$2,0))</f>
        <v>0</v>
      </c>
      <c r="I77" s="139">
        <f t="array" ref="I77">INDEX(F_Inputs!$G$4:$T$381,MATCH(Data!$B77&amp;Data!I$6,F_Inputs!$A$4:$A$381&amp;F_Inputs!$B$4:$B$381,0),MATCH(Data!$C77,F_Inputs!$G$2:$T$2,0))</f>
        <v>0</v>
      </c>
      <c r="J77" s="139">
        <f t="array" ref="J77">INDEX(F_Inputs!$G$4:$T$381,MATCH(Data!$B77&amp;Data!J$6,F_Inputs!$A$4:$A$381&amp;F_Inputs!$B$4:$B$381,0),MATCH(Data!$C77,F_Inputs!$G$2:$T$2,0))</f>
        <v>0</v>
      </c>
      <c r="K77" s="139">
        <f t="array" ref="K77">INDEX(F_Inputs!$G$4:$T$381,MATCH(Data!$B77&amp;Data!K$6,F_Inputs!$A$4:$A$381&amp;F_Inputs!$B$4:$B$381,0),MATCH(Data!$C77,F_Inputs!$G$2:$T$2,0))</f>
        <v>0</v>
      </c>
      <c r="L77" s="139">
        <f t="array" ref="L77">INDEX(F_Inputs!$G$4:$T$381,MATCH(Data!$B77&amp;Data!L$6,F_Inputs!$A$4:$A$381&amp;F_Inputs!$B$4:$B$381,0),MATCH(Data!$C77,F_Inputs!$G$2:$T$2,0))</f>
        <v>0</v>
      </c>
      <c r="N77" s="139">
        <f t="array" ref="N77">INDEX(F_Inputs!$G$4:$T$381,MATCH(Data!$B77&amp;Data!N$6,F_Inputs!$A$4:$A$381&amp;F_Inputs!$B$4:$B$381,0),MATCH(Data!$C77,F_Inputs!$G$2:$T$2,0))</f>
        <v>0</v>
      </c>
      <c r="P77" s="139">
        <f t="array" ref="P77">INDEX(F_Inputs!$G$4:$T$381,MATCH(Data!$B77&amp;Data!P$6,F_Inputs!$A$4:$A$381&amp;F_Inputs!$B$4:$B$381,0),MATCH(Data!$C77,F_Inputs!$G$2:$T$2,0))</f>
        <v>0</v>
      </c>
      <c r="Q77" s="139">
        <f t="array" ref="Q77">INDEX(F_Inputs!$G$4:$T$381,MATCH(Data!$B77&amp;Data!Q$6,F_Inputs!$A$4:$A$381&amp;F_Inputs!$B$4:$B$381,0),MATCH(Data!$C77,F_Inputs!$G$2:$T$2,0))</f>
        <v>0</v>
      </c>
      <c r="R77" s="139">
        <f t="array" ref="R77">INDEX(F_Inputs!$G$4:$T$381,MATCH(Data!$B77&amp;Data!R$6,F_Inputs!$A$4:$A$381&amp;F_Inputs!$B$4:$B$381,0),MATCH(Data!$C77,F_Inputs!$G$2:$T$2,0))</f>
        <v>0</v>
      </c>
      <c r="S77" s="139">
        <f t="array" ref="S77">INDEX(F_Inputs!$G$4:$T$381,MATCH(Data!$B77&amp;Data!S$6,F_Inputs!$A$4:$A$381&amp;F_Inputs!$B$4:$B$381,0),MATCH(Data!$C77,F_Inputs!$G$2:$T$2,0))</f>
        <v>0</v>
      </c>
      <c r="U77" s="139">
        <f t="array" ref="U77">INDEX(F_Inputs!$G$4:$T$381,MATCH(Data!$B77&amp;Data!U$6,F_Inputs!$A$4:$A$381&amp;F_Inputs!$B$4:$B$381,0),MATCH(Data!$C77,F_Inputs!$G$2:$T$2,0))</f>
        <v>0</v>
      </c>
      <c r="V77" s="139">
        <f t="array" ref="V77">INDEX(F_Inputs!$G$4:$T$381,MATCH(Data!$B77&amp;Data!V$6,F_Inputs!$A$4:$A$381&amp;F_Inputs!$B$4:$B$381,0),MATCH(Data!$C77,F_Inputs!$G$2:$T$2,0))</f>
        <v>0</v>
      </c>
      <c r="W77" s="139">
        <f t="array" ref="W77">INDEX(F_Inputs!$G$4:$T$381,MATCH(Data!$B77&amp;Data!W$6,F_Inputs!$A$4:$A$381&amp;F_Inputs!$B$4:$B$381,0),MATCH(Data!$C77,F_Inputs!$G$2:$T$2,0))</f>
        <v>0</v>
      </c>
    </row>
    <row r="78" spans="1:23" x14ac:dyDescent="0.2">
      <c r="A78" s="138" t="str">
        <f t="shared" si="4"/>
        <v>SWT12</v>
      </c>
      <c r="B78" s="19" t="s">
        <v>109</v>
      </c>
      <c r="C78" s="143" t="s">
        <v>64</v>
      </c>
      <c r="D78" s="139">
        <f t="array" ref="D78">INDEX(F_Inputs!$G$4:$T$381,MATCH(Data!$B78&amp;Data!D$6,F_Inputs!$A$4:$A$381&amp;F_Inputs!$B$4:$B$381,0),MATCH(Data!$C78,F_Inputs!$G$2:$T$2,0))</f>
        <v>0</v>
      </c>
      <c r="E78" s="139">
        <f t="array" ref="E78">INDEX(F_Inputs!$G$4:$T$381,MATCH(Data!$B78&amp;Data!E$6,F_Inputs!$A$4:$A$381&amp;F_Inputs!$B$4:$B$381,0),MATCH(Data!$C78,F_Inputs!$G$2:$T$2,0))</f>
        <v>5.3043032605814201E-2</v>
      </c>
      <c r="F78" s="139">
        <f t="array" ref="F78">INDEX(F_Inputs!$G$4:$T$381,MATCH(Data!$B78&amp;Data!F$6,F_Inputs!$A$4:$A$381&amp;F_Inputs!$B$4:$B$381,0),MATCH(Data!$C78,F_Inputs!$G$2:$T$2,0))</f>
        <v>0</v>
      </c>
      <c r="G78" s="139">
        <f t="array" ref="G78">INDEX(F_Inputs!$G$4:$T$381,MATCH(Data!$B78&amp;Data!G$6,F_Inputs!$A$4:$A$381&amp;F_Inputs!$B$4:$B$381,0),MATCH(Data!$C78,F_Inputs!$G$2:$T$2,0))</f>
        <v>0</v>
      </c>
      <c r="I78" s="139">
        <f t="array" ref="I78">INDEX(F_Inputs!$G$4:$T$381,MATCH(Data!$B78&amp;Data!I$6,F_Inputs!$A$4:$A$381&amp;F_Inputs!$B$4:$B$381,0),MATCH(Data!$C78,F_Inputs!$G$2:$T$2,0))</f>
        <v>0</v>
      </c>
      <c r="J78" s="139">
        <f t="array" ref="J78">INDEX(F_Inputs!$G$4:$T$381,MATCH(Data!$B78&amp;Data!J$6,F_Inputs!$A$4:$A$381&amp;F_Inputs!$B$4:$B$381,0),MATCH(Data!$C78,F_Inputs!$G$2:$T$2,0))</f>
        <v>0</v>
      </c>
      <c r="K78" s="139">
        <f t="array" ref="K78">INDEX(F_Inputs!$G$4:$T$381,MATCH(Data!$B78&amp;Data!K$6,F_Inputs!$A$4:$A$381&amp;F_Inputs!$B$4:$B$381,0),MATCH(Data!$C78,F_Inputs!$G$2:$T$2,0))</f>
        <v>0</v>
      </c>
      <c r="L78" s="139">
        <f t="array" ref="L78">INDEX(F_Inputs!$G$4:$T$381,MATCH(Data!$B78&amp;Data!L$6,F_Inputs!$A$4:$A$381&amp;F_Inputs!$B$4:$B$381,0),MATCH(Data!$C78,F_Inputs!$G$2:$T$2,0))</f>
        <v>0</v>
      </c>
      <c r="N78" s="139">
        <f t="array" ref="N78">INDEX(F_Inputs!$G$4:$T$381,MATCH(Data!$B78&amp;Data!N$6,F_Inputs!$A$4:$A$381&amp;F_Inputs!$B$4:$B$381,0),MATCH(Data!$C78,F_Inputs!$G$2:$T$2,0))</f>
        <v>140.70106423963901</v>
      </c>
      <c r="P78" s="139">
        <f t="array" ref="P78">INDEX(F_Inputs!$G$4:$T$381,MATCH(Data!$B78&amp;Data!P$6,F_Inputs!$A$4:$A$381&amp;F_Inputs!$B$4:$B$381,0),MATCH(Data!$C78,F_Inputs!$G$2:$T$2,0))</f>
        <v>0</v>
      </c>
      <c r="Q78" s="139">
        <f t="array" ref="Q78">INDEX(F_Inputs!$G$4:$T$381,MATCH(Data!$B78&amp;Data!Q$6,F_Inputs!$A$4:$A$381&amp;F_Inputs!$B$4:$B$381,0),MATCH(Data!$C78,F_Inputs!$G$2:$T$2,0))</f>
        <v>0</v>
      </c>
      <c r="R78" s="139">
        <f t="array" ref="R78">INDEX(F_Inputs!$G$4:$T$381,MATCH(Data!$B78&amp;Data!R$6,F_Inputs!$A$4:$A$381&amp;F_Inputs!$B$4:$B$381,0),MATCH(Data!$C78,F_Inputs!$G$2:$T$2,0))</f>
        <v>0</v>
      </c>
      <c r="S78" s="139">
        <f t="array" ref="S78">INDEX(F_Inputs!$G$4:$T$381,MATCH(Data!$B78&amp;Data!S$6,F_Inputs!$A$4:$A$381&amp;F_Inputs!$B$4:$B$381,0),MATCH(Data!$C78,F_Inputs!$G$2:$T$2,0))</f>
        <v>0</v>
      </c>
      <c r="U78" s="139">
        <f t="array" ref="U78">INDEX(F_Inputs!$G$4:$T$381,MATCH(Data!$B78&amp;Data!U$6,F_Inputs!$A$4:$A$381&amp;F_Inputs!$B$4:$B$381,0),MATCH(Data!$C78,F_Inputs!$G$2:$T$2,0))</f>
        <v>0</v>
      </c>
      <c r="V78" s="139">
        <f t="array" ref="V78">INDEX(F_Inputs!$G$4:$T$381,MATCH(Data!$B78&amp;Data!V$6,F_Inputs!$A$4:$A$381&amp;F_Inputs!$B$4:$B$381,0),MATCH(Data!$C78,F_Inputs!$G$2:$T$2,0))</f>
        <v>0</v>
      </c>
      <c r="W78" s="139">
        <f t="array" ref="W78">INDEX(F_Inputs!$G$4:$T$381,MATCH(Data!$B78&amp;Data!W$6,F_Inputs!$A$4:$A$381&amp;F_Inputs!$B$4:$B$381,0),MATCH(Data!$C78,F_Inputs!$G$2:$T$2,0))</f>
        <v>0</v>
      </c>
    </row>
    <row r="79" spans="1:23" x14ac:dyDescent="0.2">
      <c r="A79" s="138" t="str">
        <f t="shared" si="4"/>
        <v>SWT13</v>
      </c>
      <c r="B79" s="19" t="s">
        <v>109</v>
      </c>
      <c r="C79" s="143" t="s">
        <v>65</v>
      </c>
      <c r="D79" s="139">
        <f t="array" ref="D79">INDEX(F_Inputs!$G$4:$T$381,MATCH(Data!$B79&amp;Data!D$6,F_Inputs!$A$4:$A$381&amp;F_Inputs!$B$4:$B$381,0),MATCH(Data!$C79,F_Inputs!$G$2:$T$2,0))</f>
        <v>0</v>
      </c>
      <c r="E79" s="139">
        <f t="array" ref="E79">INDEX(F_Inputs!$G$4:$T$381,MATCH(Data!$B79&amp;Data!E$6,F_Inputs!$A$4:$A$381&amp;F_Inputs!$B$4:$B$381,0),MATCH(Data!$C79,F_Inputs!$G$2:$T$2,0))</f>
        <v>3.1291975841242298E-2</v>
      </c>
      <c r="F79" s="139">
        <f t="array" ref="F79">INDEX(F_Inputs!$G$4:$T$381,MATCH(Data!$B79&amp;Data!F$6,F_Inputs!$A$4:$A$381&amp;F_Inputs!$B$4:$B$381,0),MATCH(Data!$C79,F_Inputs!$G$2:$T$2,0))</f>
        <v>0</v>
      </c>
      <c r="G79" s="139">
        <f t="array" ref="G79">INDEX(F_Inputs!$G$4:$T$381,MATCH(Data!$B79&amp;Data!G$6,F_Inputs!$A$4:$A$381&amp;F_Inputs!$B$4:$B$381,0),MATCH(Data!$C79,F_Inputs!$G$2:$T$2,0))</f>
        <v>0</v>
      </c>
      <c r="I79" s="139">
        <f t="array" ref="I79">INDEX(F_Inputs!$G$4:$T$381,MATCH(Data!$B79&amp;Data!I$6,F_Inputs!$A$4:$A$381&amp;F_Inputs!$B$4:$B$381,0),MATCH(Data!$C79,F_Inputs!$G$2:$T$2,0))</f>
        <v>0</v>
      </c>
      <c r="J79" s="139">
        <f t="array" ref="J79">INDEX(F_Inputs!$G$4:$T$381,MATCH(Data!$B79&amp;Data!J$6,F_Inputs!$A$4:$A$381&amp;F_Inputs!$B$4:$B$381,0),MATCH(Data!$C79,F_Inputs!$G$2:$T$2,0))</f>
        <v>0</v>
      </c>
      <c r="K79" s="139">
        <f t="array" ref="K79">INDEX(F_Inputs!$G$4:$T$381,MATCH(Data!$B79&amp;Data!K$6,F_Inputs!$A$4:$A$381&amp;F_Inputs!$B$4:$B$381,0),MATCH(Data!$C79,F_Inputs!$G$2:$T$2,0))</f>
        <v>0</v>
      </c>
      <c r="L79" s="139">
        <f t="array" ref="L79">INDEX(F_Inputs!$G$4:$T$381,MATCH(Data!$B79&amp;Data!L$6,F_Inputs!$A$4:$A$381&amp;F_Inputs!$B$4:$B$381,0),MATCH(Data!$C79,F_Inputs!$G$2:$T$2,0))</f>
        <v>0</v>
      </c>
      <c r="N79" s="139">
        <f t="array" ref="N79">INDEX(F_Inputs!$G$4:$T$381,MATCH(Data!$B79&amp;Data!N$6,F_Inputs!$A$4:$A$381&amp;F_Inputs!$B$4:$B$381,0),MATCH(Data!$C79,F_Inputs!$G$2:$T$2,0))</f>
        <v>113.375252510785</v>
      </c>
      <c r="P79" s="139">
        <f t="array" ref="P79">INDEX(F_Inputs!$G$4:$T$381,MATCH(Data!$B79&amp;Data!P$6,F_Inputs!$A$4:$A$381&amp;F_Inputs!$B$4:$B$381,0),MATCH(Data!$C79,F_Inputs!$G$2:$T$2,0))</f>
        <v>0</v>
      </c>
      <c r="Q79" s="139">
        <f t="array" ref="Q79">INDEX(F_Inputs!$G$4:$T$381,MATCH(Data!$B79&amp;Data!Q$6,F_Inputs!$A$4:$A$381&amp;F_Inputs!$B$4:$B$381,0),MATCH(Data!$C79,F_Inputs!$G$2:$T$2,0))</f>
        <v>0</v>
      </c>
      <c r="R79" s="139">
        <f t="array" ref="R79">INDEX(F_Inputs!$G$4:$T$381,MATCH(Data!$B79&amp;Data!R$6,F_Inputs!$A$4:$A$381&amp;F_Inputs!$B$4:$B$381,0),MATCH(Data!$C79,F_Inputs!$G$2:$T$2,0))</f>
        <v>0</v>
      </c>
      <c r="S79" s="139">
        <f t="array" ref="S79">INDEX(F_Inputs!$G$4:$T$381,MATCH(Data!$B79&amp;Data!S$6,F_Inputs!$A$4:$A$381&amp;F_Inputs!$B$4:$B$381,0),MATCH(Data!$C79,F_Inputs!$G$2:$T$2,0))</f>
        <v>0</v>
      </c>
      <c r="U79" s="139">
        <f t="array" ref="U79">INDEX(F_Inputs!$G$4:$T$381,MATCH(Data!$B79&amp;Data!U$6,F_Inputs!$A$4:$A$381&amp;F_Inputs!$B$4:$B$381,0),MATCH(Data!$C79,F_Inputs!$G$2:$T$2,0))</f>
        <v>0</v>
      </c>
      <c r="V79" s="139">
        <f t="array" ref="V79">INDEX(F_Inputs!$G$4:$T$381,MATCH(Data!$B79&amp;Data!V$6,F_Inputs!$A$4:$A$381&amp;F_Inputs!$B$4:$B$381,0),MATCH(Data!$C79,F_Inputs!$G$2:$T$2,0))</f>
        <v>0</v>
      </c>
      <c r="W79" s="139">
        <f t="array" ref="W79">INDEX(F_Inputs!$G$4:$T$381,MATCH(Data!$B79&amp;Data!W$6,F_Inputs!$A$4:$A$381&amp;F_Inputs!$B$4:$B$381,0),MATCH(Data!$C79,F_Inputs!$G$2:$T$2,0))</f>
        <v>0</v>
      </c>
    </row>
    <row r="80" spans="1:23" x14ac:dyDescent="0.2">
      <c r="A80" s="138" t="str">
        <f t="shared" si="4"/>
        <v>SWT14</v>
      </c>
      <c r="B80" s="19" t="s">
        <v>109</v>
      </c>
      <c r="C80" s="143" t="s">
        <v>66</v>
      </c>
      <c r="D80" s="139">
        <f t="array" ref="D80">INDEX(F_Inputs!$G$4:$T$381,MATCH(Data!$B80&amp;Data!D$6,F_Inputs!$A$4:$A$381&amp;F_Inputs!$B$4:$B$381,0),MATCH(Data!$C80,F_Inputs!$G$2:$T$2,0))</f>
        <v>0</v>
      </c>
      <c r="E80" s="139">
        <f t="array" ref="E80">INDEX(F_Inputs!$G$4:$T$381,MATCH(Data!$B80&amp;Data!E$6,F_Inputs!$A$4:$A$381&amp;F_Inputs!$B$4:$B$381,0),MATCH(Data!$C80,F_Inputs!$G$2:$T$2,0))</f>
        <v>2.1139283299526699E-3</v>
      </c>
      <c r="F80" s="139">
        <f t="array" ref="F80">INDEX(F_Inputs!$G$4:$T$381,MATCH(Data!$B80&amp;Data!F$6,F_Inputs!$A$4:$A$381&amp;F_Inputs!$B$4:$B$381,0),MATCH(Data!$C80,F_Inputs!$G$2:$T$2,0))</f>
        <v>0</v>
      </c>
      <c r="G80" s="139">
        <f t="array" ref="G80">INDEX(F_Inputs!$G$4:$T$381,MATCH(Data!$B80&amp;Data!G$6,F_Inputs!$A$4:$A$381&amp;F_Inputs!$B$4:$B$381,0),MATCH(Data!$C80,F_Inputs!$G$2:$T$2,0))</f>
        <v>0</v>
      </c>
      <c r="I80" s="139">
        <f t="array" ref="I80">INDEX(F_Inputs!$G$4:$T$381,MATCH(Data!$B80&amp;Data!I$6,F_Inputs!$A$4:$A$381&amp;F_Inputs!$B$4:$B$381,0),MATCH(Data!$C80,F_Inputs!$G$2:$T$2,0))</f>
        <v>0</v>
      </c>
      <c r="J80" s="139">
        <f t="array" ref="J80">INDEX(F_Inputs!$G$4:$T$381,MATCH(Data!$B80&amp;Data!J$6,F_Inputs!$A$4:$A$381&amp;F_Inputs!$B$4:$B$381,0),MATCH(Data!$C80,F_Inputs!$G$2:$T$2,0))</f>
        <v>0</v>
      </c>
      <c r="K80" s="139">
        <f t="array" ref="K80">INDEX(F_Inputs!$G$4:$T$381,MATCH(Data!$B80&amp;Data!K$6,F_Inputs!$A$4:$A$381&amp;F_Inputs!$B$4:$B$381,0),MATCH(Data!$C80,F_Inputs!$G$2:$T$2,0))</f>
        <v>0</v>
      </c>
      <c r="L80" s="139">
        <f t="array" ref="L80">INDEX(F_Inputs!$G$4:$T$381,MATCH(Data!$B80&amp;Data!L$6,F_Inputs!$A$4:$A$381&amp;F_Inputs!$B$4:$B$381,0),MATCH(Data!$C80,F_Inputs!$G$2:$T$2,0))</f>
        <v>0</v>
      </c>
      <c r="N80" s="139">
        <f t="array" ref="N80">INDEX(F_Inputs!$G$4:$T$381,MATCH(Data!$B80&amp;Data!N$6,F_Inputs!$A$4:$A$381&amp;F_Inputs!$B$4:$B$381,0),MATCH(Data!$C80,F_Inputs!$G$2:$T$2,0))</f>
        <v>129.491850743746</v>
      </c>
      <c r="P80" s="139">
        <f t="array" ref="P80">INDEX(F_Inputs!$G$4:$T$381,MATCH(Data!$B80&amp;Data!P$6,F_Inputs!$A$4:$A$381&amp;F_Inputs!$B$4:$B$381,0),MATCH(Data!$C80,F_Inputs!$G$2:$T$2,0))</f>
        <v>0</v>
      </c>
      <c r="Q80" s="139">
        <f t="array" ref="Q80">INDEX(F_Inputs!$G$4:$T$381,MATCH(Data!$B80&amp;Data!Q$6,F_Inputs!$A$4:$A$381&amp;F_Inputs!$B$4:$B$381,0),MATCH(Data!$C80,F_Inputs!$G$2:$T$2,0))</f>
        <v>0</v>
      </c>
      <c r="R80" s="139">
        <f t="array" ref="R80">INDEX(F_Inputs!$G$4:$T$381,MATCH(Data!$B80&amp;Data!R$6,F_Inputs!$A$4:$A$381&amp;F_Inputs!$B$4:$B$381,0),MATCH(Data!$C80,F_Inputs!$G$2:$T$2,0))</f>
        <v>0</v>
      </c>
      <c r="S80" s="139">
        <f t="array" ref="S80">INDEX(F_Inputs!$G$4:$T$381,MATCH(Data!$B80&amp;Data!S$6,F_Inputs!$A$4:$A$381&amp;F_Inputs!$B$4:$B$381,0),MATCH(Data!$C80,F_Inputs!$G$2:$T$2,0))</f>
        <v>0</v>
      </c>
      <c r="U80" s="139">
        <f t="array" ref="U80">INDEX(F_Inputs!$G$4:$T$381,MATCH(Data!$B80&amp;Data!U$6,F_Inputs!$A$4:$A$381&amp;F_Inputs!$B$4:$B$381,0),MATCH(Data!$C80,F_Inputs!$G$2:$T$2,0))</f>
        <v>0</v>
      </c>
      <c r="V80" s="139">
        <f t="array" ref="V80">INDEX(F_Inputs!$G$4:$T$381,MATCH(Data!$B80&amp;Data!V$6,F_Inputs!$A$4:$A$381&amp;F_Inputs!$B$4:$B$381,0),MATCH(Data!$C80,F_Inputs!$G$2:$T$2,0))</f>
        <v>0</v>
      </c>
      <c r="W80" s="139">
        <f t="array" ref="W80">INDEX(F_Inputs!$G$4:$T$381,MATCH(Data!$B80&amp;Data!W$6,F_Inputs!$A$4:$A$381&amp;F_Inputs!$B$4:$B$381,0),MATCH(Data!$C80,F_Inputs!$G$2:$T$2,0))</f>
        <v>0</v>
      </c>
    </row>
    <row r="81" spans="1:23" x14ac:dyDescent="0.2">
      <c r="A81" s="138" t="str">
        <f t="shared" si="4"/>
        <v>SWT15</v>
      </c>
      <c r="B81" s="19" t="s">
        <v>109</v>
      </c>
      <c r="C81" s="143" t="s">
        <v>67</v>
      </c>
      <c r="D81" s="139">
        <f t="array" ref="D81">INDEX(F_Inputs!$G$4:$T$381,MATCH(Data!$B81&amp;Data!D$6,F_Inputs!$A$4:$A$381&amp;F_Inputs!$B$4:$B$381,0),MATCH(Data!$C81,F_Inputs!$G$2:$T$2,0))</f>
        <v>0</v>
      </c>
      <c r="E81" s="139">
        <f t="array" ref="E81">INDEX(F_Inputs!$G$4:$T$381,MATCH(Data!$B81&amp;Data!E$6,F_Inputs!$A$4:$A$381&amp;F_Inputs!$B$4:$B$381,0),MATCH(Data!$C81,F_Inputs!$G$2:$T$2,0))</f>
        <v>0</v>
      </c>
      <c r="F81" s="139">
        <f t="array" ref="F81">INDEX(F_Inputs!$G$4:$T$381,MATCH(Data!$B81&amp;Data!F$6,F_Inputs!$A$4:$A$381&amp;F_Inputs!$B$4:$B$381,0),MATCH(Data!$C81,F_Inputs!$G$2:$T$2,0))</f>
        <v>0</v>
      </c>
      <c r="G81" s="139">
        <f t="array" ref="G81">INDEX(F_Inputs!$G$4:$T$381,MATCH(Data!$B81&amp;Data!G$6,F_Inputs!$A$4:$A$381&amp;F_Inputs!$B$4:$B$381,0),MATCH(Data!$C81,F_Inputs!$G$2:$T$2,0))</f>
        <v>0</v>
      </c>
      <c r="I81" s="139">
        <f t="array" ref="I81">INDEX(F_Inputs!$G$4:$T$381,MATCH(Data!$B81&amp;Data!I$6,F_Inputs!$A$4:$A$381&amp;F_Inputs!$B$4:$B$381,0),MATCH(Data!$C81,F_Inputs!$G$2:$T$2,0))</f>
        <v>0</v>
      </c>
      <c r="J81" s="139">
        <f t="array" ref="J81">INDEX(F_Inputs!$G$4:$T$381,MATCH(Data!$B81&amp;Data!J$6,F_Inputs!$A$4:$A$381&amp;F_Inputs!$B$4:$B$381,0),MATCH(Data!$C81,F_Inputs!$G$2:$T$2,0))</f>
        <v>0</v>
      </c>
      <c r="K81" s="139">
        <f t="array" ref="K81">INDEX(F_Inputs!$G$4:$T$381,MATCH(Data!$B81&amp;Data!K$6,F_Inputs!$A$4:$A$381&amp;F_Inputs!$B$4:$B$381,0),MATCH(Data!$C81,F_Inputs!$G$2:$T$2,0))</f>
        <v>0</v>
      </c>
      <c r="L81" s="139">
        <f t="array" ref="L81">INDEX(F_Inputs!$G$4:$T$381,MATCH(Data!$B81&amp;Data!L$6,F_Inputs!$A$4:$A$381&amp;F_Inputs!$B$4:$B$381,0),MATCH(Data!$C81,F_Inputs!$G$2:$T$2,0))</f>
        <v>0</v>
      </c>
      <c r="N81" s="139">
        <f t="array" ref="N81">INDEX(F_Inputs!$G$4:$T$381,MATCH(Data!$B81&amp;Data!N$6,F_Inputs!$A$4:$A$381&amp;F_Inputs!$B$4:$B$381,0),MATCH(Data!$C81,F_Inputs!$G$2:$T$2,0))</f>
        <v>130.175473385142</v>
      </c>
      <c r="P81" s="139">
        <f t="array" ref="P81">INDEX(F_Inputs!$G$4:$T$381,MATCH(Data!$B81&amp;Data!P$6,F_Inputs!$A$4:$A$381&amp;F_Inputs!$B$4:$B$381,0),MATCH(Data!$C81,F_Inputs!$G$2:$T$2,0))</f>
        <v>0</v>
      </c>
      <c r="Q81" s="139">
        <f t="array" ref="Q81">INDEX(F_Inputs!$G$4:$T$381,MATCH(Data!$B81&amp;Data!Q$6,F_Inputs!$A$4:$A$381&amp;F_Inputs!$B$4:$B$381,0),MATCH(Data!$C81,F_Inputs!$G$2:$T$2,0))</f>
        <v>0</v>
      </c>
      <c r="R81" s="139">
        <f t="array" ref="R81">INDEX(F_Inputs!$G$4:$T$381,MATCH(Data!$B81&amp;Data!R$6,F_Inputs!$A$4:$A$381&amp;F_Inputs!$B$4:$B$381,0),MATCH(Data!$C81,F_Inputs!$G$2:$T$2,0))</f>
        <v>0</v>
      </c>
      <c r="S81" s="139">
        <f t="array" ref="S81">INDEX(F_Inputs!$G$4:$T$381,MATCH(Data!$B81&amp;Data!S$6,F_Inputs!$A$4:$A$381&amp;F_Inputs!$B$4:$B$381,0),MATCH(Data!$C81,F_Inputs!$G$2:$T$2,0))</f>
        <v>0</v>
      </c>
      <c r="U81" s="139">
        <f t="array" ref="U81">INDEX(F_Inputs!$G$4:$T$381,MATCH(Data!$B81&amp;Data!U$6,F_Inputs!$A$4:$A$381&amp;F_Inputs!$B$4:$B$381,0),MATCH(Data!$C81,F_Inputs!$G$2:$T$2,0))</f>
        <v>0</v>
      </c>
      <c r="V81" s="139">
        <f t="array" ref="V81">INDEX(F_Inputs!$G$4:$T$381,MATCH(Data!$B81&amp;Data!V$6,F_Inputs!$A$4:$A$381&amp;F_Inputs!$B$4:$B$381,0),MATCH(Data!$C81,F_Inputs!$G$2:$T$2,0))</f>
        <v>0</v>
      </c>
      <c r="W81" s="139">
        <f t="array" ref="W81">INDEX(F_Inputs!$G$4:$T$381,MATCH(Data!$B81&amp;Data!W$6,F_Inputs!$A$4:$A$381&amp;F_Inputs!$B$4:$B$381,0),MATCH(Data!$C81,F_Inputs!$G$2:$T$2,0))</f>
        <v>0</v>
      </c>
    </row>
    <row r="82" spans="1:23" x14ac:dyDescent="0.2">
      <c r="A82" s="138" t="str">
        <f t="shared" si="4"/>
        <v>SWT16</v>
      </c>
      <c r="B82" s="19" t="s">
        <v>109</v>
      </c>
      <c r="C82" s="143" t="s">
        <v>68</v>
      </c>
      <c r="D82" s="139">
        <f t="array" ref="D82">INDEX(F_Inputs!$G$4:$T$381,MATCH(Data!$B82&amp;Data!D$6,F_Inputs!$A$4:$A$381&amp;F_Inputs!$B$4:$B$381,0),MATCH(Data!$C82,F_Inputs!$G$2:$T$2,0))</f>
        <v>0</v>
      </c>
      <c r="E82" s="139">
        <f t="array" ref="E82">INDEX(F_Inputs!$G$4:$T$381,MATCH(Data!$B82&amp;Data!E$6,F_Inputs!$A$4:$A$381&amp;F_Inputs!$B$4:$B$381,0),MATCH(Data!$C82,F_Inputs!$G$2:$T$2,0))</f>
        <v>0</v>
      </c>
      <c r="F82" s="139">
        <f t="array" ref="F82">INDEX(F_Inputs!$G$4:$T$381,MATCH(Data!$B82&amp;Data!F$6,F_Inputs!$A$4:$A$381&amp;F_Inputs!$B$4:$B$381,0),MATCH(Data!$C82,F_Inputs!$G$2:$T$2,0))</f>
        <v>0</v>
      </c>
      <c r="G82" s="139">
        <f t="array" ref="G82">INDEX(F_Inputs!$G$4:$T$381,MATCH(Data!$B82&amp;Data!G$6,F_Inputs!$A$4:$A$381&amp;F_Inputs!$B$4:$B$381,0),MATCH(Data!$C82,F_Inputs!$G$2:$T$2,0))</f>
        <v>0</v>
      </c>
      <c r="I82" s="139">
        <f t="array" ref="I82">INDEX(F_Inputs!$G$4:$T$381,MATCH(Data!$B82&amp;Data!I$6,F_Inputs!$A$4:$A$381&amp;F_Inputs!$B$4:$B$381,0),MATCH(Data!$C82,F_Inputs!$G$2:$T$2,0))</f>
        <v>0</v>
      </c>
      <c r="J82" s="139">
        <f t="array" ref="J82">INDEX(F_Inputs!$G$4:$T$381,MATCH(Data!$B82&amp;Data!J$6,F_Inputs!$A$4:$A$381&amp;F_Inputs!$B$4:$B$381,0),MATCH(Data!$C82,F_Inputs!$G$2:$T$2,0))</f>
        <v>0</v>
      </c>
      <c r="K82" s="139">
        <f t="array" ref="K82">INDEX(F_Inputs!$G$4:$T$381,MATCH(Data!$B82&amp;Data!K$6,F_Inputs!$A$4:$A$381&amp;F_Inputs!$B$4:$B$381,0),MATCH(Data!$C82,F_Inputs!$G$2:$T$2,0))</f>
        <v>0</v>
      </c>
      <c r="L82" s="139">
        <f t="array" ref="L82">INDEX(F_Inputs!$G$4:$T$381,MATCH(Data!$B82&amp;Data!L$6,F_Inputs!$A$4:$A$381&amp;F_Inputs!$B$4:$B$381,0),MATCH(Data!$C82,F_Inputs!$G$2:$T$2,0))</f>
        <v>0</v>
      </c>
      <c r="N82" s="139">
        <f t="array" ref="N82">INDEX(F_Inputs!$G$4:$T$381,MATCH(Data!$B82&amp;Data!N$6,F_Inputs!$A$4:$A$381&amp;F_Inputs!$B$4:$B$381,0),MATCH(Data!$C82,F_Inputs!$G$2:$T$2,0))</f>
        <v>128.93040931780399</v>
      </c>
      <c r="P82" s="139">
        <f t="array" ref="P82">INDEX(F_Inputs!$G$4:$T$381,MATCH(Data!$B82&amp;Data!P$6,F_Inputs!$A$4:$A$381&amp;F_Inputs!$B$4:$B$381,0),MATCH(Data!$C82,F_Inputs!$G$2:$T$2,0))</f>
        <v>0</v>
      </c>
      <c r="Q82" s="139">
        <f t="array" ref="Q82">INDEX(F_Inputs!$G$4:$T$381,MATCH(Data!$B82&amp;Data!Q$6,F_Inputs!$A$4:$A$381&amp;F_Inputs!$B$4:$B$381,0),MATCH(Data!$C82,F_Inputs!$G$2:$T$2,0))</f>
        <v>0</v>
      </c>
      <c r="R82" s="139">
        <f t="array" ref="R82">INDEX(F_Inputs!$G$4:$T$381,MATCH(Data!$B82&amp;Data!R$6,F_Inputs!$A$4:$A$381&amp;F_Inputs!$B$4:$B$381,0),MATCH(Data!$C82,F_Inputs!$G$2:$T$2,0))</f>
        <v>0</v>
      </c>
      <c r="S82" s="139">
        <f t="array" ref="S82">INDEX(F_Inputs!$G$4:$T$381,MATCH(Data!$B82&amp;Data!S$6,F_Inputs!$A$4:$A$381&amp;F_Inputs!$B$4:$B$381,0),MATCH(Data!$C82,F_Inputs!$G$2:$T$2,0))</f>
        <v>0</v>
      </c>
      <c r="U82" s="139">
        <f t="array" ref="U82">INDEX(F_Inputs!$G$4:$T$381,MATCH(Data!$B82&amp;Data!U$6,F_Inputs!$A$4:$A$381&amp;F_Inputs!$B$4:$B$381,0),MATCH(Data!$C82,F_Inputs!$G$2:$T$2,0))</f>
        <v>0</v>
      </c>
      <c r="V82" s="139">
        <f t="array" ref="V82">INDEX(F_Inputs!$G$4:$T$381,MATCH(Data!$B82&amp;Data!V$6,F_Inputs!$A$4:$A$381&amp;F_Inputs!$B$4:$B$381,0),MATCH(Data!$C82,F_Inputs!$G$2:$T$2,0))</f>
        <v>0</v>
      </c>
      <c r="W82" s="139">
        <f t="array" ref="W82">INDEX(F_Inputs!$G$4:$T$381,MATCH(Data!$B82&amp;Data!W$6,F_Inputs!$A$4:$A$381&amp;F_Inputs!$B$4:$B$381,0),MATCH(Data!$C82,F_Inputs!$G$2:$T$2,0))</f>
        <v>0</v>
      </c>
    </row>
    <row r="83" spans="1:23" x14ac:dyDescent="0.2">
      <c r="A83" s="138" t="str">
        <f t="shared" si="4"/>
        <v>SWT17</v>
      </c>
      <c r="B83" s="19" t="s">
        <v>109</v>
      </c>
      <c r="C83" s="143" t="s">
        <v>69</v>
      </c>
      <c r="D83" s="139">
        <f t="array" ref="D83">INDEX(F_Inputs!$G$4:$T$381,MATCH(Data!$B83&amp;Data!D$6,F_Inputs!$A$4:$A$381&amp;F_Inputs!$B$4:$B$381,0),MATCH(Data!$C83,F_Inputs!$G$2:$T$2,0))</f>
        <v>0</v>
      </c>
      <c r="E83" s="139">
        <f t="array" ref="E83">INDEX(F_Inputs!$G$4:$T$381,MATCH(Data!$B83&amp;Data!E$6,F_Inputs!$A$4:$A$381&amp;F_Inputs!$B$4:$B$381,0),MATCH(Data!$C83,F_Inputs!$G$2:$T$2,0))</f>
        <v>0</v>
      </c>
      <c r="F83" s="139">
        <f t="array" ref="F83">INDEX(F_Inputs!$G$4:$T$381,MATCH(Data!$B83&amp;Data!F$6,F_Inputs!$A$4:$A$381&amp;F_Inputs!$B$4:$B$381,0),MATCH(Data!$C83,F_Inputs!$G$2:$T$2,0))</f>
        <v>0</v>
      </c>
      <c r="G83" s="139">
        <f t="array" ref="G83">INDEX(F_Inputs!$G$4:$T$381,MATCH(Data!$B83&amp;Data!G$6,F_Inputs!$A$4:$A$381&amp;F_Inputs!$B$4:$B$381,0),MATCH(Data!$C83,F_Inputs!$G$2:$T$2,0))</f>
        <v>0</v>
      </c>
      <c r="I83" s="139">
        <f t="array" ref="I83">INDEX(F_Inputs!$G$4:$T$381,MATCH(Data!$B83&amp;Data!I$6,F_Inputs!$A$4:$A$381&amp;F_Inputs!$B$4:$B$381,0),MATCH(Data!$C83,F_Inputs!$G$2:$T$2,0))</f>
        <v>0</v>
      </c>
      <c r="J83" s="139">
        <f t="array" ref="J83">INDEX(F_Inputs!$G$4:$T$381,MATCH(Data!$B83&amp;Data!J$6,F_Inputs!$A$4:$A$381&amp;F_Inputs!$B$4:$B$381,0),MATCH(Data!$C83,F_Inputs!$G$2:$T$2,0))</f>
        <v>0</v>
      </c>
      <c r="K83" s="139">
        <f t="array" ref="K83">INDEX(F_Inputs!$G$4:$T$381,MATCH(Data!$B83&amp;Data!K$6,F_Inputs!$A$4:$A$381&amp;F_Inputs!$B$4:$B$381,0),MATCH(Data!$C83,F_Inputs!$G$2:$T$2,0))</f>
        <v>0</v>
      </c>
      <c r="L83" s="139">
        <f t="array" ref="L83">INDEX(F_Inputs!$G$4:$T$381,MATCH(Data!$B83&amp;Data!L$6,F_Inputs!$A$4:$A$381&amp;F_Inputs!$B$4:$B$381,0),MATCH(Data!$C83,F_Inputs!$G$2:$T$2,0))</f>
        <v>0</v>
      </c>
      <c r="N83" s="139">
        <f t="array" ref="N83">INDEX(F_Inputs!$G$4:$T$381,MATCH(Data!$B83&amp;Data!N$6,F_Inputs!$A$4:$A$381&amp;F_Inputs!$B$4:$B$381,0),MATCH(Data!$C83,F_Inputs!$G$2:$T$2,0))</f>
        <v>0</v>
      </c>
      <c r="P83" s="139">
        <f t="array" ref="P83">INDEX(F_Inputs!$G$4:$T$381,MATCH(Data!$B83&amp;Data!P$6,F_Inputs!$A$4:$A$381&amp;F_Inputs!$B$4:$B$381,0),MATCH(Data!$C83,F_Inputs!$G$2:$T$2,0))</f>
        <v>0</v>
      </c>
      <c r="Q83" s="139">
        <f t="array" ref="Q83">INDEX(F_Inputs!$G$4:$T$381,MATCH(Data!$B83&amp;Data!Q$6,F_Inputs!$A$4:$A$381&amp;F_Inputs!$B$4:$B$381,0),MATCH(Data!$C83,F_Inputs!$G$2:$T$2,0))</f>
        <v>0</v>
      </c>
      <c r="R83" s="139">
        <f t="array" ref="R83">INDEX(F_Inputs!$G$4:$T$381,MATCH(Data!$B83&amp;Data!R$6,F_Inputs!$A$4:$A$381&amp;F_Inputs!$B$4:$B$381,0),MATCH(Data!$C83,F_Inputs!$G$2:$T$2,0))</f>
        <v>0</v>
      </c>
      <c r="S83" s="139">
        <f t="array" ref="S83">INDEX(F_Inputs!$G$4:$T$381,MATCH(Data!$B83&amp;Data!S$6,F_Inputs!$A$4:$A$381&amp;F_Inputs!$B$4:$B$381,0),MATCH(Data!$C83,F_Inputs!$G$2:$T$2,0))</f>
        <v>0</v>
      </c>
      <c r="U83" s="139">
        <f t="array" ref="U83">INDEX(F_Inputs!$G$4:$T$381,MATCH(Data!$B83&amp;Data!U$6,F_Inputs!$A$4:$A$381&amp;F_Inputs!$B$4:$B$381,0),MATCH(Data!$C83,F_Inputs!$G$2:$T$2,0))</f>
        <v>0</v>
      </c>
      <c r="V83" s="139">
        <f t="array" ref="V83">INDEX(F_Inputs!$G$4:$T$381,MATCH(Data!$B83&amp;Data!V$6,F_Inputs!$A$4:$A$381&amp;F_Inputs!$B$4:$B$381,0),MATCH(Data!$C83,F_Inputs!$G$2:$T$2,0))</f>
        <v>0</v>
      </c>
      <c r="W83" s="139">
        <f t="array" ref="W83">INDEX(F_Inputs!$G$4:$T$381,MATCH(Data!$B83&amp;Data!W$6,F_Inputs!$A$4:$A$381&amp;F_Inputs!$B$4:$B$381,0),MATCH(Data!$C83,F_Inputs!$G$2:$T$2,0))</f>
        <v>0</v>
      </c>
    </row>
    <row r="84" spans="1:23" x14ac:dyDescent="0.2">
      <c r="A84" s="141" t="s">
        <v>174</v>
      </c>
      <c r="B84" s="142" t="s">
        <v>109</v>
      </c>
      <c r="C84" s="142" t="s">
        <v>70</v>
      </c>
      <c r="D84" s="139">
        <f t="array" ref="D84">INDEX(F_Inputs!$G$4:$T$381,MATCH(Data!$B84&amp;Data!D$6,F_Inputs!$A$4:$A$381&amp;F_Inputs!$B$4:$B$381,0),MATCH(Data!$C84,F_Inputs!$G$2:$T$2,0))</f>
        <v>0</v>
      </c>
      <c r="E84" s="139">
        <f t="array" ref="E84">INDEX(F_Inputs!$G$4:$T$381,MATCH(Data!$B84&amp;Data!E$6,F_Inputs!$A$4:$A$381&amp;F_Inputs!$B$4:$B$381,0),MATCH(Data!$C84,F_Inputs!$G$2:$T$2,0))</f>
        <v>0</v>
      </c>
      <c r="F84" s="139">
        <f t="array" ref="F84">INDEX(F_Inputs!$G$4:$T$381,MATCH(Data!$B84&amp;Data!F$6,F_Inputs!$A$4:$A$381&amp;F_Inputs!$B$4:$B$381,0),MATCH(Data!$C84,F_Inputs!$G$2:$T$2,0))</f>
        <v>0</v>
      </c>
      <c r="G84" s="139">
        <f t="array" ref="G84">INDEX(F_Inputs!$G$4:$T$381,MATCH(Data!$B84&amp;Data!G$6,F_Inputs!$A$4:$A$381&amp;F_Inputs!$B$4:$B$381,0),MATCH(Data!$C84,F_Inputs!$G$2:$T$2,0))</f>
        <v>0</v>
      </c>
      <c r="I84" s="139">
        <f t="array" ref="I84">INDEX(F_Inputs!$G$4:$T$381,MATCH(Data!$B84&amp;Data!I$6,F_Inputs!$A$4:$A$381&amp;F_Inputs!$B$4:$B$381,0),MATCH(Data!$C84,F_Inputs!$G$2:$T$2,0))</f>
        <v>0</v>
      </c>
      <c r="J84" s="139">
        <f t="array" ref="J84">INDEX(F_Inputs!$G$4:$T$381,MATCH(Data!$B84&amp;Data!J$6,F_Inputs!$A$4:$A$381&amp;F_Inputs!$B$4:$B$381,0),MATCH(Data!$C84,F_Inputs!$G$2:$T$2,0))</f>
        <v>0</v>
      </c>
      <c r="K84" s="139">
        <f t="array" ref="K84">INDEX(F_Inputs!$G$4:$T$381,MATCH(Data!$B84&amp;Data!K$6,F_Inputs!$A$4:$A$381&amp;F_Inputs!$B$4:$B$381,0),MATCH(Data!$C84,F_Inputs!$G$2:$T$2,0))</f>
        <v>0</v>
      </c>
      <c r="L84" s="139">
        <f t="array" ref="L84">INDEX(F_Inputs!$G$4:$T$381,MATCH(Data!$B84&amp;Data!L$6,F_Inputs!$A$4:$A$381&amp;F_Inputs!$B$4:$B$381,0),MATCH(Data!$C84,F_Inputs!$G$2:$T$2,0))</f>
        <v>0</v>
      </c>
      <c r="N84" s="139">
        <f t="array" ref="N84">INDEX(F_Inputs!$G$4:$T$381,MATCH(Data!$B84&amp;Data!N$6,F_Inputs!$A$4:$A$381&amp;F_Inputs!$B$4:$B$381,0),MATCH(Data!$C84,F_Inputs!$G$2:$T$2,0))</f>
        <v>0</v>
      </c>
      <c r="P84" s="139">
        <f t="array" ref="P84">INDEX(F_Inputs!$G$4:$T$381,MATCH(Data!$B84&amp;Data!P$6,F_Inputs!$A$4:$A$381&amp;F_Inputs!$B$4:$B$381,0),MATCH(Data!$C84,F_Inputs!$G$2:$T$2,0))</f>
        <v>0</v>
      </c>
      <c r="Q84" s="139">
        <f t="array" ref="Q84">INDEX(F_Inputs!$G$4:$T$381,MATCH(Data!$B84&amp;Data!Q$6,F_Inputs!$A$4:$A$381&amp;F_Inputs!$B$4:$B$381,0),MATCH(Data!$C84,F_Inputs!$G$2:$T$2,0))</f>
        <v>0</v>
      </c>
      <c r="R84" s="139">
        <f t="array" ref="R84">INDEX(F_Inputs!$G$4:$T$381,MATCH(Data!$B84&amp;Data!R$6,F_Inputs!$A$4:$A$381&amp;F_Inputs!$B$4:$B$381,0),MATCH(Data!$C84,F_Inputs!$G$2:$T$2,0))</f>
        <v>0</v>
      </c>
      <c r="S84" s="139">
        <f t="array" ref="S84">INDEX(F_Inputs!$G$4:$T$381,MATCH(Data!$B84&amp;Data!S$6,F_Inputs!$A$4:$A$381&amp;F_Inputs!$B$4:$B$381,0),MATCH(Data!$C84,F_Inputs!$G$2:$T$2,0))</f>
        <v>0</v>
      </c>
      <c r="U84" s="139">
        <f t="array" ref="U84">INDEX(F_Inputs!$G$4:$T$381,MATCH(Data!$B84&amp;Data!U$6,F_Inputs!$A$4:$A$381&amp;F_Inputs!$B$4:$B$381,0),MATCH(Data!$C84,F_Inputs!$G$2:$T$2,0))</f>
        <v>0</v>
      </c>
      <c r="V84" s="139">
        <f t="array" ref="V84">INDEX(F_Inputs!$G$4:$T$381,MATCH(Data!$B84&amp;Data!V$6,F_Inputs!$A$4:$A$381&amp;F_Inputs!$B$4:$B$381,0),MATCH(Data!$C84,F_Inputs!$G$2:$T$2,0))</f>
        <v>0</v>
      </c>
      <c r="W84" s="139">
        <f t="array" ref="W84">INDEX(F_Inputs!$G$4:$T$381,MATCH(Data!$B84&amp;Data!W$6,F_Inputs!$A$4:$A$381&amp;F_Inputs!$B$4:$B$381,0),MATCH(Data!$C84,F_Inputs!$G$2:$T$2,0))</f>
        <v>0</v>
      </c>
    </row>
    <row r="85" spans="1:23" x14ac:dyDescent="0.2">
      <c r="A85" s="141" t="s">
        <v>175</v>
      </c>
      <c r="B85" s="142" t="s">
        <v>109</v>
      </c>
      <c r="C85" s="142" t="s">
        <v>71</v>
      </c>
      <c r="D85" s="139">
        <f t="array" ref="D85">INDEX(F_Inputs!$G$4:$T$381,MATCH(Data!$B85&amp;Data!D$6,F_Inputs!$A$4:$A$381&amp;F_Inputs!$B$4:$B$381,0),MATCH(Data!$C85,F_Inputs!$G$2:$T$2,0))</f>
        <v>0</v>
      </c>
      <c r="E85" s="139">
        <f t="array" ref="E85">INDEX(F_Inputs!$G$4:$T$381,MATCH(Data!$B85&amp;Data!E$6,F_Inputs!$A$4:$A$381&amp;F_Inputs!$B$4:$B$381,0),MATCH(Data!$C85,F_Inputs!$G$2:$T$2,0))</f>
        <v>0</v>
      </c>
      <c r="F85" s="139">
        <f t="array" ref="F85">INDEX(F_Inputs!$G$4:$T$381,MATCH(Data!$B85&amp;Data!F$6,F_Inputs!$A$4:$A$381&amp;F_Inputs!$B$4:$B$381,0),MATCH(Data!$C85,F_Inputs!$G$2:$T$2,0))</f>
        <v>0</v>
      </c>
      <c r="G85" s="139">
        <f t="array" ref="G85">INDEX(F_Inputs!$G$4:$T$381,MATCH(Data!$B85&amp;Data!G$6,F_Inputs!$A$4:$A$381&amp;F_Inputs!$B$4:$B$381,0),MATCH(Data!$C85,F_Inputs!$G$2:$T$2,0))</f>
        <v>0</v>
      </c>
      <c r="I85" s="139">
        <f t="array" ref="I85">INDEX(F_Inputs!$G$4:$T$381,MATCH(Data!$B85&amp;Data!I$6,F_Inputs!$A$4:$A$381&amp;F_Inputs!$B$4:$B$381,0),MATCH(Data!$C85,F_Inputs!$G$2:$T$2,0))</f>
        <v>0</v>
      </c>
      <c r="J85" s="139">
        <f t="array" ref="J85">INDEX(F_Inputs!$G$4:$T$381,MATCH(Data!$B85&amp;Data!J$6,F_Inputs!$A$4:$A$381&amp;F_Inputs!$B$4:$B$381,0),MATCH(Data!$C85,F_Inputs!$G$2:$T$2,0))</f>
        <v>0</v>
      </c>
      <c r="K85" s="139">
        <f t="array" ref="K85">INDEX(F_Inputs!$G$4:$T$381,MATCH(Data!$B85&amp;Data!K$6,F_Inputs!$A$4:$A$381&amp;F_Inputs!$B$4:$B$381,0),MATCH(Data!$C85,F_Inputs!$G$2:$T$2,0))</f>
        <v>0</v>
      </c>
      <c r="L85" s="139">
        <f t="array" ref="L85">INDEX(F_Inputs!$G$4:$T$381,MATCH(Data!$B85&amp;Data!L$6,F_Inputs!$A$4:$A$381&amp;F_Inputs!$B$4:$B$381,0),MATCH(Data!$C85,F_Inputs!$G$2:$T$2,0))</f>
        <v>0</v>
      </c>
      <c r="N85" s="139">
        <f t="array" ref="N85">INDEX(F_Inputs!$G$4:$T$381,MATCH(Data!$B85&amp;Data!N$6,F_Inputs!$A$4:$A$381&amp;F_Inputs!$B$4:$B$381,0),MATCH(Data!$C85,F_Inputs!$G$2:$T$2,0))</f>
        <v>0</v>
      </c>
      <c r="P85" s="139">
        <f t="array" ref="P85">INDEX(F_Inputs!$G$4:$T$381,MATCH(Data!$B85&amp;Data!P$6,F_Inputs!$A$4:$A$381&amp;F_Inputs!$B$4:$B$381,0),MATCH(Data!$C85,F_Inputs!$G$2:$T$2,0))</f>
        <v>0</v>
      </c>
      <c r="Q85" s="139">
        <f t="array" ref="Q85">INDEX(F_Inputs!$G$4:$T$381,MATCH(Data!$B85&amp;Data!Q$6,F_Inputs!$A$4:$A$381&amp;F_Inputs!$B$4:$B$381,0),MATCH(Data!$C85,F_Inputs!$G$2:$T$2,0))</f>
        <v>0</v>
      </c>
      <c r="R85" s="139">
        <f t="array" ref="R85">INDEX(F_Inputs!$G$4:$T$381,MATCH(Data!$B85&amp;Data!R$6,F_Inputs!$A$4:$A$381&amp;F_Inputs!$B$4:$B$381,0),MATCH(Data!$C85,F_Inputs!$G$2:$T$2,0))</f>
        <v>0</v>
      </c>
      <c r="S85" s="139">
        <f t="array" ref="S85">INDEX(F_Inputs!$G$4:$T$381,MATCH(Data!$B85&amp;Data!S$6,F_Inputs!$A$4:$A$381&amp;F_Inputs!$B$4:$B$381,0),MATCH(Data!$C85,F_Inputs!$G$2:$T$2,0))</f>
        <v>0</v>
      </c>
      <c r="U85" s="139">
        <f t="array" ref="U85">INDEX(F_Inputs!$G$4:$T$381,MATCH(Data!$B85&amp;Data!U$6,F_Inputs!$A$4:$A$381&amp;F_Inputs!$B$4:$B$381,0),MATCH(Data!$C85,F_Inputs!$G$2:$T$2,0))</f>
        <v>0</v>
      </c>
      <c r="V85" s="139">
        <f t="array" ref="V85">INDEX(F_Inputs!$G$4:$T$381,MATCH(Data!$B85&amp;Data!V$6,F_Inputs!$A$4:$A$381&amp;F_Inputs!$B$4:$B$381,0),MATCH(Data!$C85,F_Inputs!$G$2:$T$2,0))</f>
        <v>0</v>
      </c>
      <c r="W85" s="139">
        <f t="array" ref="W85">INDEX(F_Inputs!$G$4:$T$381,MATCH(Data!$B85&amp;Data!W$6,F_Inputs!$A$4:$A$381&amp;F_Inputs!$B$4:$B$381,0),MATCH(Data!$C85,F_Inputs!$G$2:$T$2,0))</f>
        <v>0</v>
      </c>
    </row>
    <row r="86" spans="1:23" x14ac:dyDescent="0.2">
      <c r="A86" s="141" t="s">
        <v>176</v>
      </c>
      <c r="B86" s="142" t="s">
        <v>109</v>
      </c>
      <c r="C86" s="142" t="s">
        <v>72</v>
      </c>
      <c r="D86" s="139">
        <f t="array" ref="D86">INDEX(F_Inputs!$G$4:$T$381,MATCH(Data!$B86&amp;Data!D$6,F_Inputs!$A$4:$A$381&amp;F_Inputs!$B$4:$B$381,0),MATCH(Data!$C86,F_Inputs!$G$2:$T$2,0))</f>
        <v>0</v>
      </c>
      <c r="E86" s="139">
        <f t="array" ref="E86">INDEX(F_Inputs!$G$4:$T$381,MATCH(Data!$B86&amp;Data!E$6,F_Inputs!$A$4:$A$381&amp;F_Inputs!$B$4:$B$381,0),MATCH(Data!$C86,F_Inputs!$G$2:$T$2,0))</f>
        <v>0</v>
      </c>
      <c r="F86" s="139">
        <f t="array" ref="F86">INDEX(F_Inputs!$G$4:$T$381,MATCH(Data!$B86&amp;Data!F$6,F_Inputs!$A$4:$A$381&amp;F_Inputs!$B$4:$B$381,0),MATCH(Data!$C86,F_Inputs!$G$2:$T$2,0))</f>
        <v>0</v>
      </c>
      <c r="G86" s="139">
        <f t="array" ref="G86">INDEX(F_Inputs!$G$4:$T$381,MATCH(Data!$B86&amp;Data!G$6,F_Inputs!$A$4:$A$381&amp;F_Inputs!$B$4:$B$381,0),MATCH(Data!$C86,F_Inputs!$G$2:$T$2,0))</f>
        <v>0</v>
      </c>
      <c r="I86" s="139">
        <f t="array" ref="I86">INDEX(F_Inputs!$G$4:$T$381,MATCH(Data!$B86&amp;Data!I$6,F_Inputs!$A$4:$A$381&amp;F_Inputs!$B$4:$B$381,0),MATCH(Data!$C86,F_Inputs!$G$2:$T$2,0))</f>
        <v>0</v>
      </c>
      <c r="J86" s="139">
        <f t="array" ref="J86">INDEX(F_Inputs!$G$4:$T$381,MATCH(Data!$B86&amp;Data!J$6,F_Inputs!$A$4:$A$381&amp;F_Inputs!$B$4:$B$381,0),MATCH(Data!$C86,F_Inputs!$G$2:$T$2,0))</f>
        <v>0</v>
      </c>
      <c r="K86" s="139">
        <f t="array" ref="K86">INDEX(F_Inputs!$G$4:$T$381,MATCH(Data!$B86&amp;Data!K$6,F_Inputs!$A$4:$A$381&amp;F_Inputs!$B$4:$B$381,0),MATCH(Data!$C86,F_Inputs!$G$2:$T$2,0))</f>
        <v>0</v>
      </c>
      <c r="L86" s="139">
        <f t="array" ref="L86">INDEX(F_Inputs!$G$4:$T$381,MATCH(Data!$B86&amp;Data!L$6,F_Inputs!$A$4:$A$381&amp;F_Inputs!$B$4:$B$381,0),MATCH(Data!$C86,F_Inputs!$G$2:$T$2,0))</f>
        <v>0</v>
      </c>
      <c r="N86" s="139">
        <f t="array" ref="N86">INDEX(F_Inputs!$G$4:$T$381,MATCH(Data!$B86&amp;Data!N$6,F_Inputs!$A$4:$A$381&amp;F_Inputs!$B$4:$B$381,0),MATCH(Data!$C86,F_Inputs!$G$2:$T$2,0))</f>
        <v>0</v>
      </c>
      <c r="P86" s="139">
        <f t="array" ref="P86">INDEX(F_Inputs!$G$4:$T$381,MATCH(Data!$B86&amp;Data!P$6,F_Inputs!$A$4:$A$381&amp;F_Inputs!$B$4:$B$381,0),MATCH(Data!$C86,F_Inputs!$G$2:$T$2,0))</f>
        <v>0</v>
      </c>
      <c r="Q86" s="139">
        <f t="array" ref="Q86">INDEX(F_Inputs!$G$4:$T$381,MATCH(Data!$B86&amp;Data!Q$6,F_Inputs!$A$4:$A$381&amp;F_Inputs!$B$4:$B$381,0),MATCH(Data!$C86,F_Inputs!$G$2:$T$2,0))</f>
        <v>0</v>
      </c>
      <c r="R86" s="139">
        <f t="array" ref="R86">INDEX(F_Inputs!$G$4:$T$381,MATCH(Data!$B86&amp;Data!R$6,F_Inputs!$A$4:$A$381&amp;F_Inputs!$B$4:$B$381,0),MATCH(Data!$C86,F_Inputs!$G$2:$T$2,0))</f>
        <v>0</v>
      </c>
      <c r="S86" s="139">
        <f t="array" ref="S86">INDEX(F_Inputs!$G$4:$T$381,MATCH(Data!$B86&amp;Data!S$6,F_Inputs!$A$4:$A$381&amp;F_Inputs!$B$4:$B$381,0),MATCH(Data!$C86,F_Inputs!$G$2:$T$2,0))</f>
        <v>0</v>
      </c>
      <c r="U86" s="139">
        <f t="array" ref="U86">INDEX(F_Inputs!$G$4:$T$381,MATCH(Data!$B86&amp;Data!U$6,F_Inputs!$A$4:$A$381&amp;F_Inputs!$B$4:$B$381,0),MATCH(Data!$C86,F_Inputs!$G$2:$T$2,0))</f>
        <v>0</v>
      </c>
      <c r="V86" s="139">
        <f t="array" ref="V86">INDEX(F_Inputs!$G$4:$T$381,MATCH(Data!$B86&amp;Data!V$6,F_Inputs!$A$4:$A$381&amp;F_Inputs!$B$4:$B$381,0),MATCH(Data!$C86,F_Inputs!$G$2:$T$2,0))</f>
        <v>0</v>
      </c>
      <c r="W86" s="139">
        <f t="array" ref="W86">INDEX(F_Inputs!$G$4:$T$381,MATCH(Data!$B86&amp;Data!W$6,F_Inputs!$A$4:$A$381&amp;F_Inputs!$B$4:$B$381,0),MATCH(Data!$C86,F_Inputs!$G$2:$T$2,0))</f>
        <v>0</v>
      </c>
    </row>
    <row r="87" spans="1:23" x14ac:dyDescent="0.2">
      <c r="A87" s="141" t="s">
        <v>177</v>
      </c>
      <c r="B87" s="142" t="s">
        <v>109</v>
      </c>
      <c r="C87" s="142" t="s">
        <v>73</v>
      </c>
      <c r="D87" s="139">
        <f t="array" ref="D87">INDEX(F_Inputs!$G$4:$T$381,MATCH(Data!$B87&amp;Data!D$6,F_Inputs!$A$4:$A$381&amp;F_Inputs!$B$4:$B$381,0),MATCH(Data!$C87,F_Inputs!$G$2:$T$2,0))</f>
        <v>0</v>
      </c>
      <c r="E87" s="139">
        <f t="array" ref="E87">INDEX(F_Inputs!$G$4:$T$381,MATCH(Data!$B87&amp;Data!E$6,F_Inputs!$A$4:$A$381&amp;F_Inputs!$B$4:$B$381,0),MATCH(Data!$C87,F_Inputs!$G$2:$T$2,0))</f>
        <v>0</v>
      </c>
      <c r="F87" s="139">
        <f t="array" ref="F87">INDEX(F_Inputs!$G$4:$T$381,MATCH(Data!$B87&amp;Data!F$6,F_Inputs!$A$4:$A$381&amp;F_Inputs!$B$4:$B$381,0),MATCH(Data!$C87,F_Inputs!$G$2:$T$2,0))</f>
        <v>0</v>
      </c>
      <c r="G87" s="139">
        <f t="array" ref="G87">INDEX(F_Inputs!$G$4:$T$381,MATCH(Data!$B87&amp;Data!G$6,F_Inputs!$A$4:$A$381&amp;F_Inputs!$B$4:$B$381,0),MATCH(Data!$C87,F_Inputs!$G$2:$T$2,0))</f>
        <v>0</v>
      </c>
      <c r="I87" s="139">
        <f t="array" ref="I87">INDEX(F_Inputs!$G$4:$T$381,MATCH(Data!$B87&amp;Data!I$6,F_Inputs!$A$4:$A$381&amp;F_Inputs!$B$4:$B$381,0),MATCH(Data!$C87,F_Inputs!$G$2:$T$2,0))</f>
        <v>0</v>
      </c>
      <c r="J87" s="139">
        <f t="array" ref="J87">INDEX(F_Inputs!$G$4:$T$381,MATCH(Data!$B87&amp;Data!J$6,F_Inputs!$A$4:$A$381&amp;F_Inputs!$B$4:$B$381,0),MATCH(Data!$C87,F_Inputs!$G$2:$T$2,0))</f>
        <v>0</v>
      </c>
      <c r="K87" s="139">
        <f t="array" ref="K87">INDEX(F_Inputs!$G$4:$T$381,MATCH(Data!$B87&amp;Data!K$6,F_Inputs!$A$4:$A$381&amp;F_Inputs!$B$4:$B$381,0),MATCH(Data!$C87,F_Inputs!$G$2:$T$2,0))</f>
        <v>0</v>
      </c>
      <c r="L87" s="139">
        <f t="array" ref="L87">INDEX(F_Inputs!$G$4:$T$381,MATCH(Data!$B87&amp;Data!L$6,F_Inputs!$A$4:$A$381&amp;F_Inputs!$B$4:$B$381,0),MATCH(Data!$C87,F_Inputs!$G$2:$T$2,0))</f>
        <v>0</v>
      </c>
      <c r="N87" s="139">
        <f t="array" ref="N87">INDEX(F_Inputs!$G$4:$T$381,MATCH(Data!$B87&amp;Data!N$6,F_Inputs!$A$4:$A$381&amp;F_Inputs!$B$4:$B$381,0),MATCH(Data!$C87,F_Inputs!$G$2:$T$2,0))</f>
        <v>0</v>
      </c>
      <c r="P87" s="139">
        <f t="array" ref="P87">INDEX(F_Inputs!$G$4:$T$381,MATCH(Data!$B87&amp;Data!P$6,F_Inputs!$A$4:$A$381&amp;F_Inputs!$B$4:$B$381,0),MATCH(Data!$C87,F_Inputs!$G$2:$T$2,0))</f>
        <v>0</v>
      </c>
      <c r="Q87" s="139">
        <f t="array" ref="Q87">INDEX(F_Inputs!$G$4:$T$381,MATCH(Data!$B87&amp;Data!Q$6,F_Inputs!$A$4:$A$381&amp;F_Inputs!$B$4:$B$381,0),MATCH(Data!$C87,F_Inputs!$G$2:$T$2,0))</f>
        <v>0</v>
      </c>
      <c r="R87" s="139">
        <f t="array" ref="R87">INDEX(F_Inputs!$G$4:$T$381,MATCH(Data!$B87&amp;Data!R$6,F_Inputs!$A$4:$A$381&amp;F_Inputs!$B$4:$B$381,0),MATCH(Data!$C87,F_Inputs!$G$2:$T$2,0))</f>
        <v>0</v>
      </c>
      <c r="S87" s="139">
        <f t="array" ref="S87">INDEX(F_Inputs!$G$4:$T$381,MATCH(Data!$B87&amp;Data!S$6,F_Inputs!$A$4:$A$381&amp;F_Inputs!$B$4:$B$381,0),MATCH(Data!$C87,F_Inputs!$G$2:$T$2,0))</f>
        <v>0</v>
      </c>
      <c r="U87" s="139">
        <f t="array" ref="U87">INDEX(F_Inputs!$G$4:$T$381,MATCH(Data!$B87&amp;Data!U$6,F_Inputs!$A$4:$A$381&amp;F_Inputs!$B$4:$B$381,0),MATCH(Data!$C87,F_Inputs!$G$2:$T$2,0))</f>
        <v>0</v>
      </c>
      <c r="V87" s="139">
        <f t="array" ref="V87">INDEX(F_Inputs!$G$4:$T$381,MATCH(Data!$B87&amp;Data!V$6,F_Inputs!$A$4:$A$381&amp;F_Inputs!$B$4:$B$381,0),MATCH(Data!$C87,F_Inputs!$G$2:$T$2,0))</f>
        <v>0</v>
      </c>
      <c r="W87" s="139">
        <f t="array" ref="W87">INDEX(F_Inputs!$G$4:$T$381,MATCH(Data!$B87&amp;Data!W$6,F_Inputs!$A$4:$A$381&amp;F_Inputs!$B$4:$B$381,0),MATCH(Data!$C87,F_Inputs!$G$2:$T$2,0))</f>
        <v>0</v>
      </c>
    </row>
    <row r="88" spans="1:23" x14ac:dyDescent="0.2">
      <c r="A88" s="141" t="s">
        <v>178</v>
      </c>
      <c r="B88" s="142" t="s">
        <v>109</v>
      </c>
      <c r="C88" s="142" t="s">
        <v>74</v>
      </c>
      <c r="D88" s="139">
        <f t="array" ref="D88">INDEX(F_Inputs!$G$4:$T$381,MATCH(Data!$B88&amp;Data!D$6,F_Inputs!$A$4:$A$381&amp;F_Inputs!$B$4:$B$381,0),MATCH(Data!$C88,F_Inputs!$G$2:$T$2,0))</f>
        <v>0</v>
      </c>
      <c r="E88" s="139">
        <f t="array" ref="E88">INDEX(F_Inputs!$G$4:$T$381,MATCH(Data!$B88&amp;Data!E$6,F_Inputs!$A$4:$A$381&amp;F_Inputs!$B$4:$B$381,0),MATCH(Data!$C88,F_Inputs!$G$2:$T$2,0))</f>
        <v>0</v>
      </c>
      <c r="F88" s="139">
        <f t="array" ref="F88">INDEX(F_Inputs!$G$4:$T$381,MATCH(Data!$B88&amp;Data!F$6,F_Inputs!$A$4:$A$381&amp;F_Inputs!$B$4:$B$381,0),MATCH(Data!$C88,F_Inputs!$G$2:$T$2,0))</f>
        <v>0</v>
      </c>
      <c r="G88" s="139">
        <f t="array" ref="G88">INDEX(F_Inputs!$G$4:$T$381,MATCH(Data!$B88&amp;Data!G$6,F_Inputs!$A$4:$A$381&amp;F_Inputs!$B$4:$B$381,0),MATCH(Data!$C88,F_Inputs!$G$2:$T$2,0))</f>
        <v>0</v>
      </c>
      <c r="I88" s="139">
        <f t="array" ref="I88">INDEX(F_Inputs!$G$4:$T$381,MATCH(Data!$B88&amp;Data!I$6,F_Inputs!$A$4:$A$381&amp;F_Inputs!$B$4:$B$381,0),MATCH(Data!$C88,F_Inputs!$G$2:$T$2,0))</f>
        <v>0</v>
      </c>
      <c r="J88" s="139">
        <f t="array" ref="J88">INDEX(F_Inputs!$G$4:$T$381,MATCH(Data!$B88&amp;Data!J$6,F_Inputs!$A$4:$A$381&amp;F_Inputs!$B$4:$B$381,0),MATCH(Data!$C88,F_Inputs!$G$2:$T$2,0))</f>
        <v>0</v>
      </c>
      <c r="K88" s="139">
        <f t="array" ref="K88">INDEX(F_Inputs!$G$4:$T$381,MATCH(Data!$B88&amp;Data!K$6,F_Inputs!$A$4:$A$381&amp;F_Inputs!$B$4:$B$381,0),MATCH(Data!$C88,F_Inputs!$G$2:$T$2,0))</f>
        <v>0</v>
      </c>
      <c r="L88" s="139">
        <f t="array" ref="L88">INDEX(F_Inputs!$G$4:$T$381,MATCH(Data!$B88&amp;Data!L$6,F_Inputs!$A$4:$A$381&amp;F_Inputs!$B$4:$B$381,0),MATCH(Data!$C88,F_Inputs!$G$2:$T$2,0))</f>
        <v>0</v>
      </c>
      <c r="N88" s="139">
        <f t="array" ref="N88">INDEX(F_Inputs!$G$4:$T$381,MATCH(Data!$B88&amp;Data!N$6,F_Inputs!$A$4:$A$381&amp;F_Inputs!$B$4:$B$381,0),MATCH(Data!$C88,F_Inputs!$G$2:$T$2,0))</f>
        <v>0</v>
      </c>
      <c r="P88" s="139">
        <f t="array" ref="P88">INDEX(F_Inputs!$G$4:$T$381,MATCH(Data!$B88&amp;Data!P$6,F_Inputs!$A$4:$A$381&amp;F_Inputs!$B$4:$B$381,0),MATCH(Data!$C88,F_Inputs!$G$2:$T$2,0))</f>
        <v>0</v>
      </c>
      <c r="Q88" s="139">
        <f t="array" ref="Q88">INDEX(F_Inputs!$G$4:$T$381,MATCH(Data!$B88&amp;Data!Q$6,F_Inputs!$A$4:$A$381&amp;F_Inputs!$B$4:$B$381,0),MATCH(Data!$C88,F_Inputs!$G$2:$T$2,0))</f>
        <v>0</v>
      </c>
      <c r="R88" s="139">
        <f t="array" ref="R88">INDEX(F_Inputs!$G$4:$T$381,MATCH(Data!$B88&amp;Data!R$6,F_Inputs!$A$4:$A$381&amp;F_Inputs!$B$4:$B$381,0),MATCH(Data!$C88,F_Inputs!$G$2:$T$2,0))</f>
        <v>0</v>
      </c>
      <c r="S88" s="139">
        <f t="array" ref="S88">INDEX(F_Inputs!$G$4:$T$381,MATCH(Data!$B88&amp;Data!S$6,F_Inputs!$A$4:$A$381&amp;F_Inputs!$B$4:$B$381,0),MATCH(Data!$C88,F_Inputs!$G$2:$T$2,0))</f>
        <v>0</v>
      </c>
      <c r="U88" s="139">
        <f t="array" ref="U88">INDEX(F_Inputs!$G$4:$T$381,MATCH(Data!$B88&amp;Data!U$6,F_Inputs!$A$4:$A$381&amp;F_Inputs!$B$4:$B$381,0),MATCH(Data!$C88,F_Inputs!$G$2:$T$2,0))</f>
        <v>0</v>
      </c>
      <c r="V88" s="139">
        <f t="array" ref="V88">INDEX(F_Inputs!$G$4:$T$381,MATCH(Data!$B88&amp;Data!V$6,F_Inputs!$A$4:$A$381&amp;F_Inputs!$B$4:$B$381,0),MATCH(Data!$C88,F_Inputs!$G$2:$T$2,0))</f>
        <v>0</v>
      </c>
      <c r="W88" s="139">
        <f t="array" ref="W88">INDEX(F_Inputs!$G$4:$T$381,MATCH(Data!$B88&amp;Data!W$6,F_Inputs!$A$4:$A$381&amp;F_Inputs!$B$4:$B$381,0),MATCH(Data!$C88,F_Inputs!$G$2:$T$2,0))</f>
        <v>0</v>
      </c>
    </row>
    <row r="89" spans="1:23" x14ac:dyDescent="0.2">
      <c r="A89" s="141" t="s">
        <v>179</v>
      </c>
      <c r="B89" s="142" t="s">
        <v>109</v>
      </c>
      <c r="C89" s="142" t="s">
        <v>75</v>
      </c>
      <c r="D89" s="139">
        <f t="array" ref="D89">INDEX(F_Inputs!$G$4:$T$381,MATCH(Data!$B89&amp;Data!D$6,F_Inputs!$A$4:$A$381&amp;F_Inputs!$B$4:$B$381,0),MATCH(Data!$C89,F_Inputs!$G$2:$T$2,0))</f>
        <v>0</v>
      </c>
      <c r="E89" s="139">
        <f t="array" ref="E89">INDEX(F_Inputs!$G$4:$T$381,MATCH(Data!$B89&amp;Data!E$6,F_Inputs!$A$4:$A$381&amp;F_Inputs!$B$4:$B$381,0),MATCH(Data!$C89,F_Inputs!$G$2:$T$2,0))</f>
        <v>0</v>
      </c>
      <c r="F89" s="139">
        <f t="array" ref="F89">INDEX(F_Inputs!$G$4:$T$381,MATCH(Data!$B89&amp;Data!F$6,F_Inputs!$A$4:$A$381&amp;F_Inputs!$B$4:$B$381,0),MATCH(Data!$C89,F_Inputs!$G$2:$T$2,0))</f>
        <v>0</v>
      </c>
      <c r="G89" s="139">
        <f t="array" ref="G89">INDEX(F_Inputs!$G$4:$T$381,MATCH(Data!$B89&amp;Data!G$6,F_Inputs!$A$4:$A$381&amp;F_Inputs!$B$4:$B$381,0),MATCH(Data!$C89,F_Inputs!$G$2:$T$2,0))</f>
        <v>0</v>
      </c>
      <c r="I89" s="139">
        <f t="array" ref="I89">INDEX(F_Inputs!$G$4:$T$381,MATCH(Data!$B89&amp;Data!I$6,F_Inputs!$A$4:$A$381&amp;F_Inputs!$B$4:$B$381,0),MATCH(Data!$C89,F_Inputs!$G$2:$T$2,0))</f>
        <v>0</v>
      </c>
      <c r="J89" s="139">
        <f t="array" ref="J89">INDEX(F_Inputs!$G$4:$T$381,MATCH(Data!$B89&amp;Data!J$6,F_Inputs!$A$4:$A$381&amp;F_Inputs!$B$4:$B$381,0),MATCH(Data!$C89,F_Inputs!$G$2:$T$2,0))</f>
        <v>0</v>
      </c>
      <c r="K89" s="139">
        <f t="array" ref="K89">INDEX(F_Inputs!$G$4:$T$381,MATCH(Data!$B89&amp;Data!K$6,F_Inputs!$A$4:$A$381&amp;F_Inputs!$B$4:$B$381,0),MATCH(Data!$C89,F_Inputs!$G$2:$T$2,0))</f>
        <v>0</v>
      </c>
      <c r="L89" s="139">
        <f t="array" ref="L89">INDEX(F_Inputs!$G$4:$T$381,MATCH(Data!$B89&amp;Data!L$6,F_Inputs!$A$4:$A$381&amp;F_Inputs!$B$4:$B$381,0),MATCH(Data!$C89,F_Inputs!$G$2:$T$2,0))</f>
        <v>0</v>
      </c>
      <c r="N89" s="139">
        <f t="array" ref="N89">INDEX(F_Inputs!$G$4:$T$381,MATCH(Data!$B89&amp;Data!N$6,F_Inputs!$A$4:$A$381&amp;F_Inputs!$B$4:$B$381,0),MATCH(Data!$C89,F_Inputs!$G$2:$T$2,0))</f>
        <v>0</v>
      </c>
      <c r="P89" s="139">
        <f t="array" ref="P89">INDEX(F_Inputs!$G$4:$T$381,MATCH(Data!$B89&amp;Data!P$6,F_Inputs!$A$4:$A$381&amp;F_Inputs!$B$4:$B$381,0),MATCH(Data!$C89,F_Inputs!$G$2:$T$2,0))</f>
        <v>0</v>
      </c>
      <c r="Q89" s="139">
        <f t="array" ref="Q89">INDEX(F_Inputs!$G$4:$T$381,MATCH(Data!$B89&amp;Data!Q$6,F_Inputs!$A$4:$A$381&amp;F_Inputs!$B$4:$B$381,0),MATCH(Data!$C89,F_Inputs!$G$2:$T$2,0))</f>
        <v>0</v>
      </c>
      <c r="R89" s="139">
        <f t="array" ref="R89">INDEX(F_Inputs!$G$4:$T$381,MATCH(Data!$B89&amp;Data!R$6,F_Inputs!$A$4:$A$381&amp;F_Inputs!$B$4:$B$381,0),MATCH(Data!$C89,F_Inputs!$G$2:$T$2,0))</f>
        <v>0</v>
      </c>
      <c r="S89" s="139">
        <f t="array" ref="S89">INDEX(F_Inputs!$G$4:$T$381,MATCH(Data!$B89&amp;Data!S$6,F_Inputs!$A$4:$A$381&amp;F_Inputs!$B$4:$B$381,0),MATCH(Data!$C89,F_Inputs!$G$2:$T$2,0))</f>
        <v>0</v>
      </c>
      <c r="U89" s="139">
        <f t="array" ref="U89">INDEX(F_Inputs!$G$4:$T$381,MATCH(Data!$B89&amp;Data!U$6,F_Inputs!$A$4:$A$381&amp;F_Inputs!$B$4:$B$381,0),MATCH(Data!$C89,F_Inputs!$G$2:$T$2,0))</f>
        <v>0</v>
      </c>
      <c r="V89" s="139">
        <f t="array" ref="V89">INDEX(F_Inputs!$G$4:$T$381,MATCH(Data!$B89&amp;Data!V$6,F_Inputs!$A$4:$A$381&amp;F_Inputs!$B$4:$B$381,0),MATCH(Data!$C89,F_Inputs!$G$2:$T$2,0))</f>
        <v>0</v>
      </c>
      <c r="W89" s="139">
        <f t="array" ref="W89">INDEX(F_Inputs!$G$4:$T$381,MATCH(Data!$B89&amp;Data!W$6,F_Inputs!$A$4:$A$381&amp;F_Inputs!$B$4:$B$381,0),MATCH(Data!$C89,F_Inputs!$G$2:$T$2,0))</f>
        <v>0</v>
      </c>
    </row>
    <row r="90" spans="1:23" x14ac:dyDescent="0.2">
      <c r="A90" s="141" t="s">
        <v>180</v>
      </c>
      <c r="B90" s="142" t="s">
        <v>109</v>
      </c>
      <c r="C90" s="142" t="s">
        <v>76</v>
      </c>
      <c r="D90" s="139">
        <f t="array" ref="D90">INDEX(F_Inputs!$G$4:$T$381,MATCH(Data!$B90&amp;Data!D$6,F_Inputs!$A$4:$A$381&amp;F_Inputs!$B$4:$B$381,0),MATCH(Data!$C90,F_Inputs!$G$2:$T$2,0))</f>
        <v>0</v>
      </c>
      <c r="E90" s="139">
        <f t="array" ref="E90">INDEX(F_Inputs!$G$4:$T$381,MATCH(Data!$B90&amp;Data!E$6,F_Inputs!$A$4:$A$381&amp;F_Inputs!$B$4:$B$381,0),MATCH(Data!$C90,F_Inputs!$G$2:$T$2,0))</f>
        <v>0</v>
      </c>
      <c r="F90" s="139">
        <f t="array" ref="F90">INDEX(F_Inputs!$G$4:$T$381,MATCH(Data!$B90&amp;Data!F$6,F_Inputs!$A$4:$A$381&amp;F_Inputs!$B$4:$B$381,0),MATCH(Data!$C90,F_Inputs!$G$2:$T$2,0))</f>
        <v>0</v>
      </c>
      <c r="G90" s="139">
        <f t="array" ref="G90">INDEX(F_Inputs!$G$4:$T$381,MATCH(Data!$B90&amp;Data!G$6,F_Inputs!$A$4:$A$381&amp;F_Inputs!$B$4:$B$381,0),MATCH(Data!$C90,F_Inputs!$G$2:$T$2,0))</f>
        <v>0</v>
      </c>
      <c r="I90" s="139">
        <f t="array" ref="I90">INDEX(F_Inputs!$G$4:$T$381,MATCH(Data!$B90&amp;Data!I$6,F_Inputs!$A$4:$A$381&amp;F_Inputs!$B$4:$B$381,0),MATCH(Data!$C90,F_Inputs!$G$2:$T$2,0))</f>
        <v>0</v>
      </c>
      <c r="J90" s="139">
        <f t="array" ref="J90">INDEX(F_Inputs!$G$4:$T$381,MATCH(Data!$B90&amp;Data!J$6,F_Inputs!$A$4:$A$381&amp;F_Inputs!$B$4:$B$381,0),MATCH(Data!$C90,F_Inputs!$G$2:$T$2,0))</f>
        <v>0</v>
      </c>
      <c r="K90" s="139">
        <f t="array" ref="K90">INDEX(F_Inputs!$G$4:$T$381,MATCH(Data!$B90&amp;Data!K$6,F_Inputs!$A$4:$A$381&amp;F_Inputs!$B$4:$B$381,0),MATCH(Data!$C90,F_Inputs!$G$2:$T$2,0))</f>
        <v>0</v>
      </c>
      <c r="L90" s="139">
        <f t="array" ref="L90">INDEX(F_Inputs!$G$4:$T$381,MATCH(Data!$B90&amp;Data!L$6,F_Inputs!$A$4:$A$381&amp;F_Inputs!$B$4:$B$381,0),MATCH(Data!$C90,F_Inputs!$G$2:$T$2,0))</f>
        <v>0</v>
      </c>
      <c r="N90" s="139">
        <f t="array" ref="N90">INDEX(F_Inputs!$G$4:$T$381,MATCH(Data!$B90&amp;Data!N$6,F_Inputs!$A$4:$A$381&amp;F_Inputs!$B$4:$B$381,0),MATCH(Data!$C90,F_Inputs!$G$2:$T$2,0))</f>
        <v>0</v>
      </c>
      <c r="P90" s="139">
        <f t="array" ref="P90">INDEX(F_Inputs!$G$4:$T$381,MATCH(Data!$B90&amp;Data!P$6,F_Inputs!$A$4:$A$381&amp;F_Inputs!$B$4:$B$381,0),MATCH(Data!$C90,F_Inputs!$G$2:$T$2,0))</f>
        <v>0</v>
      </c>
      <c r="Q90" s="139">
        <f t="array" ref="Q90">INDEX(F_Inputs!$G$4:$T$381,MATCH(Data!$B90&amp;Data!Q$6,F_Inputs!$A$4:$A$381&amp;F_Inputs!$B$4:$B$381,0),MATCH(Data!$C90,F_Inputs!$G$2:$T$2,0))</f>
        <v>0</v>
      </c>
      <c r="R90" s="139">
        <f t="array" ref="R90">INDEX(F_Inputs!$G$4:$T$381,MATCH(Data!$B90&amp;Data!R$6,F_Inputs!$A$4:$A$381&amp;F_Inputs!$B$4:$B$381,0),MATCH(Data!$C90,F_Inputs!$G$2:$T$2,0))</f>
        <v>0</v>
      </c>
      <c r="S90" s="139">
        <f t="array" ref="S90">INDEX(F_Inputs!$G$4:$T$381,MATCH(Data!$B90&amp;Data!S$6,F_Inputs!$A$4:$A$381&amp;F_Inputs!$B$4:$B$381,0),MATCH(Data!$C90,F_Inputs!$G$2:$T$2,0))</f>
        <v>0</v>
      </c>
      <c r="U90" s="139">
        <f t="array" ref="U90">INDEX(F_Inputs!$G$4:$T$381,MATCH(Data!$B90&amp;Data!U$6,F_Inputs!$A$4:$A$381&amp;F_Inputs!$B$4:$B$381,0),MATCH(Data!$C90,F_Inputs!$G$2:$T$2,0))</f>
        <v>0</v>
      </c>
      <c r="V90" s="139">
        <f t="array" ref="V90">INDEX(F_Inputs!$G$4:$T$381,MATCH(Data!$B90&amp;Data!V$6,F_Inputs!$A$4:$A$381&amp;F_Inputs!$B$4:$B$381,0),MATCH(Data!$C90,F_Inputs!$G$2:$T$2,0))</f>
        <v>0</v>
      </c>
      <c r="W90" s="139">
        <f t="array" ref="W90">INDEX(F_Inputs!$G$4:$T$381,MATCH(Data!$B90&amp;Data!W$6,F_Inputs!$A$4:$A$381&amp;F_Inputs!$B$4:$B$381,0),MATCH(Data!$C90,F_Inputs!$G$2:$T$2,0))</f>
        <v>0</v>
      </c>
    </row>
    <row r="91" spans="1:23" x14ac:dyDescent="0.2">
      <c r="A91" s="141" t="s">
        <v>181</v>
      </c>
      <c r="B91" s="142" t="s">
        <v>109</v>
      </c>
      <c r="C91" s="142" t="s">
        <v>24</v>
      </c>
      <c r="D91" s="139">
        <f t="array" ref="D91">INDEX(F_Inputs!$G$4:$T$381,MATCH(Data!$B91&amp;Data!D$6,F_Inputs!$A$4:$A$381&amp;F_Inputs!$B$4:$B$381,0),MATCH(Data!$C91,F_Inputs!$G$2:$T$2,0))</f>
        <v>0</v>
      </c>
      <c r="E91" s="139">
        <f t="array" ref="E91">INDEX(F_Inputs!$G$4:$T$381,MATCH(Data!$B91&amp;Data!E$6,F_Inputs!$A$4:$A$381&amp;F_Inputs!$B$4:$B$381,0),MATCH(Data!$C91,F_Inputs!$G$2:$T$2,0))</f>
        <v>0</v>
      </c>
      <c r="F91" s="139">
        <f t="array" ref="F91">INDEX(F_Inputs!$G$4:$T$381,MATCH(Data!$B91&amp;Data!F$6,F_Inputs!$A$4:$A$381&amp;F_Inputs!$B$4:$B$381,0),MATCH(Data!$C91,F_Inputs!$G$2:$T$2,0))</f>
        <v>0</v>
      </c>
      <c r="G91" s="139">
        <f t="array" ref="G91">INDEX(F_Inputs!$G$4:$T$381,MATCH(Data!$B91&amp;Data!G$6,F_Inputs!$A$4:$A$381&amp;F_Inputs!$B$4:$B$381,0),MATCH(Data!$C91,F_Inputs!$G$2:$T$2,0))</f>
        <v>0</v>
      </c>
      <c r="I91" s="139">
        <f t="array" ref="I91">INDEX(F_Inputs!$G$4:$T$381,MATCH(Data!$B91&amp;Data!I$6,F_Inputs!$A$4:$A$381&amp;F_Inputs!$B$4:$B$381,0),MATCH(Data!$C91,F_Inputs!$G$2:$T$2,0))</f>
        <v>0</v>
      </c>
      <c r="J91" s="139">
        <f t="array" ref="J91">INDEX(F_Inputs!$G$4:$T$381,MATCH(Data!$B91&amp;Data!J$6,F_Inputs!$A$4:$A$381&amp;F_Inputs!$B$4:$B$381,0),MATCH(Data!$C91,F_Inputs!$G$2:$T$2,0))</f>
        <v>0</v>
      </c>
      <c r="K91" s="139">
        <f t="array" ref="K91">INDEX(F_Inputs!$G$4:$T$381,MATCH(Data!$B91&amp;Data!K$6,F_Inputs!$A$4:$A$381&amp;F_Inputs!$B$4:$B$381,0),MATCH(Data!$C91,F_Inputs!$G$2:$T$2,0))</f>
        <v>0</v>
      </c>
      <c r="L91" s="139">
        <f t="array" ref="L91">INDEX(F_Inputs!$G$4:$T$381,MATCH(Data!$B91&amp;Data!L$6,F_Inputs!$A$4:$A$381&amp;F_Inputs!$B$4:$B$381,0),MATCH(Data!$C91,F_Inputs!$G$2:$T$2,0))</f>
        <v>0</v>
      </c>
      <c r="N91" s="139">
        <f t="array" ref="N91">INDEX(F_Inputs!$G$4:$T$381,MATCH(Data!$B91&amp;Data!N$6,F_Inputs!$A$4:$A$381&amp;F_Inputs!$B$4:$B$381,0),MATCH(Data!$C91,F_Inputs!$G$2:$T$2,0))</f>
        <v>0</v>
      </c>
      <c r="P91" s="139">
        <f t="array" ref="P91">INDEX(F_Inputs!$G$4:$T$381,MATCH(Data!$B91&amp;Data!P$6,F_Inputs!$A$4:$A$381&amp;F_Inputs!$B$4:$B$381,0),MATCH(Data!$C91,F_Inputs!$G$2:$T$2,0))</f>
        <v>0</v>
      </c>
      <c r="Q91" s="139">
        <f t="array" ref="Q91">INDEX(F_Inputs!$G$4:$T$381,MATCH(Data!$B91&amp;Data!Q$6,F_Inputs!$A$4:$A$381&amp;F_Inputs!$B$4:$B$381,0),MATCH(Data!$C91,F_Inputs!$G$2:$T$2,0))</f>
        <v>0</v>
      </c>
      <c r="R91" s="139">
        <f t="array" ref="R91">INDEX(F_Inputs!$G$4:$T$381,MATCH(Data!$B91&amp;Data!R$6,F_Inputs!$A$4:$A$381&amp;F_Inputs!$B$4:$B$381,0),MATCH(Data!$C91,F_Inputs!$G$2:$T$2,0))</f>
        <v>0</v>
      </c>
      <c r="S91" s="139">
        <f t="array" ref="S91">INDEX(F_Inputs!$G$4:$T$381,MATCH(Data!$B91&amp;Data!S$6,F_Inputs!$A$4:$A$381&amp;F_Inputs!$B$4:$B$381,0),MATCH(Data!$C91,F_Inputs!$G$2:$T$2,0))</f>
        <v>0</v>
      </c>
      <c r="U91" s="139">
        <f t="array" ref="U91">INDEX(F_Inputs!$G$4:$T$381,MATCH(Data!$B91&amp;Data!U$6,F_Inputs!$A$4:$A$381&amp;F_Inputs!$B$4:$B$381,0),MATCH(Data!$C91,F_Inputs!$G$2:$T$2,0))</f>
        <v>0</v>
      </c>
      <c r="V91" s="139">
        <f t="array" ref="V91">INDEX(F_Inputs!$G$4:$T$381,MATCH(Data!$B91&amp;Data!V$6,F_Inputs!$A$4:$A$381&amp;F_Inputs!$B$4:$B$381,0),MATCH(Data!$C91,F_Inputs!$G$2:$T$2,0))</f>
        <v>0</v>
      </c>
      <c r="W91" s="139">
        <f t="array" ref="W91">INDEX(F_Inputs!$G$4:$T$381,MATCH(Data!$B91&amp;Data!W$6,F_Inputs!$A$4:$A$381&amp;F_Inputs!$B$4:$B$381,0),MATCH(Data!$C91,F_Inputs!$G$2:$T$2,0))</f>
        <v>0</v>
      </c>
    </row>
    <row r="92" spans="1:23" x14ac:dyDescent="0.2">
      <c r="A92" s="138" t="str">
        <f t="shared" si="4"/>
        <v>SWB17</v>
      </c>
      <c r="B92" s="19" t="s">
        <v>108</v>
      </c>
      <c r="C92" s="143" t="s">
        <v>69</v>
      </c>
      <c r="D92" s="274">
        <f t="array" ref="D92">INDEX(F_Inputs!$G$4:$T$381,MATCH(Data!$B92&amp;Data!D$6,F_Inputs!$A$4:$A$381&amp;F_Inputs!$B$4:$B$381,0),MATCH(Data!$C92,F_Inputs!$G$2:$T$2,0))</f>
        <v>0</v>
      </c>
      <c r="E92" s="274">
        <f t="array" ref="E92">INDEX(F_Inputs!$G$4:$T$381,MATCH(Data!$B92&amp;Data!E$6,F_Inputs!$A$4:$A$381&amp;F_Inputs!$B$4:$B$381,0),MATCH(Data!$C92,F_Inputs!$G$2:$T$2,0))</f>
        <v>0</v>
      </c>
      <c r="F92" s="274">
        <f t="array" ref="F92">INDEX(F_Inputs!$G$4:$T$381,MATCH(Data!$B92&amp;Data!F$6,F_Inputs!$A$4:$A$381&amp;F_Inputs!$B$4:$B$381,0),MATCH(Data!$C92,F_Inputs!$G$2:$T$2,0))</f>
        <v>0</v>
      </c>
      <c r="G92" s="274">
        <f t="array" ref="G92">INDEX(F_Inputs!$G$4:$T$381,MATCH(Data!$B92&amp;Data!G$6,F_Inputs!$A$4:$A$381&amp;F_Inputs!$B$4:$B$381,0),MATCH(Data!$C92,F_Inputs!$G$2:$T$2,0))</f>
        <v>0</v>
      </c>
      <c r="I92" s="139">
        <f t="array" ref="I92">INDEX(F_Inputs!$G$4:$T$381,MATCH(Data!$B92&amp;Data!I$6,F_Inputs!$A$4:$A$381&amp;F_Inputs!$B$4:$B$381,0),MATCH(Data!$C92,F_Inputs!$G$2:$T$2,0))</f>
        <v>0</v>
      </c>
      <c r="J92" s="139">
        <f t="array" ref="J92">INDEX(F_Inputs!$G$4:$T$381,MATCH(Data!$B92&amp;Data!J$6,F_Inputs!$A$4:$A$381&amp;F_Inputs!$B$4:$B$381,0),MATCH(Data!$C92,F_Inputs!$G$2:$T$2,0))</f>
        <v>0</v>
      </c>
      <c r="K92" s="139">
        <f t="array" ref="K92">INDEX(F_Inputs!$G$4:$T$381,MATCH(Data!$B92&amp;Data!K$6,F_Inputs!$A$4:$A$381&amp;F_Inputs!$B$4:$B$381,0),MATCH(Data!$C92,F_Inputs!$G$2:$T$2,0))</f>
        <v>0</v>
      </c>
      <c r="L92" s="139">
        <f t="array" ref="L92">INDEX(F_Inputs!$G$4:$T$381,MATCH(Data!$B92&amp;Data!L$6,F_Inputs!$A$4:$A$381&amp;F_Inputs!$B$4:$B$381,0),MATCH(Data!$C92,F_Inputs!$G$2:$T$2,0))</f>
        <v>0</v>
      </c>
      <c r="N92" s="139">
        <f t="array" ref="N92">INDEX(F_Inputs!$G$4:$T$381,MATCH(Data!$B92&amp;Data!N$6,F_Inputs!$A$4:$A$381&amp;F_Inputs!$B$4:$B$381,0),MATCH(Data!$C92,F_Inputs!$G$2:$T$2,0))</f>
        <v>171.92593992613899</v>
      </c>
      <c r="P92" s="139">
        <f t="array" ref="P92">INDEX(F_Inputs!$G$4:$T$381,MATCH(Data!$B92&amp;Data!P$6,F_Inputs!$A$4:$A$381&amp;F_Inputs!$B$4:$B$381,0),MATCH(Data!$C92,F_Inputs!$G$2:$T$2,0))</f>
        <v>0</v>
      </c>
      <c r="Q92" s="139">
        <f t="array" ref="Q92">INDEX(F_Inputs!$G$4:$T$381,MATCH(Data!$B92&amp;Data!Q$6,F_Inputs!$A$4:$A$381&amp;F_Inputs!$B$4:$B$381,0),MATCH(Data!$C92,F_Inputs!$G$2:$T$2,0))</f>
        <v>0</v>
      </c>
      <c r="R92" s="139">
        <f t="array" ref="R92">INDEX(F_Inputs!$G$4:$T$381,MATCH(Data!$B92&amp;Data!R$6,F_Inputs!$A$4:$A$381&amp;F_Inputs!$B$4:$B$381,0),MATCH(Data!$C92,F_Inputs!$G$2:$T$2,0))</f>
        <v>0</v>
      </c>
      <c r="S92" s="139">
        <f t="array" ref="S92">INDEX(F_Inputs!$G$4:$T$381,MATCH(Data!$B92&amp;Data!S$6,F_Inputs!$A$4:$A$381&amp;F_Inputs!$B$4:$B$381,0),MATCH(Data!$C92,F_Inputs!$G$2:$T$2,0))</f>
        <v>0</v>
      </c>
      <c r="U92" s="139">
        <f t="array" ref="U92">INDEX(F_Inputs!$G$4:$T$381,MATCH(Data!$B92&amp;Data!U$6,F_Inputs!$A$4:$A$381&amp;F_Inputs!$B$4:$B$381,0),MATCH(Data!$C92,F_Inputs!$G$2:$T$2,0))</f>
        <v>0</v>
      </c>
      <c r="V92" s="139">
        <f t="array" ref="V92">INDEX(F_Inputs!$G$4:$T$381,MATCH(Data!$B92&amp;Data!V$6,F_Inputs!$A$4:$A$381&amp;F_Inputs!$B$4:$B$381,0),MATCH(Data!$C92,F_Inputs!$G$2:$T$2,0))</f>
        <v>0</v>
      </c>
      <c r="W92" s="139">
        <f t="array" ref="W92">INDEX(F_Inputs!$G$4:$T$381,MATCH(Data!$B92&amp;Data!W$6,F_Inputs!$A$4:$A$381&amp;F_Inputs!$B$4:$B$381,0),MATCH(Data!$C92,F_Inputs!$G$2:$T$2,0))</f>
        <v>0</v>
      </c>
    </row>
    <row r="93" spans="1:23" x14ac:dyDescent="0.2">
      <c r="A93" s="141" t="s">
        <v>182</v>
      </c>
      <c r="B93" s="142" t="s">
        <v>108</v>
      </c>
      <c r="C93" s="142" t="s">
        <v>70</v>
      </c>
      <c r="D93" s="274">
        <f t="array" ref="D93">INDEX(F_Inputs!$G$4:$T$381,MATCH(Data!$B93&amp;Data!D$6,F_Inputs!$A$4:$A$381&amp;F_Inputs!$B$4:$B$381,0),MATCH(Data!$C93,F_Inputs!$G$2:$T$2,0))</f>
        <v>0</v>
      </c>
      <c r="E93" s="274">
        <f t="array" ref="E93">INDEX(F_Inputs!$G$4:$T$381,MATCH(Data!$B93&amp;Data!E$6,F_Inputs!$A$4:$A$381&amp;F_Inputs!$B$4:$B$381,0),MATCH(Data!$C93,F_Inputs!$G$2:$T$2,0))</f>
        <v>5.8999999999999997E-2</v>
      </c>
      <c r="F93" s="274">
        <f t="array" ref="F93">INDEX(F_Inputs!$G$4:$T$381,MATCH(Data!$B93&amp;Data!F$6,F_Inputs!$A$4:$A$381&amp;F_Inputs!$B$4:$B$381,0),MATCH(Data!$C93,F_Inputs!$G$2:$T$2,0))</f>
        <v>0</v>
      </c>
      <c r="G93" s="274">
        <f t="array" ref="G93">INDEX(F_Inputs!$G$4:$T$381,MATCH(Data!$B93&amp;Data!G$6,F_Inputs!$A$4:$A$381&amp;F_Inputs!$B$4:$B$381,0),MATCH(Data!$C93,F_Inputs!$G$2:$T$2,0))</f>
        <v>0</v>
      </c>
      <c r="I93" s="139">
        <f t="array" ref="I93">INDEX(F_Inputs!$G$4:$T$381,MATCH(Data!$B93&amp;Data!I$6,F_Inputs!$A$4:$A$381&amp;F_Inputs!$B$4:$B$381,0),MATCH(Data!$C93,F_Inputs!$G$2:$T$2,0))</f>
        <v>0</v>
      </c>
      <c r="J93" s="139">
        <f t="array" ref="J93">INDEX(F_Inputs!$G$4:$T$381,MATCH(Data!$B93&amp;Data!J$6,F_Inputs!$A$4:$A$381&amp;F_Inputs!$B$4:$B$381,0),MATCH(Data!$C93,F_Inputs!$G$2:$T$2,0))</f>
        <v>0</v>
      </c>
      <c r="K93" s="139">
        <f t="array" ref="K93">INDEX(F_Inputs!$G$4:$T$381,MATCH(Data!$B93&amp;Data!K$6,F_Inputs!$A$4:$A$381&amp;F_Inputs!$B$4:$B$381,0),MATCH(Data!$C93,F_Inputs!$G$2:$T$2,0))</f>
        <v>0</v>
      </c>
      <c r="L93" s="139">
        <f t="array" ref="L93">INDEX(F_Inputs!$G$4:$T$381,MATCH(Data!$B93&amp;Data!L$6,F_Inputs!$A$4:$A$381&amp;F_Inputs!$B$4:$B$381,0),MATCH(Data!$C93,F_Inputs!$G$2:$T$2,0))</f>
        <v>0</v>
      </c>
      <c r="N93" s="139">
        <f t="array" ref="N93">INDEX(F_Inputs!$G$4:$T$381,MATCH(Data!$B93&amp;Data!N$6,F_Inputs!$A$4:$A$381&amp;F_Inputs!$B$4:$B$381,0),MATCH(Data!$C93,F_Inputs!$G$2:$T$2,0))</f>
        <v>175.102</v>
      </c>
      <c r="P93" s="139">
        <f t="array" ref="P93">INDEX(F_Inputs!$G$4:$T$381,MATCH(Data!$B93&amp;Data!P$6,F_Inputs!$A$4:$A$381&amp;F_Inputs!$B$4:$B$381,0),MATCH(Data!$C93,F_Inputs!$G$2:$T$2,0))</f>
        <v>0</v>
      </c>
      <c r="Q93" s="139">
        <f t="array" ref="Q93">INDEX(F_Inputs!$G$4:$T$381,MATCH(Data!$B93&amp;Data!Q$6,F_Inputs!$A$4:$A$381&amp;F_Inputs!$B$4:$B$381,0),MATCH(Data!$C93,F_Inputs!$G$2:$T$2,0))</f>
        <v>0</v>
      </c>
      <c r="R93" s="139">
        <f t="array" ref="R93">INDEX(F_Inputs!$G$4:$T$381,MATCH(Data!$B93&amp;Data!R$6,F_Inputs!$A$4:$A$381&amp;F_Inputs!$B$4:$B$381,0),MATCH(Data!$C93,F_Inputs!$G$2:$T$2,0))</f>
        <v>0</v>
      </c>
      <c r="S93" s="139">
        <f t="array" ref="S93">INDEX(F_Inputs!$G$4:$T$381,MATCH(Data!$B93&amp;Data!S$6,F_Inputs!$A$4:$A$381&amp;F_Inputs!$B$4:$B$381,0),MATCH(Data!$C93,F_Inputs!$G$2:$T$2,0))</f>
        <v>0</v>
      </c>
      <c r="U93" s="139">
        <f t="array" ref="U93">INDEX(F_Inputs!$G$4:$T$381,MATCH(Data!$B93&amp;Data!U$6,F_Inputs!$A$4:$A$381&amp;F_Inputs!$B$4:$B$381,0),MATCH(Data!$C93,F_Inputs!$G$2:$T$2,0))</f>
        <v>102.46</v>
      </c>
      <c r="V93" s="139">
        <f t="array" ref="V93">INDEX(F_Inputs!$G$4:$T$381,MATCH(Data!$B93&amp;Data!V$6,F_Inputs!$A$4:$A$381&amp;F_Inputs!$B$4:$B$381,0),MATCH(Data!$C93,F_Inputs!$G$2:$T$2,0))</f>
        <v>18233</v>
      </c>
      <c r="W93" s="139">
        <f t="array" ref="W93">INDEX(F_Inputs!$G$4:$T$381,MATCH(Data!$B93&amp;Data!W$6,F_Inputs!$A$4:$A$381&amp;F_Inputs!$B$4:$B$381,0),MATCH(Data!$C93,F_Inputs!$G$2:$T$2,0))</f>
        <v>1044.365</v>
      </c>
    </row>
    <row r="94" spans="1:23" x14ac:dyDescent="0.2">
      <c r="A94" s="141" t="s">
        <v>183</v>
      </c>
      <c r="B94" s="142" t="s">
        <v>108</v>
      </c>
      <c r="C94" s="142" t="s">
        <v>71</v>
      </c>
      <c r="D94" s="274">
        <f t="array" ref="D94">INDEX(F_Inputs!$G$4:$T$381,MATCH(Data!$B94&amp;Data!D$6,F_Inputs!$A$4:$A$381&amp;F_Inputs!$B$4:$B$381,0),MATCH(Data!$C94,F_Inputs!$G$2:$T$2,0))</f>
        <v>0</v>
      </c>
      <c r="E94" s="274">
        <f t="array" ref="E94">INDEX(F_Inputs!$G$4:$T$381,MATCH(Data!$B94&amp;Data!E$6,F_Inputs!$A$4:$A$381&amp;F_Inputs!$B$4:$B$381,0),MATCH(Data!$C94,F_Inputs!$G$2:$T$2,0))</f>
        <v>0</v>
      </c>
      <c r="F94" s="274">
        <f t="array" ref="F94">INDEX(F_Inputs!$G$4:$T$381,MATCH(Data!$B94&amp;Data!F$6,F_Inputs!$A$4:$A$381&amp;F_Inputs!$B$4:$B$381,0),MATCH(Data!$C94,F_Inputs!$G$2:$T$2,0))</f>
        <v>0</v>
      </c>
      <c r="G94" s="274">
        <f t="array" ref="G94">INDEX(F_Inputs!$G$4:$T$381,MATCH(Data!$B94&amp;Data!G$6,F_Inputs!$A$4:$A$381&amp;F_Inputs!$B$4:$B$381,0),MATCH(Data!$C94,F_Inputs!$G$2:$T$2,0))</f>
        <v>0</v>
      </c>
      <c r="I94" s="139">
        <f t="array" ref="I94">INDEX(F_Inputs!$G$4:$T$381,MATCH(Data!$B94&amp;Data!I$6,F_Inputs!$A$4:$A$381&amp;F_Inputs!$B$4:$B$381,0),MATCH(Data!$C94,F_Inputs!$G$2:$T$2,0))</f>
        <v>0</v>
      </c>
      <c r="J94" s="139">
        <f t="array" ref="J94">INDEX(F_Inputs!$G$4:$T$381,MATCH(Data!$B94&amp;Data!J$6,F_Inputs!$A$4:$A$381&amp;F_Inputs!$B$4:$B$381,0),MATCH(Data!$C94,F_Inputs!$G$2:$T$2,0))</f>
        <v>0</v>
      </c>
      <c r="K94" s="139">
        <f t="array" ref="K94">INDEX(F_Inputs!$G$4:$T$381,MATCH(Data!$B94&amp;Data!K$6,F_Inputs!$A$4:$A$381&amp;F_Inputs!$B$4:$B$381,0),MATCH(Data!$C94,F_Inputs!$G$2:$T$2,0))</f>
        <v>0</v>
      </c>
      <c r="L94" s="139">
        <f t="array" ref="L94">INDEX(F_Inputs!$G$4:$T$381,MATCH(Data!$B94&amp;Data!L$6,F_Inputs!$A$4:$A$381&amp;F_Inputs!$B$4:$B$381,0),MATCH(Data!$C94,F_Inputs!$G$2:$T$2,0))</f>
        <v>0</v>
      </c>
      <c r="N94" s="139">
        <f t="array" ref="N94">INDEX(F_Inputs!$G$4:$T$381,MATCH(Data!$B94&amp;Data!N$6,F_Inputs!$A$4:$A$381&amp;F_Inputs!$B$4:$B$381,0),MATCH(Data!$C94,F_Inputs!$G$2:$T$2,0))</f>
        <v>146.79622348987999</v>
      </c>
      <c r="P94" s="139">
        <f t="array" ref="P94">INDEX(F_Inputs!$G$4:$T$381,MATCH(Data!$B94&amp;Data!P$6,F_Inputs!$A$4:$A$381&amp;F_Inputs!$B$4:$B$381,0),MATCH(Data!$C94,F_Inputs!$G$2:$T$2,0))</f>
        <v>0</v>
      </c>
      <c r="Q94" s="139">
        <f t="array" ref="Q94">INDEX(F_Inputs!$G$4:$T$381,MATCH(Data!$B94&amp;Data!Q$6,F_Inputs!$A$4:$A$381&amp;F_Inputs!$B$4:$B$381,0),MATCH(Data!$C94,F_Inputs!$G$2:$T$2,0))</f>
        <v>0</v>
      </c>
      <c r="R94" s="139">
        <f t="array" ref="R94">INDEX(F_Inputs!$G$4:$T$381,MATCH(Data!$B94&amp;Data!R$6,F_Inputs!$A$4:$A$381&amp;F_Inputs!$B$4:$B$381,0),MATCH(Data!$C94,F_Inputs!$G$2:$T$2,0))</f>
        <v>7.06</v>
      </c>
      <c r="S94" s="139">
        <f t="array" ref="S94">INDEX(F_Inputs!$G$4:$T$381,MATCH(Data!$B94&amp;Data!S$6,F_Inputs!$A$4:$A$381&amp;F_Inputs!$B$4:$B$381,0),MATCH(Data!$C94,F_Inputs!$G$2:$T$2,0))</f>
        <v>7.06</v>
      </c>
      <c r="U94" s="139">
        <f t="array" ref="U94">INDEX(F_Inputs!$G$4:$T$381,MATCH(Data!$B94&amp;Data!U$6,F_Inputs!$A$4:$A$381&amp;F_Inputs!$B$4:$B$381,0),MATCH(Data!$C94,F_Inputs!$G$2:$T$2,0))</f>
        <v>117.53</v>
      </c>
      <c r="V94" s="139">
        <f t="array" ref="V94">INDEX(F_Inputs!$G$4:$T$381,MATCH(Data!$B94&amp;Data!V$6,F_Inputs!$A$4:$A$381&amp;F_Inputs!$B$4:$B$381,0),MATCH(Data!$C94,F_Inputs!$G$2:$T$2,0))</f>
        <v>18288</v>
      </c>
      <c r="W94" s="139">
        <f t="array" ref="W94">INDEX(F_Inputs!$G$4:$T$381,MATCH(Data!$B94&amp;Data!W$6,F_Inputs!$A$4:$A$381&amp;F_Inputs!$B$4:$B$381,0),MATCH(Data!$C94,F_Inputs!$G$2:$T$2,0))</f>
        <v>1054.403</v>
      </c>
    </row>
    <row r="95" spans="1:23" x14ac:dyDescent="0.2">
      <c r="A95" s="141" t="s">
        <v>184</v>
      </c>
      <c r="B95" s="142" t="s">
        <v>108</v>
      </c>
      <c r="C95" s="142" t="s">
        <v>72</v>
      </c>
      <c r="D95" s="274">
        <f t="array" ref="D95">INDEX(F_Inputs!$G$4:$T$381,MATCH(Data!$B95&amp;Data!D$6,F_Inputs!$A$4:$A$381&amp;F_Inputs!$B$4:$B$381,0),MATCH(Data!$C95,F_Inputs!$G$2:$T$2,0))</f>
        <v>0</v>
      </c>
      <c r="E95" s="274">
        <f t="array" ref="E95">INDEX(F_Inputs!$G$4:$T$381,MATCH(Data!$B95&amp;Data!E$6,F_Inputs!$A$4:$A$381&amp;F_Inputs!$B$4:$B$381,0),MATCH(Data!$C95,F_Inputs!$G$2:$T$2,0))</f>
        <v>0</v>
      </c>
      <c r="F95" s="274">
        <f t="array" ref="F95">INDEX(F_Inputs!$G$4:$T$381,MATCH(Data!$B95&amp;Data!F$6,F_Inputs!$A$4:$A$381&amp;F_Inputs!$B$4:$B$381,0),MATCH(Data!$C95,F_Inputs!$G$2:$T$2,0))</f>
        <v>0</v>
      </c>
      <c r="G95" s="274">
        <f t="array" ref="G95">INDEX(F_Inputs!$G$4:$T$381,MATCH(Data!$B95&amp;Data!G$6,F_Inputs!$A$4:$A$381&amp;F_Inputs!$B$4:$B$381,0),MATCH(Data!$C95,F_Inputs!$G$2:$T$2,0))</f>
        <v>0</v>
      </c>
      <c r="I95" s="139">
        <f t="array" ref="I95">INDEX(F_Inputs!$G$4:$T$381,MATCH(Data!$B95&amp;Data!I$6,F_Inputs!$A$4:$A$381&amp;F_Inputs!$B$4:$B$381,0),MATCH(Data!$C95,F_Inputs!$G$2:$T$2,0))</f>
        <v>0</v>
      </c>
      <c r="J95" s="139">
        <f t="array" ref="J95">INDEX(F_Inputs!$G$4:$T$381,MATCH(Data!$B95&amp;Data!J$6,F_Inputs!$A$4:$A$381&amp;F_Inputs!$B$4:$B$381,0),MATCH(Data!$C95,F_Inputs!$G$2:$T$2,0))</f>
        <v>0</v>
      </c>
      <c r="K95" s="139">
        <f t="array" ref="K95">INDEX(F_Inputs!$G$4:$T$381,MATCH(Data!$B95&amp;Data!K$6,F_Inputs!$A$4:$A$381&amp;F_Inputs!$B$4:$B$381,0),MATCH(Data!$C95,F_Inputs!$G$2:$T$2,0))</f>
        <v>0</v>
      </c>
      <c r="L95" s="139">
        <f t="array" ref="L95">INDEX(F_Inputs!$G$4:$T$381,MATCH(Data!$B95&amp;Data!L$6,F_Inputs!$A$4:$A$381&amp;F_Inputs!$B$4:$B$381,0),MATCH(Data!$C95,F_Inputs!$G$2:$T$2,0))</f>
        <v>0</v>
      </c>
      <c r="N95" s="139">
        <f t="array" ref="N95">INDEX(F_Inputs!$G$4:$T$381,MATCH(Data!$B95&amp;Data!N$6,F_Inputs!$A$4:$A$381&amp;F_Inputs!$B$4:$B$381,0),MATCH(Data!$C95,F_Inputs!$G$2:$T$2,0))</f>
        <v>138.72747678160999</v>
      </c>
      <c r="P95" s="139">
        <f t="array" ref="P95">INDEX(F_Inputs!$G$4:$T$381,MATCH(Data!$B95&amp;Data!P$6,F_Inputs!$A$4:$A$381&amp;F_Inputs!$B$4:$B$381,0),MATCH(Data!$C95,F_Inputs!$G$2:$T$2,0))</f>
        <v>0</v>
      </c>
      <c r="Q95" s="139">
        <f t="array" ref="Q95">INDEX(F_Inputs!$G$4:$T$381,MATCH(Data!$B95&amp;Data!Q$6,F_Inputs!$A$4:$A$381&amp;F_Inputs!$B$4:$B$381,0),MATCH(Data!$C95,F_Inputs!$G$2:$T$2,0))</f>
        <v>0</v>
      </c>
      <c r="R95" s="139">
        <f t="array" ref="R95">INDEX(F_Inputs!$G$4:$T$381,MATCH(Data!$B95&amp;Data!R$6,F_Inputs!$A$4:$A$381&amp;F_Inputs!$B$4:$B$381,0),MATCH(Data!$C95,F_Inputs!$G$2:$T$2,0))</f>
        <v>1.33</v>
      </c>
      <c r="S95" s="139">
        <f t="array" ref="S95">INDEX(F_Inputs!$G$4:$T$381,MATCH(Data!$B95&amp;Data!S$6,F_Inputs!$A$4:$A$381&amp;F_Inputs!$B$4:$B$381,0),MATCH(Data!$C95,F_Inputs!$G$2:$T$2,0))</f>
        <v>1.33</v>
      </c>
      <c r="U95" s="139">
        <f t="array" ref="U95">INDEX(F_Inputs!$G$4:$T$381,MATCH(Data!$B95&amp;Data!U$6,F_Inputs!$A$4:$A$381&amp;F_Inputs!$B$4:$B$381,0),MATCH(Data!$C95,F_Inputs!$G$2:$T$2,0))</f>
        <v>116.2</v>
      </c>
      <c r="V95" s="139">
        <f t="array" ref="V95">INDEX(F_Inputs!$G$4:$T$381,MATCH(Data!$B95&amp;Data!V$6,F_Inputs!$A$4:$A$381&amp;F_Inputs!$B$4:$B$381,0),MATCH(Data!$C95,F_Inputs!$G$2:$T$2,0))</f>
        <v>18337</v>
      </c>
      <c r="W95" s="139">
        <f t="array" ref="W95">INDEX(F_Inputs!$G$4:$T$381,MATCH(Data!$B95&amp;Data!W$6,F_Inputs!$A$4:$A$381&amp;F_Inputs!$B$4:$B$381,0),MATCH(Data!$C95,F_Inputs!$G$2:$T$2,0))</f>
        <v>1063.8109999999999</v>
      </c>
    </row>
    <row r="96" spans="1:23" x14ac:dyDescent="0.2">
      <c r="A96" s="141" t="s">
        <v>185</v>
      </c>
      <c r="B96" s="142" t="s">
        <v>108</v>
      </c>
      <c r="C96" s="142" t="s">
        <v>73</v>
      </c>
      <c r="D96" s="274">
        <f t="array" ref="D96">INDEX(F_Inputs!$G$4:$T$381,MATCH(Data!$B96&amp;Data!D$6,F_Inputs!$A$4:$A$381&amp;F_Inputs!$B$4:$B$381,0),MATCH(Data!$C96,F_Inputs!$G$2:$T$2,0))</f>
        <v>0</v>
      </c>
      <c r="E96" s="274">
        <f t="array" ref="E96">INDEX(F_Inputs!$G$4:$T$381,MATCH(Data!$B96&amp;Data!E$6,F_Inputs!$A$4:$A$381&amp;F_Inputs!$B$4:$B$381,0),MATCH(Data!$C96,F_Inputs!$G$2:$T$2,0))</f>
        <v>0</v>
      </c>
      <c r="F96" s="274">
        <f t="array" ref="F96">INDEX(F_Inputs!$G$4:$T$381,MATCH(Data!$B96&amp;Data!F$6,F_Inputs!$A$4:$A$381&amp;F_Inputs!$B$4:$B$381,0),MATCH(Data!$C96,F_Inputs!$G$2:$T$2,0))</f>
        <v>0</v>
      </c>
      <c r="G96" s="274">
        <f t="array" ref="G96">INDEX(F_Inputs!$G$4:$T$381,MATCH(Data!$B96&amp;Data!G$6,F_Inputs!$A$4:$A$381&amp;F_Inputs!$B$4:$B$381,0),MATCH(Data!$C96,F_Inputs!$G$2:$T$2,0))</f>
        <v>0.9</v>
      </c>
      <c r="I96" s="139">
        <f t="array" ref="I96">INDEX(F_Inputs!$G$4:$T$381,MATCH(Data!$B96&amp;Data!I$6,F_Inputs!$A$4:$A$381&amp;F_Inputs!$B$4:$B$381,0),MATCH(Data!$C96,F_Inputs!$G$2:$T$2,0))</f>
        <v>0</v>
      </c>
      <c r="J96" s="139">
        <f t="array" ref="J96">INDEX(F_Inputs!$G$4:$T$381,MATCH(Data!$B96&amp;Data!J$6,F_Inputs!$A$4:$A$381&amp;F_Inputs!$B$4:$B$381,0),MATCH(Data!$C96,F_Inputs!$G$2:$T$2,0))</f>
        <v>0</v>
      </c>
      <c r="K96" s="139">
        <f t="array" ref="K96">INDEX(F_Inputs!$G$4:$T$381,MATCH(Data!$B96&amp;Data!K$6,F_Inputs!$A$4:$A$381&amp;F_Inputs!$B$4:$B$381,0),MATCH(Data!$C96,F_Inputs!$G$2:$T$2,0))</f>
        <v>0</v>
      </c>
      <c r="L96" s="139">
        <f t="array" ref="L96">INDEX(F_Inputs!$G$4:$T$381,MATCH(Data!$B96&amp;Data!L$6,F_Inputs!$A$4:$A$381&amp;F_Inputs!$B$4:$B$381,0),MATCH(Data!$C96,F_Inputs!$G$2:$T$2,0))</f>
        <v>0.04</v>
      </c>
      <c r="N96" s="139">
        <f t="array" ref="N96">INDEX(F_Inputs!$G$4:$T$381,MATCH(Data!$B96&amp;Data!N$6,F_Inputs!$A$4:$A$381&amp;F_Inputs!$B$4:$B$381,0),MATCH(Data!$C96,F_Inputs!$G$2:$T$2,0))</f>
        <v>164.92599999999999</v>
      </c>
      <c r="P96" s="139">
        <f t="array" ref="P96">INDEX(F_Inputs!$G$4:$T$381,MATCH(Data!$B96&amp;Data!P$6,F_Inputs!$A$4:$A$381&amp;F_Inputs!$B$4:$B$381,0),MATCH(Data!$C96,F_Inputs!$G$2:$T$2,0))</f>
        <v>0</v>
      </c>
      <c r="Q96" s="139">
        <f t="array" ref="Q96">INDEX(F_Inputs!$G$4:$T$381,MATCH(Data!$B96&amp;Data!Q$6,F_Inputs!$A$4:$A$381&amp;F_Inputs!$B$4:$B$381,0),MATCH(Data!$C96,F_Inputs!$G$2:$T$2,0))</f>
        <v>0</v>
      </c>
      <c r="R96" s="139">
        <f t="array" ref="R96">INDEX(F_Inputs!$G$4:$T$381,MATCH(Data!$B96&amp;Data!R$6,F_Inputs!$A$4:$A$381&amp;F_Inputs!$B$4:$B$381,0),MATCH(Data!$C96,F_Inputs!$G$2:$T$2,0))</f>
        <v>7.6</v>
      </c>
      <c r="S96" s="139">
        <f t="array" ref="S96">INDEX(F_Inputs!$G$4:$T$381,MATCH(Data!$B96&amp;Data!S$6,F_Inputs!$A$4:$A$381&amp;F_Inputs!$B$4:$B$381,0),MATCH(Data!$C96,F_Inputs!$G$2:$T$2,0))</f>
        <v>7.6</v>
      </c>
      <c r="U96" s="139">
        <f t="array" ref="U96">INDEX(F_Inputs!$G$4:$T$381,MATCH(Data!$B96&amp;Data!U$6,F_Inputs!$A$4:$A$381&amp;F_Inputs!$B$4:$B$381,0),MATCH(Data!$C96,F_Inputs!$G$2:$T$2,0))</f>
        <v>114.3</v>
      </c>
      <c r="V96" s="139">
        <f t="array" ref="V96">INDEX(F_Inputs!$G$4:$T$381,MATCH(Data!$B96&amp;Data!V$6,F_Inputs!$A$4:$A$381&amp;F_Inputs!$B$4:$B$381,0),MATCH(Data!$C96,F_Inputs!$G$2:$T$2,0))</f>
        <v>18386</v>
      </c>
      <c r="W96" s="139">
        <f t="array" ref="W96">INDEX(F_Inputs!$G$4:$T$381,MATCH(Data!$B96&amp;Data!W$6,F_Inputs!$A$4:$A$381&amp;F_Inputs!$B$4:$B$381,0),MATCH(Data!$C96,F_Inputs!$G$2:$T$2,0))</f>
        <v>1073.17</v>
      </c>
    </row>
    <row r="97" spans="1:23" x14ac:dyDescent="0.2">
      <c r="A97" s="141" t="s">
        <v>186</v>
      </c>
      <c r="B97" s="142" t="s">
        <v>108</v>
      </c>
      <c r="C97" s="142" t="s">
        <v>74</v>
      </c>
      <c r="D97" s="274">
        <f t="array" ref="D97">INDEX(F_Inputs!$G$4:$T$381,MATCH(Data!$B97&amp;Data!D$6,F_Inputs!$A$4:$A$381&amp;F_Inputs!$B$4:$B$381,0),MATCH(Data!$C97,F_Inputs!$G$2:$T$2,0))</f>
        <v>0</v>
      </c>
      <c r="E97" s="274">
        <f t="array" ref="E97">INDEX(F_Inputs!$G$4:$T$381,MATCH(Data!$B97&amp;Data!E$6,F_Inputs!$A$4:$A$381&amp;F_Inputs!$B$4:$B$381,0),MATCH(Data!$C97,F_Inputs!$G$2:$T$2,0))</f>
        <v>0</v>
      </c>
      <c r="F97" s="274">
        <f t="array" ref="F97">INDEX(F_Inputs!$G$4:$T$381,MATCH(Data!$B97&amp;Data!F$6,F_Inputs!$A$4:$A$381&amp;F_Inputs!$B$4:$B$381,0),MATCH(Data!$C97,F_Inputs!$G$2:$T$2,0))</f>
        <v>0</v>
      </c>
      <c r="G97" s="274">
        <f t="array" ref="G97">INDEX(F_Inputs!$G$4:$T$381,MATCH(Data!$B97&amp;Data!G$6,F_Inputs!$A$4:$A$381&amp;F_Inputs!$B$4:$B$381,0),MATCH(Data!$C97,F_Inputs!$G$2:$T$2,0))</f>
        <v>0.9</v>
      </c>
      <c r="I97" s="139">
        <f t="array" ref="I97">INDEX(F_Inputs!$G$4:$T$381,MATCH(Data!$B97&amp;Data!I$6,F_Inputs!$A$4:$A$381&amp;F_Inputs!$B$4:$B$381,0),MATCH(Data!$C97,F_Inputs!$G$2:$T$2,0))</f>
        <v>0</v>
      </c>
      <c r="J97" s="139">
        <f t="array" ref="J97">INDEX(F_Inputs!$G$4:$T$381,MATCH(Data!$B97&amp;Data!J$6,F_Inputs!$A$4:$A$381&amp;F_Inputs!$B$4:$B$381,0),MATCH(Data!$C97,F_Inputs!$G$2:$T$2,0))</f>
        <v>0</v>
      </c>
      <c r="K97" s="139">
        <f t="array" ref="K97">INDEX(F_Inputs!$G$4:$T$381,MATCH(Data!$B97&amp;Data!K$6,F_Inputs!$A$4:$A$381&amp;F_Inputs!$B$4:$B$381,0),MATCH(Data!$C97,F_Inputs!$G$2:$T$2,0))</f>
        <v>0</v>
      </c>
      <c r="L97" s="139">
        <f t="array" ref="L97">INDEX(F_Inputs!$G$4:$T$381,MATCH(Data!$B97&amp;Data!L$6,F_Inputs!$A$4:$A$381&amp;F_Inputs!$B$4:$B$381,0),MATCH(Data!$C97,F_Inputs!$G$2:$T$2,0))</f>
        <v>0.04</v>
      </c>
      <c r="N97" s="139">
        <f t="array" ref="N97">INDEX(F_Inputs!$G$4:$T$381,MATCH(Data!$B97&amp;Data!N$6,F_Inputs!$A$4:$A$381&amp;F_Inputs!$B$4:$B$381,0),MATCH(Data!$C97,F_Inputs!$G$2:$T$2,0))</f>
        <v>179.66900000000001</v>
      </c>
      <c r="P97" s="139">
        <f t="array" ref="P97">INDEX(F_Inputs!$G$4:$T$381,MATCH(Data!$B97&amp;Data!P$6,F_Inputs!$A$4:$A$381&amp;F_Inputs!$B$4:$B$381,0),MATCH(Data!$C97,F_Inputs!$G$2:$T$2,0))</f>
        <v>0</v>
      </c>
      <c r="Q97" s="139">
        <f t="array" ref="Q97">INDEX(F_Inputs!$G$4:$T$381,MATCH(Data!$B97&amp;Data!Q$6,F_Inputs!$A$4:$A$381&amp;F_Inputs!$B$4:$B$381,0),MATCH(Data!$C97,F_Inputs!$G$2:$T$2,0))</f>
        <v>0</v>
      </c>
      <c r="R97" s="139">
        <f t="array" ref="R97">INDEX(F_Inputs!$G$4:$T$381,MATCH(Data!$B97&amp;Data!R$6,F_Inputs!$A$4:$A$381&amp;F_Inputs!$B$4:$B$381,0),MATCH(Data!$C97,F_Inputs!$G$2:$T$2,0))</f>
        <v>5.63</v>
      </c>
      <c r="S97" s="139">
        <f t="array" ref="S97">INDEX(F_Inputs!$G$4:$T$381,MATCH(Data!$B97&amp;Data!S$6,F_Inputs!$A$4:$A$381&amp;F_Inputs!$B$4:$B$381,0),MATCH(Data!$C97,F_Inputs!$G$2:$T$2,0))</f>
        <v>5.63</v>
      </c>
      <c r="U97" s="139">
        <f t="array" ref="U97">INDEX(F_Inputs!$G$4:$T$381,MATCH(Data!$B97&amp;Data!U$6,F_Inputs!$A$4:$A$381&amp;F_Inputs!$B$4:$B$381,0),MATCH(Data!$C97,F_Inputs!$G$2:$T$2,0))</f>
        <v>110.77</v>
      </c>
      <c r="V97" s="139">
        <f t="array" ref="V97">INDEX(F_Inputs!$G$4:$T$381,MATCH(Data!$B97&amp;Data!V$6,F_Inputs!$A$4:$A$381&amp;F_Inputs!$B$4:$B$381,0),MATCH(Data!$C97,F_Inputs!$G$2:$T$2,0))</f>
        <v>18435</v>
      </c>
      <c r="W97" s="139">
        <f t="array" ref="W97">INDEX(F_Inputs!$G$4:$T$381,MATCH(Data!$B97&amp;Data!W$6,F_Inputs!$A$4:$A$381&amp;F_Inputs!$B$4:$B$381,0),MATCH(Data!$C97,F_Inputs!$G$2:$T$2,0))</f>
        <v>1082.443</v>
      </c>
    </row>
    <row r="98" spans="1:23" x14ac:dyDescent="0.2">
      <c r="A98" s="141" t="s">
        <v>187</v>
      </c>
      <c r="B98" s="142" t="s">
        <v>108</v>
      </c>
      <c r="C98" s="142" t="s">
        <v>75</v>
      </c>
      <c r="D98" s="274">
        <f t="array" ref="D98">INDEX(F_Inputs!$G$4:$T$381,MATCH(Data!$B98&amp;Data!D$6,F_Inputs!$A$4:$A$381&amp;F_Inputs!$B$4:$B$381,0),MATCH(Data!$C98,F_Inputs!$G$2:$T$2,0))</f>
        <v>0</v>
      </c>
      <c r="E98" s="274">
        <f t="array" ref="E98">INDEX(F_Inputs!$G$4:$T$381,MATCH(Data!$B98&amp;Data!E$6,F_Inputs!$A$4:$A$381&amp;F_Inputs!$B$4:$B$381,0),MATCH(Data!$C98,F_Inputs!$G$2:$T$2,0))</f>
        <v>0</v>
      </c>
      <c r="F98" s="274">
        <f t="array" ref="F98">INDEX(F_Inputs!$G$4:$T$381,MATCH(Data!$B98&amp;Data!F$6,F_Inputs!$A$4:$A$381&amp;F_Inputs!$B$4:$B$381,0),MATCH(Data!$C98,F_Inputs!$G$2:$T$2,0))</f>
        <v>0</v>
      </c>
      <c r="G98" s="274">
        <f t="array" ref="G98">INDEX(F_Inputs!$G$4:$T$381,MATCH(Data!$B98&amp;Data!G$6,F_Inputs!$A$4:$A$381&amp;F_Inputs!$B$4:$B$381,0),MATCH(Data!$C98,F_Inputs!$G$2:$T$2,0))</f>
        <v>0.64400000000000002</v>
      </c>
      <c r="I98" s="139">
        <f t="array" ref="I98">INDEX(F_Inputs!$G$4:$T$381,MATCH(Data!$B98&amp;Data!I$6,F_Inputs!$A$4:$A$381&amp;F_Inputs!$B$4:$B$381,0),MATCH(Data!$C98,F_Inputs!$G$2:$T$2,0))</f>
        <v>0</v>
      </c>
      <c r="J98" s="139">
        <f t="array" ref="J98">INDEX(F_Inputs!$G$4:$T$381,MATCH(Data!$B98&amp;Data!J$6,F_Inputs!$A$4:$A$381&amp;F_Inputs!$B$4:$B$381,0),MATCH(Data!$C98,F_Inputs!$G$2:$T$2,0))</f>
        <v>0</v>
      </c>
      <c r="K98" s="139">
        <f t="array" ref="K98">INDEX(F_Inputs!$G$4:$T$381,MATCH(Data!$B98&amp;Data!K$6,F_Inputs!$A$4:$A$381&amp;F_Inputs!$B$4:$B$381,0),MATCH(Data!$C98,F_Inputs!$G$2:$T$2,0))</f>
        <v>0</v>
      </c>
      <c r="L98" s="139">
        <f t="array" ref="L98">INDEX(F_Inputs!$G$4:$T$381,MATCH(Data!$B98&amp;Data!L$6,F_Inputs!$A$4:$A$381&amp;F_Inputs!$B$4:$B$381,0),MATCH(Data!$C98,F_Inputs!$G$2:$T$2,0))</f>
        <v>0.04</v>
      </c>
      <c r="N98" s="139">
        <f t="array" ref="N98">INDEX(F_Inputs!$G$4:$T$381,MATCH(Data!$B98&amp;Data!N$6,F_Inputs!$A$4:$A$381&amp;F_Inputs!$B$4:$B$381,0),MATCH(Data!$C98,F_Inputs!$G$2:$T$2,0))</f>
        <v>192.19399999999999</v>
      </c>
      <c r="P98" s="139">
        <f t="array" ref="P98">INDEX(F_Inputs!$G$4:$T$381,MATCH(Data!$B98&amp;Data!P$6,F_Inputs!$A$4:$A$381&amp;F_Inputs!$B$4:$B$381,0),MATCH(Data!$C98,F_Inputs!$G$2:$T$2,0))</f>
        <v>0</v>
      </c>
      <c r="Q98" s="139">
        <f t="array" ref="Q98">INDEX(F_Inputs!$G$4:$T$381,MATCH(Data!$B98&amp;Data!Q$6,F_Inputs!$A$4:$A$381&amp;F_Inputs!$B$4:$B$381,0),MATCH(Data!$C98,F_Inputs!$G$2:$T$2,0))</f>
        <v>0</v>
      </c>
      <c r="R98" s="139">
        <f t="array" ref="R98">INDEX(F_Inputs!$G$4:$T$381,MATCH(Data!$B98&amp;Data!R$6,F_Inputs!$A$4:$A$381&amp;F_Inputs!$B$4:$B$381,0),MATCH(Data!$C98,F_Inputs!$G$2:$T$2,0))</f>
        <v>5.54</v>
      </c>
      <c r="S98" s="139">
        <f t="array" ref="S98">INDEX(F_Inputs!$G$4:$T$381,MATCH(Data!$B98&amp;Data!S$6,F_Inputs!$A$4:$A$381&amp;F_Inputs!$B$4:$B$381,0),MATCH(Data!$C98,F_Inputs!$G$2:$T$2,0))</f>
        <v>5.54</v>
      </c>
      <c r="U98" s="139">
        <f t="array" ref="U98">INDEX(F_Inputs!$G$4:$T$381,MATCH(Data!$B98&amp;Data!U$6,F_Inputs!$A$4:$A$381&amp;F_Inputs!$B$4:$B$381,0),MATCH(Data!$C98,F_Inputs!$G$2:$T$2,0))</f>
        <v>107.23</v>
      </c>
      <c r="V98" s="139">
        <f t="array" ref="V98">INDEX(F_Inputs!$G$4:$T$381,MATCH(Data!$B98&amp;Data!V$6,F_Inputs!$A$4:$A$381&amp;F_Inputs!$B$4:$B$381,0),MATCH(Data!$C98,F_Inputs!$G$2:$T$2,0))</f>
        <v>18492</v>
      </c>
      <c r="W98" s="139">
        <f t="array" ref="W98">INDEX(F_Inputs!$G$4:$T$381,MATCH(Data!$B98&amp;Data!W$6,F_Inputs!$A$4:$A$381&amp;F_Inputs!$B$4:$B$381,0),MATCH(Data!$C98,F_Inputs!$G$2:$T$2,0))</f>
        <v>1091.662</v>
      </c>
    </row>
    <row r="99" spans="1:23" x14ac:dyDescent="0.2">
      <c r="A99" s="141" t="s">
        <v>188</v>
      </c>
      <c r="B99" s="142" t="s">
        <v>108</v>
      </c>
      <c r="C99" s="142" t="s">
        <v>76</v>
      </c>
      <c r="D99" s="274">
        <f t="array" ref="D99">INDEX(F_Inputs!$G$4:$T$381,MATCH(Data!$B99&amp;Data!D$6,F_Inputs!$A$4:$A$381&amp;F_Inputs!$B$4:$B$381,0),MATCH(Data!$C99,F_Inputs!$G$2:$T$2,0))</f>
        <v>0</v>
      </c>
      <c r="E99" s="274">
        <f t="array" ref="E99">INDEX(F_Inputs!$G$4:$T$381,MATCH(Data!$B99&amp;Data!E$6,F_Inputs!$A$4:$A$381&amp;F_Inputs!$B$4:$B$381,0),MATCH(Data!$C99,F_Inputs!$G$2:$T$2,0))</f>
        <v>0</v>
      </c>
      <c r="F99" s="274">
        <f t="array" ref="F99">INDEX(F_Inputs!$G$4:$T$381,MATCH(Data!$B99&amp;Data!F$6,F_Inputs!$A$4:$A$381&amp;F_Inputs!$B$4:$B$381,0),MATCH(Data!$C99,F_Inputs!$G$2:$T$2,0))</f>
        <v>0</v>
      </c>
      <c r="G99" s="274">
        <f t="array" ref="G99">INDEX(F_Inputs!$G$4:$T$381,MATCH(Data!$B99&amp;Data!G$6,F_Inputs!$A$4:$A$381&amp;F_Inputs!$B$4:$B$381,0),MATCH(Data!$C99,F_Inputs!$G$2:$T$2,0))</f>
        <v>0.64400000000000002</v>
      </c>
      <c r="I99" s="139">
        <f t="array" ref="I99">INDEX(F_Inputs!$G$4:$T$381,MATCH(Data!$B99&amp;Data!I$6,F_Inputs!$A$4:$A$381&amp;F_Inputs!$B$4:$B$381,0),MATCH(Data!$C99,F_Inputs!$G$2:$T$2,0))</f>
        <v>0</v>
      </c>
      <c r="J99" s="139">
        <f t="array" ref="J99">INDEX(F_Inputs!$G$4:$T$381,MATCH(Data!$B99&amp;Data!J$6,F_Inputs!$A$4:$A$381&amp;F_Inputs!$B$4:$B$381,0),MATCH(Data!$C99,F_Inputs!$G$2:$T$2,0))</f>
        <v>0</v>
      </c>
      <c r="K99" s="139">
        <f t="array" ref="K99">INDEX(F_Inputs!$G$4:$T$381,MATCH(Data!$B99&amp;Data!K$6,F_Inputs!$A$4:$A$381&amp;F_Inputs!$B$4:$B$381,0),MATCH(Data!$C99,F_Inputs!$G$2:$T$2,0))</f>
        <v>0</v>
      </c>
      <c r="L99" s="139">
        <f t="array" ref="L99">INDEX(F_Inputs!$G$4:$T$381,MATCH(Data!$B99&amp;Data!L$6,F_Inputs!$A$4:$A$381&amp;F_Inputs!$B$4:$B$381,0),MATCH(Data!$C99,F_Inputs!$G$2:$T$2,0))</f>
        <v>0.04</v>
      </c>
      <c r="N99" s="139">
        <f t="array" ref="N99">INDEX(F_Inputs!$G$4:$T$381,MATCH(Data!$B99&amp;Data!N$6,F_Inputs!$A$4:$A$381&amp;F_Inputs!$B$4:$B$381,0),MATCH(Data!$C99,F_Inputs!$G$2:$T$2,0))</f>
        <v>181.702</v>
      </c>
      <c r="P99" s="139">
        <f t="array" ref="P99">INDEX(F_Inputs!$G$4:$T$381,MATCH(Data!$B99&amp;Data!P$6,F_Inputs!$A$4:$A$381&amp;F_Inputs!$B$4:$B$381,0),MATCH(Data!$C99,F_Inputs!$G$2:$T$2,0))</f>
        <v>0</v>
      </c>
      <c r="Q99" s="139">
        <f t="array" ref="Q99">INDEX(F_Inputs!$G$4:$T$381,MATCH(Data!$B99&amp;Data!Q$6,F_Inputs!$A$4:$A$381&amp;F_Inputs!$B$4:$B$381,0),MATCH(Data!$C99,F_Inputs!$G$2:$T$2,0))</f>
        <v>0</v>
      </c>
      <c r="R99" s="139">
        <f t="array" ref="R99">INDEX(F_Inputs!$G$4:$T$381,MATCH(Data!$B99&amp;Data!R$6,F_Inputs!$A$4:$A$381&amp;F_Inputs!$B$4:$B$381,0),MATCH(Data!$C99,F_Inputs!$G$2:$T$2,0))</f>
        <v>5.66</v>
      </c>
      <c r="S99" s="139">
        <f t="array" ref="S99">INDEX(F_Inputs!$G$4:$T$381,MATCH(Data!$B99&amp;Data!S$6,F_Inputs!$A$4:$A$381&amp;F_Inputs!$B$4:$B$381,0),MATCH(Data!$C99,F_Inputs!$G$2:$T$2,0))</f>
        <v>5.66</v>
      </c>
      <c r="U99" s="139">
        <f t="array" ref="U99">INDEX(F_Inputs!$G$4:$T$381,MATCH(Data!$B99&amp;Data!U$6,F_Inputs!$A$4:$A$381&amp;F_Inputs!$B$4:$B$381,0),MATCH(Data!$C99,F_Inputs!$G$2:$T$2,0))</f>
        <v>103.7</v>
      </c>
      <c r="V99" s="139">
        <f t="array" ref="V99">INDEX(F_Inputs!$G$4:$T$381,MATCH(Data!$B99&amp;Data!V$6,F_Inputs!$A$4:$A$381&amp;F_Inputs!$B$4:$B$381,0),MATCH(Data!$C99,F_Inputs!$G$2:$T$2,0))</f>
        <v>18543</v>
      </c>
      <c r="W99" s="139">
        <f t="array" ref="W99">INDEX(F_Inputs!$G$4:$T$381,MATCH(Data!$B99&amp;Data!W$6,F_Inputs!$A$4:$A$381&amp;F_Inputs!$B$4:$B$381,0),MATCH(Data!$C99,F_Inputs!$G$2:$T$2,0))</f>
        <v>1100.864</v>
      </c>
    </row>
    <row r="100" spans="1:23" x14ac:dyDescent="0.2">
      <c r="A100" s="141" t="s">
        <v>189</v>
      </c>
      <c r="B100" s="142" t="s">
        <v>108</v>
      </c>
      <c r="C100" s="142" t="s">
        <v>24</v>
      </c>
      <c r="D100" s="274">
        <f t="array" ref="D100">INDEX(F_Inputs!$G$4:$T$381,MATCH(Data!$B100&amp;Data!D$6,F_Inputs!$A$4:$A$381&amp;F_Inputs!$B$4:$B$381,0),MATCH(Data!$C100,F_Inputs!$G$2:$T$2,0))</f>
        <v>0</v>
      </c>
      <c r="E100" s="274">
        <f t="array" ref="E100">INDEX(F_Inputs!$G$4:$T$381,MATCH(Data!$B100&amp;Data!E$6,F_Inputs!$A$4:$A$381&amp;F_Inputs!$B$4:$B$381,0),MATCH(Data!$C100,F_Inputs!$G$2:$T$2,0))</f>
        <v>0</v>
      </c>
      <c r="F100" s="274">
        <f t="array" ref="F100">INDEX(F_Inputs!$G$4:$T$381,MATCH(Data!$B100&amp;Data!F$6,F_Inputs!$A$4:$A$381&amp;F_Inputs!$B$4:$B$381,0),MATCH(Data!$C100,F_Inputs!$G$2:$T$2,0))</f>
        <v>0</v>
      </c>
      <c r="G100" s="274">
        <f t="array" ref="G100">INDEX(F_Inputs!$G$4:$T$381,MATCH(Data!$B100&amp;Data!G$6,F_Inputs!$A$4:$A$381&amp;F_Inputs!$B$4:$B$381,0),MATCH(Data!$C100,F_Inputs!$G$2:$T$2,0))</f>
        <v>0.64400000000000002</v>
      </c>
      <c r="I100" s="139">
        <f t="array" ref="I100">INDEX(F_Inputs!$G$4:$T$381,MATCH(Data!$B100&amp;Data!I$6,F_Inputs!$A$4:$A$381&amp;F_Inputs!$B$4:$B$381,0),MATCH(Data!$C100,F_Inputs!$G$2:$T$2,0))</f>
        <v>0</v>
      </c>
      <c r="J100" s="139">
        <f t="array" ref="J100">INDEX(F_Inputs!$G$4:$T$381,MATCH(Data!$B100&amp;Data!J$6,F_Inputs!$A$4:$A$381&amp;F_Inputs!$B$4:$B$381,0),MATCH(Data!$C100,F_Inputs!$G$2:$T$2,0))</f>
        <v>0</v>
      </c>
      <c r="K100" s="139">
        <f t="array" ref="K100">INDEX(F_Inputs!$G$4:$T$381,MATCH(Data!$B100&amp;Data!K$6,F_Inputs!$A$4:$A$381&amp;F_Inputs!$B$4:$B$381,0),MATCH(Data!$C100,F_Inputs!$G$2:$T$2,0))</f>
        <v>0</v>
      </c>
      <c r="L100" s="139">
        <f t="array" ref="L100">INDEX(F_Inputs!$G$4:$T$381,MATCH(Data!$B100&amp;Data!L$6,F_Inputs!$A$4:$A$381&amp;F_Inputs!$B$4:$B$381,0),MATCH(Data!$C100,F_Inputs!$G$2:$T$2,0))</f>
        <v>0.04</v>
      </c>
      <c r="N100" s="139">
        <f t="array" ref="N100">INDEX(F_Inputs!$G$4:$T$381,MATCH(Data!$B100&amp;Data!N$6,F_Inputs!$A$4:$A$381&amp;F_Inputs!$B$4:$B$381,0),MATCH(Data!$C100,F_Inputs!$G$2:$T$2,0))</f>
        <v>175.761</v>
      </c>
      <c r="P100" s="139">
        <f t="array" ref="P100">INDEX(F_Inputs!$G$4:$T$381,MATCH(Data!$B100&amp;Data!P$6,F_Inputs!$A$4:$A$381&amp;F_Inputs!$B$4:$B$381,0),MATCH(Data!$C100,F_Inputs!$G$2:$T$2,0))</f>
        <v>0</v>
      </c>
      <c r="Q100" s="139">
        <f t="array" ref="Q100">INDEX(F_Inputs!$G$4:$T$381,MATCH(Data!$B100&amp;Data!Q$6,F_Inputs!$A$4:$A$381&amp;F_Inputs!$B$4:$B$381,0),MATCH(Data!$C100,F_Inputs!$G$2:$T$2,0))</f>
        <v>0</v>
      </c>
      <c r="R100" s="139">
        <f t="array" ref="R100">INDEX(F_Inputs!$G$4:$T$381,MATCH(Data!$B100&amp;Data!R$6,F_Inputs!$A$4:$A$381&amp;F_Inputs!$B$4:$B$381,0),MATCH(Data!$C100,F_Inputs!$G$2:$T$2,0))</f>
        <v>5.51</v>
      </c>
      <c r="S100" s="139">
        <f t="array" ref="S100">INDEX(F_Inputs!$G$4:$T$381,MATCH(Data!$B100&amp;Data!S$6,F_Inputs!$A$4:$A$381&amp;F_Inputs!$B$4:$B$381,0),MATCH(Data!$C100,F_Inputs!$G$2:$T$2,0))</f>
        <v>5.51</v>
      </c>
      <c r="U100" s="139">
        <f t="array" ref="U100">INDEX(F_Inputs!$G$4:$T$381,MATCH(Data!$B100&amp;Data!U$6,F_Inputs!$A$4:$A$381&amp;F_Inputs!$B$4:$B$381,0),MATCH(Data!$C100,F_Inputs!$G$2:$T$2,0))</f>
        <v>100.16</v>
      </c>
      <c r="V100" s="139">
        <f t="array" ref="V100">INDEX(F_Inputs!$G$4:$T$381,MATCH(Data!$B100&amp;Data!V$6,F_Inputs!$A$4:$A$381&amp;F_Inputs!$B$4:$B$381,0),MATCH(Data!$C100,F_Inputs!$G$2:$T$2,0))</f>
        <v>18592</v>
      </c>
      <c r="W100" s="139">
        <f t="array" ref="W100">INDEX(F_Inputs!$G$4:$T$381,MATCH(Data!$B100&amp;Data!W$6,F_Inputs!$A$4:$A$381&amp;F_Inputs!$B$4:$B$381,0),MATCH(Data!$C100,F_Inputs!$G$2:$T$2,0))</f>
        <v>1109.943</v>
      </c>
    </row>
    <row r="101" spans="1:23" x14ac:dyDescent="0.2">
      <c r="A101" s="138" t="str">
        <f t="shared" si="4"/>
        <v>TMS12</v>
      </c>
      <c r="B101" s="19" t="s">
        <v>31</v>
      </c>
      <c r="C101" s="143" t="s">
        <v>64</v>
      </c>
      <c r="D101" s="139">
        <f t="array" ref="D101">INDEX(F_Inputs!$G$4:$T$381,MATCH(Data!$B101&amp;Data!D$6,F_Inputs!$A$4:$A$381&amp;F_Inputs!$B$4:$B$381,0),MATCH(Data!$C101,F_Inputs!$G$2:$T$2,0))</f>
        <v>0.10973158023504501</v>
      </c>
      <c r="E101" s="139">
        <f t="array" ref="E101">INDEX(F_Inputs!$G$4:$T$381,MATCH(Data!$B101&amp;Data!E$6,F_Inputs!$A$4:$A$381&amp;F_Inputs!$B$4:$B$381,0),MATCH(Data!$C101,F_Inputs!$G$2:$T$2,0))</f>
        <v>0.64209711962621896</v>
      </c>
      <c r="F101" s="139">
        <f t="array" ref="F101">INDEX(F_Inputs!$G$4:$T$381,MATCH(Data!$B101&amp;Data!F$6,F_Inputs!$A$4:$A$381&amp;F_Inputs!$B$4:$B$381,0),MATCH(Data!$C101,F_Inputs!$G$2:$T$2,0))</f>
        <v>4.0477168522765297</v>
      </c>
      <c r="G101" s="139">
        <f t="array" ref="G101">INDEX(F_Inputs!$G$4:$T$381,MATCH(Data!$B101&amp;Data!G$6,F_Inputs!$A$4:$A$381&amp;F_Inputs!$B$4:$B$381,0),MATCH(Data!$C101,F_Inputs!$G$2:$T$2,0))</f>
        <v>1.1854033865061999</v>
      </c>
      <c r="I101" s="139">
        <f t="array" ref="I101">INDEX(F_Inputs!$G$4:$T$381,MATCH(Data!$B101&amp;Data!I$6,F_Inputs!$A$4:$A$381&amp;F_Inputs!$B$4:$B$381,0),MATCH(Data!$C101,F_Inputs!$G$2:$T$2,0))</f>
        <v>0</v>
      </c>
      <c r="J101" s="139">
        <f t="array" ref="J101">INDEX(F_Inputs!$G$4:$T$381,MATCH(Data!$B101&amp;Data!J$6,F_Inputs!$A$4:$A$381&amp;F_Inputs!$B$4:$B$381,0),MATCH(Data!$C101,F_Inputs!$G$2:$T$2,0))</f>
        <v>0</v>
      </c>
      <c r="K101" s="139">
        <f t="array" ref="K101">INDEX(F_Inputs!$G$4:$T$381,MATCH(Data!$B101&amp;Data!K$6,F_Inputs!$A$4:$A$381&amp;F_Inputs!$B$4:$B$381,0),MATCH(Data!$C101,F_Inputs!$G$2:$T$2,0))</f>
        <v>0</v>
      </c>
      <c r="L101" s="139">
        <f t="array" ref="L101">INDEX(F_Inputs!$G$4:$T$381,MATCH(Data!$B101&amp;Data!L$6,F_Inputs!$A$4:$A$381&amp;F_Inputs!$B$4:$B$381,0),MATCH(Data!$C101,F_Inputs!$G$2:$T$2,0))</f>
        <v>0</v>
      </c>
      <c r="N101" s="139">
        <f t="array" ref="N101">INDEX(F_Inputs!$G$4:$T$381,MATCH(Data!$B101&amp;Data!N$6,F_Inputs!$A$4:$A$381&amp;F_Inputs!$B$4:$B$381,0),MATCH(Data!$C101,F_Inputs!$G$2:$T$2,0))</f>
        <v>655.65719059821504</v>
      </c>
      <c r="P101" s="139">
        <f t="array" ref="P101">INDEX(F_Inputs!$G$4:$T$381,MATCH(Data!$B101&amp;Data!P$6,F_Inputs!$A$4:$A$381&amp;F_Inputs!$B$4:$B$381,0),MATCH(Data!$C101,F_Inputs!$G$2:$T$2,0))</f>
        <v>0</v>
      </c>
      <c r="Q101" s="139">
        <f t="array" ref="Q101">INDEX(F_Inputs!$G$4:$T$381,MATCH(Data!$B101&amp;Data!Q$6,F_Inputs!$A$4:$A$381&amp;F_Inputs!$B$4:$B$381,0),MATCH(Data!$C101,F_Inputs!$G$2:$T$2,0))</f>
        <v>0</v>
      </c>
      <c r="R101" s="139">
        <f t="array" ref="R101">INDEX(F_Inputs!$G$4:$T$381,MATCH(Data!$B101&amp;Data!R$6,F_Inputs!$A$4:$A$381&amp;F_Inputs!$B$4:$B$381,0),MATCH(Data!$C101,F_Inputs!$G$2:$T$2,0))</f>
        <v>0</v>
      </c>
      <c r="S101" s="139">
        <f t="array" ref="S101">INDEX(F_Inputs!$G$4:$T$381,MATCH(Data!$B101&amp;Data!S$6,F_Inputs!$A$4:$A$381&amp;F_Inputs!$B$4:$B$381,0),MATCH(Data!$C101,F_Inputs!$G$2:$T$2,0))</f>
        <v>0</v>
      </c>
      <c r="U101" s="139">
        <f t="array" ref="U101">INDEX(F_Inputs!$G$4:$T$381,MATCH(Data!$B101&amp;Data!U$6,F_Inputs!$A$4:$A$381&amp;F_Inputs!$B$4:$B$381,0),MATCH(Data!$C101,F_Inputs!$G$2:$T$2,0))</f>
        <v>0</v>
      </c>
      <c r="V101" s="139">
        <f t="array" ref="V101">INDEX(F_Inputs!$G$4:$T$381,MATCH(Data!$B101&amp;Data!V$6,F_Inputs!$A$4:$A$381&amp;F_Inputs!$B$4:$B$381,0),MATCH(Data!$C101,F_Inputs!$G$2:$T$2,0))</f>
        <v>0</v>
      </c>
      <c r="W101" s="139">
        <f t="array" ref="W101">INDEX(F_Inputs!$G$4:$T$381,MATCH(Data!$B101&amp;Data!W$6,F_Inputs!$A$4:$A$381&amp;F_Inputs!$B$4:$B$381,0),MATCH(Data!$C101,F_Inputs!$G$2:$T$2,0))</f>
        <v>0</v>
      </c>
    </row>
    <row r="102" spans="1:23" x14ac:dyDescent="0.2">
      <c r="A102" s="138" t="str">
        <f>B102&amp;RIGHT(C102,2)</f>
        <v>TMS13</v>
      </c>
      <c r="B102" s="19" t="s">
        <v>31</v>
      </c>
      <c r="C102" s="143" t="s">
        <v>65</v>
      </c>
      <c r="D102" s="139">
        <f t="array" ref="D102">INDEX(F_Inputs!$G$4:$T$381,MATCH(Data!$B102&amp;Data!D$6,F_Inputs!$A$4:$A$381&amp;F_Inputs!$B$4:$B$381,0),MATCH(Data!$C102,F_Inputs!$G$2:$T$2,0))</f>
        <v>0.57009514259239202</v>
      </c>
      <c r="E102" s="139">
        <f t="array" ref="E102">INDEX(F_Inputs!$G$4:$T$381,MATCH(Data!$B102&amp;Data!E$6,F_Inputs!$A$4:$A$381&amp;F_Inputs!$B$4:$B$381,0),MATCH(Data!$C102,F_Inputs!$G$2:$T$2,0))</f>
        <v>0.41454828969083102</v>
      </c>
      <c r="F102" s="139">
        <f t="array" ref="F102">INDEX(F_Inputs!$G$4:$T$381,MATCH(Data!$B102&amp;Data!F$6,F_Inputs!$A$4:$A$381&amp;F_Inputs!$B$4:$B$381,0),MATCH(Data!$C102,F_Inputs!$G$2:$T$2,0))</f>
        <v>3.4282415443668</v>
      </c>
      <c r="G102" s="139">
        <f t="array" ref="G102">INDEX(F_Inputs!$G$4:$T$381,MATCH(Data!$B102&amp;Data!G$6,F_Inputs!$A$4:$A$381&amp;F_Inputs!$B$4:$B$381,0),MATCH(Data!$C102,F_Inputs!$G$2:$T$2,0))</f>
        <v>1.24586887258033</v>
      </c>
      <c r="I102" s="139">
        <f t="array" ref="I102">INDEX(F_Inputs!$G$4:$T$381,MATCH(Data!$B102&amp;Data!I$6,F_Inputs!$A$4:$A$381&amp;F_Inputs!$B$4:$B$381,0),MATCH(Data!$C102,F_Inputs!$G$2:$T$2,0))</f>
        <v>0</v>
      </c>
      <c r="J102" s="139">
        <f t="array" ref="J102">INDEX(F_Inputs!$G$4:$T$381,MATCH(Data!$B102&amp;Data!J$6,F_Inputs!$A$4:$A$381&amp;F_Inputs!$B$4:$B$381,0),MATCH(Data!$C102,F_Inputs!$G$2:$T$2,0))</f>
        <v>0</v>
      </c>
      <c r="K102" s="139">
        <f t="array" ref="K102">INDEX(F_Inputs!$G$4:$T$381,MATCH(Data!$B102&amp;Data!K$6,F_Inputs!$A$4:$A$381&amp;F_Inputs!$B$4:$B$381,0),MATCH(Data!$C102,F_Inputs!$G$2:$T$2,0))</f>
        <v>0</v>
      </c>
      <c r="L102" s="139">
        <f t="array" ref="L102">INDEX(F_Inputs!$G$4:$T$381,MATCH(Data!$B102&amp;Data!L$6,F_Inputs!$A$4:$A$381&amp;F_Inputs!$B$4:$B$381,0),MATCH(Data!$C102,F_Inputs!$G$2:$T$2,0))</f>
        <v>0</v>
      </c>
      <c r="N102" s="139">
        <f t="array" ref="N102">INDEX(F_Inputs!$G$4:$T$381,MATCH(Data!$B102&amp;Data!N$6,F_Inputs!$A$4:$A$381&amp;F_Inputs!$B$4:$B$381,0),MATCH(Data!$C102,F_Inputs!$G$2:$T$2,0))</f>
        <v>618.38878947368403</v>
      </c>
      <c r="P102" s="139">
        <f t="array" ref="P102">INDEX(F_Inputs!$G$4:$T$381,MATCH(Data!$B102&amp;Data!P$6,F_Inputs!$A$4:$A$381&amp;F_Inputs!$B$4:$B$381,0),MATCH(Data!$C102,F_Inputs!$G$2:$T$2,0))</f>
        <v>0</v>
      </c>
      <c r="Q102" s="139">
        <f t="array" ref="Q102">INDEX(F_Inputs!$G$4:$T$381,MATCH(Data!$B102&amp;Data!Q$6,F_Inputs!$A$4:$A$381&amp;F_Inputs!$B$4:$B$381,0),MATCH(Data!$C102,F_Inputs!$G$2:$T$2,0))</f>
        <v>0</v>
      </c>
      <c r="R102" s="139">
        <f t="array" ref="R102">INDEX(F_Inputs!$G$4:$T$381,MATCH(Data!$B102&amp;Data!R$6,F_Inputs!$A$4:$A$381&amp;F_Inputs!$B$4:$B$381,0),MATCH(Data!$C102,F_Inputs!$G$2:$T$2,0))</f>
        <v>0</v>
      </c>
      <c r="S102" s="139">
        <f t="array" ref="S102">INDEX(F_Inputs!$G$4:$T$381,MATCH(Data!$B102&amp;Data!S$6,F_Inputs!$A$4:$A$381&amp;F_Inputs!$B$4:$B$381,0),MATCH(Data!$C102,F_Inputs!$G$2:$T$2,0))</f>
        <v>0</v>
      </c>
      <c r="U102" s="139">
        <f t="array" ref="U102">INDEX(F_Inputs!$G$4:$T$381,MATCH(Data!$B102&amp;Data!U$6,F_Inputs!$A$4:$A$381&amp;F_Inputs!$B$4:$B$381,0),MATCH(Data!$C102,F_Inputs!$G$2:$T$2,0))</f>
        <v>0</v>
      </c>
      <c r="V102" s="139">
        <f t="array" ref="V102">INDEX(F_Inputs!$G$4:$T$381,MATCH(Data!$B102&amp;Data!V$6,F_Inputs!$A$4:$A$381&amp;F_Inputs!$B$4:$B$381,0),MATCH(Data!$C102,F_Inputs!$G$2:$T$2,0))</f>
        <v>0</v>
      </c>
      <c r="W102" s="139">
        <f t="array" ref="W102">INDEX(F_Inputs!$G$4:$T$381,MATCH(Data!$B102&amp;Data!W$6,F_Inputs!$A$4:$A$381&amp;F_Inputs!$B$4:$B$381,0),MATCH(Data!$C102,F_Inputs!$G$2:$T$2,0))</f>
        <v>0</v>
      </c>
    </row>
    <row r="103" spans="1:23" x14ac:dyDescent="0.2">
      <c r="A103" s="138" t="str">
        <f>B103&amp;RIGHT(C103,2)</f>
        <v>TMS14</v>
      </c>
      <c r="B103" s="19" t="s">
        <v>31</v>
      </c>
      <c r="C103" s="143" t="s">
        <v>66</v>
      </c>
      <c r="D103" s="139">
        <f t="array" ref="D103">INDEX(F_Inputs!$G$4:$T$381,MATCH(Data!$B103&amp;Data!D$6,F_Inputs!$A$4:$A$381&amp;F_Inputs!$B$4:$B$381,0),MATCH(Data!$C103,F_Inputs!$G$2:$T$2,0))</f>
        <v>1.8094080290527501</v>
      </c>
      <c r="E103" s="139">
        <f t="array" ref="E103">INDEX(F_Inputs!$G$4:$T$381,MATCH(Data!$B103&amp;Data!E$6,F_Inputs!$A$4:$A$381&amp;F_Inputs!$B$4:$B$381,0),MATCH(Data!$C103,F_Inputs!$G$2:$T$2,0))</f>
        <v>1.8269542102674201</v>
      </c>
      <c r="F103" s="139">
        <f t="array" ref="F103">INDEX(F_Inputs!$G$4:$T$381,MATCH(Data!$B103&amp;Data!F$6,F_Inputs!$A$4:$A$381&amp;F_Inputs!$B$4:$B$381,0),MATCH(Data!$C103,F_Inputs!$G$2:$T$2,0))</f>
        <v>12.0049384235312</v>
      </c>
      <c r="G103" s="139">
        <f t="array" ref="G103">INDEX(F_Inputs!$G$4:$T$381,MATCH(Data!$B103&amp;Data!G$6,F_Inputs!$A$4:$A$381&amp;F_Inputs!$B$4:$B$381,0),MATCH(Data!$C103,F_Inputs!$G$2:$T$2,0))</f>
        <v>7.0316261551997101</v>
      </c>
      <c r="I103" s="139">
        <f t="array" ref="I103">INDEX(F_Inputs!$G$4:$T$381,MATCH(Data!$B103&amp;Data!I$6,F_Inputs!$A$4:$A$381&amp;F_Inputs!$B$4:$B$381,0),MATCH(Data!$C103,F_Inputs!$G$2:$T$2,0))</f>
        <v>0</v>
      </c>
      <c r="J103" s="139">
        <f t="array" ref="J103">INDEX(F_Inputs!$G$4:$T$381,MATCH(Data!$B103&amp;Data!J$6,F_Inputs!$A$4:$A$381&amp;F_Inputs!$B$4:$B$381,0),MATCH(Data!$C103,F_Inputs!$G$2:$T$2,0))</f>
        <v>0</v>
      </c>
      <c r="K103" s="139">
        <f t="array" ref="K103">INDEX(F_Inputs!$G$4:$T$381,MATCH(Data!$B103&amp;Data!K$6,F_Inputs!$A$4:$A$381&amp;F_Inputs!$B$4:$B$381,0),MATCH(Data!$C103,F_Inputs!$G$2:$T$2,0))</f>
        <v>0</v>
      </c>
      <c r="L103" s="139">
        <f t="array" ref="L103">INDEX(F_Inputs!$G$4:$T$381,MATCH(Data!$B103&amp;Data!L$6,F_Inputs!$A$4:$A$381&amp;F_Inputs!$B$4:$B$381,0),MATCH(Data!$C103,F_Inputs!$G$2:$T$2,0))</f>
        <v>0</v>
      </c>
      <c r="N103" s="139">
        <f t="array" ref="N103">INDEX(F_Inputs!$G$4:$T$381,MATCH(Data!$B103&amp;Data!N$6,F_Inputs!$A$4:$A$381&amp;F_Inputs!$B$4:$B$381,0),MATCH(Data!$C103,F_Inputs!$G$2:$T$2,0))</f>
        <v>634.97227907369802</v>
      </c>
      <c r="O103" s="144"/>
      <c r="P103" s="139">
        <f t="array" ref="P103">INDEX(F_Inputs!$G$4:$T$381,MATCH(Data!$B103&amp;Data!P$6,F_Inputs!$A$4:$A$381&amp;F_Inputs!$B$4:$B$381,0),MATCH(Data!$C103,F_Inputs!$G$2:$T$2,0))</f>
        <v>0</v>
      </c>
      <c r="Q103" s="139">
        <f t="array" ref="Q103">INDEX(F_Inputs!$G$4:$T$381,MATCH(Data!$B103&amp;Data!Q$6,F_Inputs!$A$4:$A$381&amp;F_Inputs!$B$4:$B$381,0),MATCH(Data!$C103,F_Inputs!$G$2:$T$2,0))</f>
        <v>0</v>
      </c>
      <c r="R103" s="139">
        <f t="array" ref="R103">INDEX(F_Inputs!$G$4:$T$381,MATCH(Data!$B103&amp;Data!R$6,F_Inputs!$A$4:$A$381&amp;F_Inputs!$B$4:$B$381,0),MATCH(Data!$C103,F_Inputs!$G$2:$T$2,0))</f>
        <v>0</v>
      </c>
      <c r="S103" s="139">
        <f t="array" ref="S103">INDEX(F_Inputs!$G$4:$T$381,MATCH(Data!$B103&amp;Data!S$6,F_Inputs!$A$4:$A$381&amp;F_Inputs!$B$4:$B$381,0),MATCH(Data!$C103,F_Inputs!$G$2:$T$2,0))</f>
        <v>0</v>
      </c>
      <c r="U103" s="139">
        <f t="array" ref="U103">INDEX(F_Inputs!$G$4:$T$381,MATCH(Data!$B103&amp;Data!U$6,F_Inputs!$A$4:$A$381&amp;F_Inputs!$B$4:$B$381,0),MATCH(Data!$C103,F_Inputs!$G$2:$T$2,0))</f>
        <v>0</v>
      </c>
      <c r="V103" s="139">
        <f t="array" ref="V103">INDEX(F_Inputs!$G$4:$T$381,MATCH(Data!$B103&amp;Data!V$6,F_Inputs!$A$4:$A$381&amp;F_Inputs!$B$4:$B$381,0),MATCH(Data!$C103,F_Inputs!$G$2:$T$2,0))</f>
        <v>0</v>
      </c>
      <c r="W103" s="139">
        <f t="array" ref="W103">INDEX(F_Inputs!$G$4:$T$381,MATCH(Data!$B103&amp;Data!W$6,F_Inputs!$A$4:$A$381&amp;F_Inputs!$B$4:$B$381,0),MATCH(Data!$C103,F_Inputs!$G$2:$T$2,0))</f>
        <v>0</v>
      </c>
    </row>
    <row r="104" spans="1:23" x14ac:dyDescent="0.2">
      <c r="A104" s="138" t="str">
        <f>B104&amp;RIGHT(C104,2)</f>
        <v>TMS15</v>
      </c>
      <c r="B104" s="19" t="s">
        <v>31</v>
      </c>
      <c r="C104" s="143" t="s">
        <v>67</v>
      </c>
      <c r="D104" s="139">
        <f t="array" ref="D104">INDEX(F_Inputs!$G$4:$T$381,MATCH(Data!$B104&amp;Data!D$6,F_Inputs!$A$4:$A$381&amp;F_Inputs!$B$4:$B$381,0),MATCH(Data!$C104,F_Inputs!$G$2:$T$2,0))</f>
        <v>-9.1319873206601801E-3</v>
      </c>
      <c r="E104" s="139">
        <f t="array" ref="E104">INDEX(F_Inputs!$G$4:$T$381,MATCH(Data!$B104&amp;Data!E$6,F_Inputs!$A$4:$A$381&amp;F_Inputs!$B$4:$B$381,0),MATCH(Data!$C104,F_Inputs!$G$2:$T$2,0))</f>
        <v>1.9874723052760499</v>
      </c>
      <c r="F104" s="139">
        <f t="array" ref="F104">INDEX(F_Inputs!$G$4:$T$381,MATCH(Data!$B104&amp;Data!F$6,F_Inputs!$A$4:$A$381&amp;F_Inputs!$B$4:$B$381,0),MATCH(Data!$C104,F_Inputs!$G$2:$T$2,0))</f>
        <v>12.9028701350706</v>
      </c>
      <c r="G104" s="139">
        <f t="array" ref="G104">INDEX(F_Inputs!$G$4:$T$381,MATCH(Data!$B104&amp;Data!G$6,F_Inputs!$A$4:$A$381&amp;F_Inputs!$B$4:$B$381,0),MATCH(Data!$C104,F_Inputs!$G$2:$T$2,0))</f>
        <v>14.739834561770399</v>
      </c>
      <c r="I104" s="139">
        <f t="array" ref="I104">INDEX(F_Inputs!$G$4:$T$381,MATCH(Data!$B104&amp;Data!I$6,F_Inputs!$A$4:$A$381&amp;F_Inputs!$B$4:$B$381,0),MATCH(Data!$C104,F_Inputs!$G$2:$T$2,0))</f>
        <v>0</v>
      </c>
      <c r="J104" s="139">
        <f t="array" ref="J104">INDEX(F_Inputs!$G$4:$T$381,MATCH(Data!$B104&amp;Data!J$6,F_Inputs!$A$4:$A$381&amp;F_Inputs!$B$4:$B$381,0),MATCH(Data!$C104,F_Inputs!$G$2:$T$2,0))</f>
        <v>0</v>
      </c>
      <c r="K104" s="139">
        <f t="array" ref="K104">INDEX(F_Inputs!$G$4:$T$381,MATCH(Data!$B104&amp;Data!K$6,F_Inputs!$A$4:$A$381&amp;F_Inputs!$B$4:$B$381,0),MATCH(Data!$C104,F_Inputs!$G$2:$T$2,0))</f>
        <v>0</v>
      </c>
      <c r="L104" s="139">
        <f t="array" ref="L104">INDEX(F_Inputs!$G$4:$T$381,MATCH(Data!$B104&amp;Data!L$6,F_Inputs!$A$4:$A$381&amp;F_Inputs!$B$4:$B$381,0),MATCH(Data!$C104,F_Inputs!$G$2:$T$2,0))</f>
        <v>0</v>
      </c>
      <c r="N104" s="139">
        <f t="array" ref="N104">INDEX(F_Inputs!$G$4:$T$381,MATCH(Data!$B104&amp;Data!N$6,F_Inputs!$A$4:$A$381&amp;F_Inputs!$B$4:$B$381,0),MATCH(Data!$C104,F_Inputs!$G$2:$T$2,0))</f>
        <v>682.760508398095</v>
      </c>
      <c r="O104" s="144"/>
      <c r="P104" s="139">
        <f t="array" ref="P104">INDEX(F_Inputs!$G$4:$T$381,MATCH(Data!$B104&amp;Data!P$6,F_Inputs!$A$4:$A$381&amp;F_Inputs!$B$4:$B$381,0),MATCH(Data!$C104,F_Inputs!$G$2:$T$2,0))</f>
        <v>0</v>
      </c>
      <c r="Q104" s="139">
        <f t="array" ref="Q104">INDEX(F_Inputs!$G$4:$T$381,MATCH(Data!$B104&amp;Data!Q$6,F_Inputs!$A$4:$A$381&amp;F_Inputs!$B$4:$B$381,0),MATCH(Data!$C104,F_Inputs!$G$2:$T$2,0))</f>
        <v>0</v>
      </c>
      <c r="R104" s="139">
        <f t="array" ref="R104">INDEX(F_Inputs!$G$4:$T$381,MATCH(Data!$B104&amp;Data!R$6,F_Inputs!$A$4:$A$381&amp;F_Inputs!$B$4:$B$381,0),MATCH(Data!$C104,F_Inputs!$G$2:$T$2,0))</f>
        <v>0</v>
      </c>
      <c r="S104" s="139">
        <f t="array" ref="S104">INDEX(F_Inputs!$G$4:$T$381,MATCH(Data!$B104&amp;Data!S$6,F_Inputs!$A$4:$A$381&amp;F_Inputs!$B$4:$B$381,0),MATCH(Data!$C104,F_Inputs!$G$2:$T$2,0))</f>
        <v>0</v>
      </c>
      <c r="U104" s="139">
        <f t="array" ref="U104">INDEX(F_Inputs!$G$4:$T$381,MATCH(Data!$B104&amp;Data!U$6,F_Inputs!$A$4:$A$381&amp;F_Inputs!$B$4:$B$381,0),MATCH(Data!$C104,F_Inputs!$G$2:$T$2,0))</f>
        <v>0</v>
      </c>
      <c r="V104" s="139">
        <f t="array" ref="V104">INDEX(F_Inputs!$G$4:$T$381,MATCH(Data!$B104&amp;Data!V$6,F_Inputs!$A$4:$A$381&amp;F_Inputs!$B$4:$B$381,0),MATCH(Data!$C104,F_Inputs!$G$2:$T$2,0))</f>
        <v>0</v>
      </c>
      <c r="W104" s="139">
        <f t="array" ref="W104">INDEX(F_Inputs!$G$4:$T$381,MATCH(Data!$B104&amp;Data!W$6,F_Inputs!$A$4:$A$381&amp;F_Inputs!$B$4:$B$381,0),MATCH(Data!$C104,F_Inputs!$G$2:$T$2,0))</f>
        <v>0</v>
      </c>
    </row>
    <row r="105" spans="1:23" x14ac:dyDescent="0.2">
      <c r="A105" s="138" t="str">
        <f>B105&amp;RIGHT(C105,2)</f>
        <v>TMS16</v>
      </c>
      <c r="B105" s="19" t="s">
        <v>31</v>
      </c>
      <c r="C105" s="143" t="s">
        <v>68</v>
      </c>
      <c r="D105" s="139">
        <f t="array" ref="D105">INDEX(F_Inputs!$G$4:$T$381,MATCH(Data!$B105&amp;Data!D$6,F_Inputs!$A$4:$A$381&amp;F_Inputs!$B$4:$B$381,0),MATCH(Data!$C105,F_Inputs!$G$2:$T$2,0))</f>
        <v>0.142489349286234</v>
      </c>
      <c r="E105" s="139">
        <f t="array" ref="E105">INDEX(F_Inputs!$G$4:$T$381,MATCH(Data!$B105&amp;Data!E$6,F_Inputs!$A$4:$A$381&amp;F_Inputs!$B$4:$B$381,0),MATCH(Data!$C105,F_Inputs!$G$2:$T$2,0))</f>
        <v>0.537990796046808</v>
      </c>
      <c r="F105" s="139">
        <f t="array" ref="F105">INDEX(F_Inputs!$G$4:$T$381,MATCH(Data!$B105&amp;Data!F$6,F_Inputs!$A$4:$A$381&amp;F_Inputs!$B$4:$B$381,0),MATCH(Data!$C105,F_Inputs!$G$2:$T$2,0))</f>
        <v>19.300390577544</v>
      </c>
      <c r="G105" s="139">
        <f t="array" ref="G105">INDEX(F_Inputs!$G$4:$T$381,MATCH(Data!$B105&amp;Data!G$6,F_Inputs!$A$4:$A$381&amp;F_Inputs!$B$4:$B$381,0),MATCH(Data!$C105,F_Inputs!$G$2:$T$2,0))</f>
        <v>23.063822938722701</v>
      </c>
      <c r="I105" s="139">
        <f t="array" ref="I105">INDEX(F_Inputs!$G$4:$T$381,MATCH(Data!$B105&amp;Data!I$6,F_Inputs!$A$4:$A$381&amp;F_Inputs!$B$4:$B$381,0),MATCH(Data!$C105,F_Inputs!$G$2:$T$2,0))</f>
        <v>0</v>
      </c>
      <c r="J105" s="139">
        <f t="array" ref="J105">INDEX(F_Inputs!$G$4:$T$381,MATCH(Data!$B105&amp;Data!J$6,F_Inputs!$A$4:$A$381&amp;F_Inputs!$B$4:$B$381,0),MATCH(Data!$C105,F_Inputs!$G$2:$T$2,0))</f>
        <v>0</v>
      </c>
      <c r="K105" s="139">
        <f t="array" ref="K105">INDEX(F_Inputs!$G$4:$T$381,MATCH(Data!$B105&amp;Data!K$6,F_Inputs!$A$4:$A$381&amp;F_Inputs!$B$4:$B$381,0),MATCH(Data!$C105,F_Inputs!$G$2:$T$2,0))</f>
        <v>0</v>
      </c>
      <c r="L105" s="139">
        <f t="array" ref="L105">INDEX(F_Inputs!$G$4:$T$381,MATCH(Data!$B105&amp;Data!L$6,F_Inputs!$A$4:$A$381&amp;F_Inputs!$B$4:$B$381,0),MATCH(Data!$C105,F_Inputs!$G$2:$T$2,0))</f>
        <v>0</v>
      </c>
      <c r="N105" s="139">
        <f t="array" ref="N105">INDEX(F_Inputs!$G$4:$T$381,MATCH(Data!$B105&amp;Data!N$6,F_Inputs!$A$4:$A$381&amp;F_Inputs!$B$4:$B$381,0),MATCH(Data!$C105,F_Inputs!$G$2:$T$2,0))</f>
        <v>747.528982861896</v>
      </c>
      <c r="O105" s="144"/>
      <c r="P105" s="139">
        <f t="array" ref="P105">INDEX(F_Inputs!$G$4:$T$381,MATCH(Data!$B105&amp;Data!P$6,F_Inputs!$A$4:$A$381&amp;F_Inputs!$B$4:$B$381,0),MATCH(Data!$C105,F_Inputs!$G$2:$T$2,0))</f>
        <v>0</v>
      </c>
      <c r="Q105" s="139">
        <f t="array" ref="Q105">INDEX(F_Inputs!$G$4:$T$381,MATCH(Data!$B105&amp;Data!Q$6,F_Inputs!$A$4:$A$381&amp;F_Inputs!$B$4:$B$381,0),MATCH(Data!$C105,F_Inputs!$G$2:$T$2,0))</f>
        <v>0</v>
      </c>
      <c r="R105" s="139">
        <f t="array" ref="R105">INDEX(F_Inputs!$G$4:$T$381,MATCH(Data!$B105&amp;Data!R$6,F_Inputs!$A$4:$A$381&amp;F_Inputs!$B$4:$B$381,0),MATCH(Data!$C105,F_Inputs!$G$2:$T$2,0))</f>
        <v>0</v>
      </c>
      <c r="S105" s="139">
        <f t="array" ref="S105">INDEX(F_Inputs!$G$4:$T$381,MATCH(Data!$B105&amp;Data!S$6,F_Inputs!$A$4:$A$381&amp;F_Inputs!$B$4:$B$381,0),MATCH(Data!$C105,F_Inputs!$G$2:$T$2,0))</f>
        <v>0</v>
      </c>
      <c r="U105" s="139">
        <f t="array" ref="U105">INDEX(F_Inputs!$G$4:$T$381,MATCH(Data!$B105&amp;Data!U$6,F_Inputs!$A$4:$A$381&amp;F_Inputs!$B$4:$B$381,0),MATCH(Data!$C105,F_Inputs!$G$2:$T$2,0))</f>
        <v>0</v>
      </c>
      <c r="V105" s="139">
        <f t="array" ref="V105">INDEX(F_Inputs!$G$4:$T$381,MATCH(Data!$B105&amp;Data!V$6,F_Inputs!$A$4:$A$381&amp;F_Inputs!$B$4:$B$381,0),MATCH(Data!$C105,F_Inputs!$G$2:$T$2,0))</f>
        <v>0</v>
      </c>
      <c r="W105" s="139">
        <f t="array" ref="W105">INDEX(F_Inputs!$G$4:$T$381,MATCH(Data!$B105&amp;Data!W$6,F_Inputs!$A$4:$A$381&amp;F_Inputs!$B$4:$B$381,0),MATCH(Data!$C105,F_Inputs!$G$2:$T$2,0))</f>
        <v>0</v>
      </c>
    </row>
    <row r="106" spans="1:23" x14ac:dyDescent="0.2">
      <c r="A106" s="138" t="str">
        <f>B106&amp;RIGHT(C106,2)</f>
        <v>TMS17</v>
      </c>
      <c r="B106" s="19" t="s">
        <v>31</v>
      </c>
      <c r="C106" s="143" t="s">
        <v>69</v>
      </c>
      <c r="D106" s="139">
        <f t="array" ref="D106">INDEX(F_Inputs!$G$4:$T$381,MATCH(Data!$B106&amp;Data!D$6,F_Inputs!$A$4:$A$381&amp;F_Inputs!$B$4:$B$381,0),MATCH(Data!$C106,F_Inputs!$G$2:$T$2,0))</f>
        <v>8.89949817885307E-2</v>
      </c>
      <c r="E106" s="139">
        <f t="array" ref="E106">INDEX(F_Inputs!$G$4:$T$381,MATCH(Data!$B106&amp;Data!E$6,F_Inputs!$A$4:$A$381&amp;F_Inputs!$B$4:$B$381,0),MATCH(Data!$C106,F_Inputs!$G$2:$T$2,0))</f>
        <v>3.71495197651317</v>
      </c>
      <c r="F106" s="139">
        <f t="array" ref="F106">INDEX(F_Inputs!$G$4:$T$381,MATCH(Data!$B106&amp;Data!F$6,F_Inputs!$A$4:$A$381&amp;F_Inputs!$B$4:$B$381,0),MATCH(Data!$C106,F_Inputs!$G$2:$T$2,0))</f>
        <v>11.0385523342954</v>
      </c>
      <c r="G106" s="139">
        <f t="array" ref="G106">INDEX(F_Inputs!$G$4:$T$381,MATCH(Data!$B106&amp;Data!G$6,F_Inputs!$A$4:$A$381&amp;F_Inputs!$B$4:$B$381,0),MATCH(Data!$C106,F_Inputs!$G$2:$T$2,0))</f>
        <v>5.7074033119252698</v>
      </c>
      <c r="I106" s="139">
        <f t="array" ref="I106">INDEX(F_Inputs!$G$4:$T$381,MATCH(Data!$B106&amp;Data!I$6,F_Inputs!$A$4:$A$381&amp;F_Inputs!$B$4:$B$381,0),MATCH(Data!$C106,F_Inputs!$G$2:$T$2,0))</f>
        <v>0</v>
      </c>
      <c r="J106" s="139">
        <f t="array" ref="J106">INDEX(F_Inputs!$G$4:$T$381,MATCH(Data!$B106&amp;Data!J$6,F_Inputs!$A$4:$A$381&amp;F_Inputs!$B$4:$B$381,0),MATCH(Data!$C106,F_Inputs!$G$2:$T$2,0))</f>
        <v>0</v>
      </c>
      <c r="K106" s="139">
        <f t="array" ref="K106">INDEX(F_Inputs!$G$4:$T$381,MATCH(Data!$B106&amp;Data!K$6,F_Inputs!$A$4:$A$381&amp;F_Inputs!$B$4:$B$381,0),MATCH(Data!$C106,F_Inputs!$G$2:$T$2,0))</f>
        <v>0</v>
      </c>
      <c r="L106" s="139">
        <f t="array" ref="L106">INDEX(F_Inputs!$G$4:$T$381,MATCH(Data!$B106&amp;Data!L$6,F_Inputs!$A$4:$A$381&amp;F_Inputs!$B$4:$B$381,0),MATCH(Data!$C106,F_Inputs!$G$2:$T$2,0))</f>
        <v>0</v>
      </c>
      <c r="N106" s="139">
        <f t="array" ref="N106">INDEX(F_Inputs!$G$4:$T$381,MATCH(Data!$B106&amp;Data!N$6,F_Inputs!$A$4:$A$381&amp;F_Inputs!$B$4:$B$381,0),MATCH(Data!$C106,F_Inputs!$G$2:$T$2,0))</f>
        <v>849.16099220352896</v>
      </c>
      <c r="O106" s="144"/>
      <c r="P106" s="139">
        <f t="array" ref="P106">INDEX(F_Inputs!$G$4:$T$381,MATCH(Data!$B106&amp;Data!P$6,F_Inputs!$A$4:$A$381&amp;F_Inputs!$B$4:$B$381,0),MATCH(Data!$C106,F_Inputs!$G$2:$T$2,0))</f>
        <v>0</v>
      </c>
      <c r="Q106" s="139">
        <f t="array" ref="Q106">INDEX(F_Inputs!$G$4:$T$381,MATCH(Data!$B106&amp;Data!Q$6,F_Inputs!$A$4:$A$381&amp;F_Inputs!$B$4:$B$381,0),MATCH(Data!$C106,F_Inputs!$G$2:$T$2,0))</f>
        <v>0</v>
      </c>
      <c r="R106" s="139">
        <f t="array" ref="R106">INDEX(F_Inputs!$G$4:$T$381,MATCH(Data!$B106&amp;Data!R$6,F_Inputs!$A$4:$A$381&amp;F_Inputs!$B$4:$B$381,0),MATCH(Data!$C106,F_Inputs!$G$2:$T$2,0))</f>
        <v>0</v>
      </c>
      <c r="S106" s="139">
        <f t="array" ref="S106">INDEX(F_Inputs!$G$4:$T$381,MATCH(Data!$B106&amp;Data!S$6,F_Inputs!$A$4:$A$381&amp;F_Inputs!$B$4:$B$381,0),MATCH(Data!$C106,F_Inputs!$G$2:$T$2,0))</f>
        <v>0</v>
      </c>
      <c r="U106" s="139">
        <f t="array" ref="U106">INDEX(F_Inputs!$G$4:$T$381,MATCH(Data!$B106&amp;Data!U$6,F_Inputs!$A$4:$A$381&amp;F_Inputs!$B$4:$B$381,0),MATCH(Data!$C106,F_Inputs!$G$2:$T$2,0))</f>
        <v>0</v>
      </c>
      <c r="V106" s="139">
        <f t="array" ref="V106">INDEX(F_Inputs!$G$4:$T$381,MATCH(Data!$B106&amp;Data!V$6,F_Inputs!$A$4:$A$381&amp;F_Inputs!$B$4:$B$381,0),MATCH(Data!$C106,F_Inputs!$G$2:$T$2,0))</f>
        <v>0</v>
      </c>
      <c r="W106" s="139">
        <f t="array" ref="W106">INDEX(F_Inputs!$G$4:$T$381,MATCH(Data!$B106&amp;Data!W$6,F_Inputs!$A$4:$A$381&amp;F_Inputs!$B$4:$B$381,0),MATCH(Data!$C106,F_Inputs!$G$2:$T$2,0))</f>
        <v>0</v>
      </c>
    </row>
    <row r="107" spans="1:23" x14ac:dyDescent="0.2">
      <c r="A107" s="141" t="s">
        <v>190</v>
      </c>
      <c r="B107" s="142" t="s">
        <v>31</v>
      </c>
      <c r="C107" s="142" t="s">
        <v>70</v>
      </c>
      <c r="D107" s="139">
        <f t="array" ref="D107">INDEX(F_Inputs!$G$4:$T$381,MATCH(Data!$B107&amp;Data!D$6,F_Inputs!$A$4:$A$381&amp;F_Inputs!$B$4:$B$381,0),MATCH(Data!$C107,F_Inputs!$G$2:$T$2,0))</f>
        <v>1.5493765533030701E-2</v>
      </c>
      <c r="E107" s="139">
        <f t="array" ref="E107">INDEX(F_Inputs!$G$4:$T$381,MATCH(Data!$B107&amp;Data!E$6,F_Inputs!$A$4:$A$381&amp;F_Inputs!$B$4:$B$381,0),MATCH(Data!$C107,F_Inputs!$G$2:$T$2,0))</f>
        <v>1.4568550634347099</v>
      </c>
      <c r="F107" s="139">
        <f t="array" ref="F107">INDEX(F_Inputs!$G$4:$T$381,MATCH(Data!$B107&amp;Data!F$6,F_Inputs!$A$4:$A$381&amp;F_Inputs!$B$4:$B$381,0),MATCH(Data!$C107,F_Inputs!$G$2:$T$2,0))</f>
        <v>11.353809583866999</v>
      </c>
      <c r="G107" s="139">
        <f t="array" ref="G107">INDEX(F_Inputs!$G$4:$T$381,MATCH(Data!$B107&amp;Data!G$6,F_Inputs!$A$4:$A$381&amp;F_Inputs!$B$4:$B$381,0),MATCH(Data!$C107,F_Inputs!$G$2:$T$2,0))</f>
        <v>5.5408066693459901</v>
      </c>
      <c r="I107" s="139">
        <f t="array" ref="I107">INDEX(F_Inputs!$G$4:$T$381,MATCH(Data!$B107&amp;Data!I$6,F_Inputs!$A$4:$A$381&amp;F_Inputs!$B$4:$B$381,0),MATCH(Data!$C107,F_Inputs!$G$2:$T$2,0))</f>
        <v>0.57205258179999996</v>
      </c>
      <c r="J107" s="139">
        <f t="array" ref="J107">INDEX(F_Inputs!$G$4:$T$381,MATCH(Data!$B107&amp;Data!J$6,F_Inputs!$A$4:$A$381&amp;F_Inputs!$B$4:$B$381,0),MATCH(Data!$C107,F_Inputs!$G$2:$T$2,0))</f>
        <v>4.3945541994156203</v>
      </c>
      <c r="K107" s="139">
        <f t="array" ref="K107">INDEX(F_Inputs!$G$4:$T$381,MATCH(Data!$B107&amp;Data!K$6,F_Inputs!$A$4:$A$381&amp;F_Inputs!$B$4:$B$381,0),MATCH(Data!$C107,F_Inputs!$G$2:$T$2,0))</f>
        <v>0.37578809965396398</v>
      </c>
      <c r="L107" s="139">
        <f t="array" ref="L107">INDEX(F_Inputs!$G$4:$T$381,MATCH(Data!$B107&amp;Data!L$6,F_Inputs!$A$4:$A$381&amp;F_Inputs!$B$4:$B$381,0),MATCH(Data!$C107,F_Inputs!$G$2:$T$2,0))</f>
        <v>10.163495692916801</v>
      </c>
      <c r="N107" s="139">
        <f t="array" ref="N107">INDEX(F_Inputs!$G$4:$T$381,MATCH(Data!$B107&amp;Data!N$6,F_Inputs!$A$4:$A$381&amp;F_Inputs!$B$4:$B$381,0),MATCH(Data!$C107,F_Inputs!$G$2:$T$2,0))</f>
        <v>895.28202717387603</v>
      </c>
      <c r="O107" s="144"/>
      <c r="P107" s="139">
        <f t="array" ref="P107">INDEX(F_Inputs!$G$4:$T$381,MATCH(Data!$B107&amp;Data!P$6,F_Inputs!$A$4:$A$381&amp;F_Inputs!$B$4:$B$381,0),MATCH(Data!$C107,F_Inputs!$G$2:$T$2,0))</f>
        <v>0</v>
      </c>
      <c r="Q107" s="139">
        <f t="array" ref="Q107">INDEX(F_Inputs!$G$4:$T$381,MATCH(Data!$B107&amp;Data!Q$6,F_Inputs!$A$4:$A$381&amp;F_Inputs!$B$4:$B$381,0),MATCH(Data!$C107,F_Inputs!$G$2:$T$2,0))</f>
        <v>0</v>
      </c>
      <c r="R107" s="139">
        <f t="array" ref="R107">INDEX(F_Inputs!$G$4:$T$381,MATCH(Data!$B107&amp;Data!R$6,F_Inputs!$A$4:$A$381&amp;F_Inputs!$B$4:$B$381,0),MATCH(Data!$C107,F_Inputs!$G$2:$T$2,0))</f>
        <v>8.7100000000000009</v>
      </c>
      <c r="S107" s="139">
        <f t="array" ref="S107">INDEX(F_Inputs!$G$4:$T$381,MATCH(Data!$B107&amp;Data!S$6,F_Inputs!$A$4:$A$381&amp;F_Inputs!$B$4:$B$381,0),MATCH(Data!$C107,F_Inputs!$G$2:$T$2,0))</f>
        <v>4.25</v>
      </c>
      <c r="U107" s="139">
        <f t="array" ref="U107">INDEX(F_Inputs!$G$4:$T$381,MATCH(Data!$B107&amp;Data!U$6,F_Inputs!$A$4:$A$381&amp;F_Inputs!$B$4:$B$381,0),MATCH(Data!$C107,F_Inputs!$G$2:$T$2,0))</f>
        <v>694.65</v>
      </c>
      <c r="V107" s="139">
        <f t="array" ref="V107">INDEX(F_Inputs!$G$4:$T$381,MATCH(Data!$B107&amp;Data!V$6,F_Inputs!$A$4:$A$381&amp;F_Inputs!$B$4:$B$381,0),MATCH(Data!$C107,F_Inputs!$G$2:$T$2,0))</f>
        <v>31460.6</v>
      </c>
      <c r="W107" s="139">
        <f t="array" ref="W107">INDEX(F_Inputs!$G$4:$T$381,MATCH(Data!$B107&amp;Data!W$6,F_Inputs!$A$4:$A$381&amp;F_Inputs!$B$4:$B$381,0),MATCH(Data!$C107,F_Inputs!$G$2:$T$2,0))</f>
        <v>3826.422</v>
      </c>
    </row>
    <row r="108" spans="1:23" x14ac:dyDescent="0.2">
      <c r="A108" s="141" t="s">
        <v>191</v>
      </c>
      <c r="B108" s="142" t="s">
        <v>31</v>
      </c>
      <c r="C108" s="142" t="s">
        <v>71</v>
      </c>
      <c r="D108" s="139">
        <f t="array" ref="D108">INDEX(F_Inputs!$G$4:$T$381,MATCH(Data!$B108&amp;Data!D$6,F_Inputs!$A$4:$A$381&amp;F_Inputs!$B$4:$B$381,0),MATCH(Data!$C108,F_Inputs!$G$2:$T$2,0))</f>
        <v>-0.13295869349554701</v>
      </c>
      <c r="E108" s="139">
        <f t="array" ref="E108">INDEX(F_Inputs!$G$4:$T$381,MATCH(Data!$B108&amp;Data!E$6,F_Inputs!$A$4:$A$381&amp;F_Inputs!$B$4:$B$381,0),MATCH(Data!$C108,F_Inputs!$G$2:$T$2,0))</f>
        <v>-0.18881416398846301</v>
      </c>
      <c r="F108" s="139">
        <f t="array" ref="F108">INDEX(F_Inputs!$G$4:$T$381,MATCH(Data!$B108&amp;Data!F$6,F_Inputs!$A$4:$A$381&amp;F_Inputs!$B$4:$B$381,0),MATCH(Data!$C108,F_Inputs!$G$2:$T$2,0))</f>
        <v>1.2365408275265201E-2</v>
      </c>
      <c r="G108" s="139">
        <f t="array" ref="G108">INDEX(F_Inputs!$G$4:$T$381,MATCH(Data!$B108&amp;Data!G$6,F_Inputs!$A$4:$A$381&amp;F_Inputs!$B$4:$B$381,0),MATCH(Data!$C108,F_Inputs!$G$2:$T$2,0))</f>
        <v>1.19840104088708</v>
      </c>
      <c r="I108" s="139">
        <f t="array" ref="I108">INDEX(F_Inputs!$G$4:$T$381,MATCH(Data!$B108&amp;Data!I$6,F_Inputs!$A$4:$A$381&amp;F_Inputs!$B$4:$B$381,0),MATCH(Data!$C108,F_Inputs!$G$2:$T$2,0))</f>
        <v>0.15729546990000001</v>
      </c>
      <c r="J108" s="139">
        <f t="array" ref="J108">INDEX(F_Inputs!$G$4:$T$381,MATCH(Data!$B108&amp;Data!J$6,F_Inputs!$A$4:$A$381&amp;F_Inputs!$B$4:$B$381,0),MATCH(Data!$C108,F_Inputs!$G$2:$T$2,0))</f>
        <v>4.8934653577146197</v>
      </c>
      <c r="K108" s="139">
        <f t="array" ref="K108">INDEX(F_Inputs!$G$4:$T$381,MATCH(Data!$B108&amp;Data!K$6,F_Inputs!$A$4:$A$381&amp;F_Inputs!$B$4:$B$381,0),MATCH(Data!$C108,F_Inputs!$G$2:$T$2,0))</f>
        <v>0.19590372401798201</v>
      </c>
      <c r="L108" s="139">
        <f t="array" ref="L108">INDEX(F_Inputs!$G$4:$T$381,MATCH(Data!$B108&amp;Data!L$6,F_Inputs!$A$4:$A$381&amp;F_Inputs!$B$4:$B$381,0),MATCH(Data!$C108,F_Inputs!$G$2:$T$2,0))</f>
        <v>8.3149861428502199</v>
      </c>
      <c r="N108" s="139">
        <f t="array" ref="N108">INDEX(F_Inputs!$G$4:$T$381,MATCH(Data!$B108&amp;Data!N$6,F_Inputs!$A$4:$A$381&amp;F_Inputs!$B$4:$B$381,0),MATCH(Data!$C108,F_Inputs!$G$2:$T$2,0))</f>
        <v>960.42430632176695</v>
      </c>
      <c r="O108" s="144"/>
      <c r="P108" s="139">
        <f t="array" ref="P108">INDEX(F_Inputs!$G$4:$T$381,MATCH(Data!$B108&amp;Data!P$6,F_Inputs!$A$4:$A$381&amp;F_Inputs!$B$4:$B$381,0),MATCH(Data!$C108,F_Inputs!$G$2:$T$2,0))</f>
        <v>0</v>
      </c>
      <c r="Q108" s="139">
        <f t="array" ref="Q108">INDEX(F_Inputs!$G$4:$T$381,MATCH(Data!$B108&amp;Data!Q$6,F_Inputs!$A$4:$A$381&amp;F_Inputs!$B$4:$B$381,0),MATCH(Data!$C108,F_Inputs!$G$2:$T$2,0))</f>
        <v>0</v>
      </c>
      <c r="R108" s="139">
        <f t="array" ref="R108">INDEX(F_Inputs!$G$4:$T$381,MATCH(Data!$B108&amp;Data!R$6,F_Inputs!$A$4:$A$381&amp;F_Inputs!$B$4:$B$381,0),MATCH(Data!$C108,F_Inputs!$G$2:$T$2,0))</f>
        <v>-5.37</v>
      </c>
      <c r="S108" s="139">
        <f t="array" ref="S108">INDEX(F_Inputs!$G$4:$T$381,MATCH(Data!$B108&amp;Data!S$6,F_Inputs!$A$4:$A$381&amp;F_Inputs!$B$4:$B$381,0),MATCH(Data!$C108,F_Inputs!$G$2:$T$2,0))</f>
        <v>-5.47</v>
      </c>
      <c r="U108" s="139">
        <f t="array" ref="U108">INDEX(F_Inputs!$G$4:$T$381,MATCH(Data!$B108&amp;Data!U$6,F_Inputs!$A$4:$A$381&amp;F_Inputs!$B$4:$B$381,0),MATCH(Data!$C108,F_Inputs!$G$2:$T$2,0))</f>
        <v>760.8</v>
      </c>
      <c r="V108" s="139">
        <f t="array" ref="V108">INDEX(F_Inputs!$G$4:$T$381,MATCH(Data!$B108&amp;Data!V$6,F_Inputs!$A$4:$A$381&amp;F_Inputs!$B$4:$B$381,0),MATCH(Data!$C108,F_Inputs!$G$2:$T$2,0))</f>
        <v>31623.817999999999</v>
      </c>
      <c r="W108" s="139">
        <f t="array" ref="W108">INDEX(F_Inputs!$G$4:$T$381,MATCH(Data!$B108&amp;Data!W$6,F_Inputs!$A$4:$A$381&amp;F_Inputs!$B$4:$B$381,0),MATCH(Data!$C108,F_Inputs!$G$2:$T$2,0))</f>
        <v>3998.4685708761399</v>
      </c>
    </row>
    <row r="109" spans="1:23" x14ac:dyDescent="0.2">
      <c r="A109" s="141" t="s">
        <v>192</v>
      </c>
      <c r="B109" s="142" t="s">
        <v>31</v>
      </c>
      <c r="C109" s="142" t="s">
        <v>72</v>
      </c>
      <c r="D109" s="139">
        <f t="array" ref="D109">INDEX(F_Inputs!$G$4:$T$381,MATCH(Data!$B109&amp;Data!D$6,F_Inputs!$A$4:$A$381&amp;F_Inputs!$B$4:$B$381,0),MATCH(Data!$C109,F_Inputs!$G$2:$T$2,0))</f>
        <v>7.1407787584343201E-3</v>
      </c>
      <c r="E109" s="139">
        <f t="array" ref="E109">INDEX(F_Inputs!$G$4:$T$381,MATCH(Data!$B109&amp;Data!E$6,F_Inputs!$A$4:$A$381&amp;F_Inputs!$B$4:$B$381,0),MATCH(Data!$C109,F_Inputs!$G$2:$T$2,0))</f>
        <v>0</v>
      </c>
      <c r="F109" s="139">
        <f t="array" ref="F109">INDEX(F_Inputs!$G$4:$T$381,MATCH(Data!$B109&amp;Data!F$6,F_Inputs!$A$4:$A$381&amp;F_Inputs!$B$4:$B$381,0),MATCH(Data!$C109,F_Inputs!$G$2:$T$2,0))</f>
        <v>26.814682363262801</v>
      </c>
      <c r="G109" s="139">
        <f t="array" ref="G109">INDEX(F_Inputs!$G$4:$T$381,MATCH(Data!$B109&amp;Data!G$6,F_Inputs!$A$4:$A$381&amp;F_Inputs!$B$4:$B$381,0),MATCH(Data!$C109,F_Inputs!$G$2:$T$2,0))</f>
        <v>38.719241492226701</v>
      </c>
      <c r="I109" s="139">
        <f t="array" ref="I109">INDEX(F_Inputs!$G$4:$T$381,MATCH(Data!$B109&amp;Data!I$6,F_Inputs!$A$4:$A$381&amp;F_Inputs!$B$4:$B$381,0),MATCH(Data!$C109,F_Inputs!$G$2:$T$2,0))</f>
        <v>0.20524999999999999</v>
      </c>
      <c r="J109" s="139">
        <f t="array" ref="J109">INDEX(F_Inputs!$G$4:$T$381,MATCH(Data!$B109&amp;Data!J$6,F_Inputs!$A$4:$A$381&amp;F_Inputs!$B$4:$B$381,0),MATCH(Data!$C109,F_Inputs!$G$2:$T$2,0))</f>
        <v>4.6146846344136598</v>
      </c>
      <c r="K109" s="139">
        <f t="array" ref="K109">INDEX(F_Inputs!$G$4:$T$381,MATCH(Data!$B109&amp;Data!K$6,F_Inputs!$A$4:$A$381&amp;F_Inputs!$B$4:$B$381,0),MATCH(Data!$C109,F_Inputs!$G$2:$T$2,0))</f>
        <v>0.284507923606306</v>
      </c>
      <c r="L109" s="139">
        <f t="array" ref="L109">INDEX(F_Inputs!$G$4:$T$381,MATCH(Data!$B109&amp;Data!L$6,F_Inputs!$A$4:$A$381&amp;F_Inputs!$B$4:$B$381,0),MATCH(Data!$C109,F_Inputs!$G$2:$T$2,0))</f>
        <v>9.1772861702097703</v>
      </c>
      <c r="N109" s="139">
        <f t="array" ref="N109">INDEX(F_Inputs!$G$4:$T$381,MATCH(Data!$B109&amp;Data!N$6,F_Inputs!$A$4:$A$381&amp;F_Inputs!$B$4:$B$381,0),MATCH(Data!$C109,F_Inputs!$G$2:$T$2,0))</f>
        <v>1024.59450303019</v>
      </c>
      <c r="O109" s="144"/>
      <c r="P109" s="139">
        <f t="array" ref="P109">INDEX(F_Inputs!$G$4:$T$381,MATCH(Data!$B109&amp;Data!P$6,F_Inputs!$A$4:$A$381&amp;F_Inputs!$B$4:$B$381,0),MATCH(Data!$C109,F_Inputs!$G$2:$T$2,0))</f>
        <v>0</v>
      </c>
      <c r="Q109" s="139">
        <f t="array" ref="Q109">INDEX(F_Inputs!$G$4:$T$381,MATCH(Data!$B109&amp;Data!Q$6,F_Inputs!$A$4:$A$381&amp;F_Inputs!$B$4:$B$381,0),MATCH(Data!$C109,F_Inputs!$G$2:$T$2,0))</f>
        <v>0</v>
      </c>
      <c r="R109" s="139">
        <f t="array" ref="R109">INDEX(F_Inputs!$G$4:$T$381,MATCH(Data!$B109&amp;Data!R$6,F_Inputs!$A$4:$A$381&amp;F_Inputs!$B$4:$B$381,0),MATCH(Data!$C109,F_Inputs!$G$2:$T$2,0))</f>
        <v>103.88</v>
      </c>
      <c r="S109" s="139">
        <f t="array" ref="S109">INDEX(F_Inputs!$G$4:$T$381,MATCH(Data!$B109&amp;Data!S$6,F_Inputs!$A$4:$A$381&amp;F_Inputs!$B$4:$B$381,0),MATCH(Data!$C109,F_Inputs!$G$2:$T$2,0))</f>
        <v>103.78</v>
      </c>
      <c r="U109" s="139">
        <f t="array" ref="U109">INDEX(F_Inputs!$G$4:$T$381,MATCH(Data!$B109&amp;Data!U$6,F_Inputs!$A$4:$A$381&amp;F_Inputs!$B$4:$B$381,0),MATCH(Data!$C109,F_Inputs!$G$2:$T$2,0))</f>
        <v>674.6</v>
      </c>
      <c r="V109" s="139">
        <f t="array" ref="V109">INDEX(F_Inputs!$G$4:$T$381,MATCH(Data!$B109&amp;Data!V$6,F_Inputs!$A$4:$A$381&amp;F_Inputs!$B$4:$B$381,0),MATCH(Data!$C109,F_Inputs!$G$2:$T$2,0))</f>
        <v>31772.290272491002</v>
      </c>
      <c r="W109" s="139">
        <f t="array" ref="W109">INDEX(F_Inputs!$G$4:$T$381,MATCH(Data!$B109&amp;Data!W$6,F_Inputs!$A$4:$A$381&amp;F_Inputs!$B$4:$B$381,0),MATCH(Data!$C109,F_Inputs!$G$2:$T$2,0))</f>
        <v>4047.0309935697201</v>
      </c>
    </row>
    <row r="110" spans="1:23" x14ac:dyDescent="0.2">
      <c r="A110" s="141" t="s">
        <v>193</v>
      </c>
      <c r="B110" s="142" t="s">
        <v>31</v>
      </c>
      <c r="C110" s="142" t="s">
        <v>73</v>
      </c>
      <c r="D110" s="139">
        <f t="array" ref="D110">INDEX(F_Inputs!$G$4:$T$381,MATCH(Data!$B110&amp;Data!D$6,F_Inputs!$A$4:$A$381&amp;F_Inputs!$B$4:$B$381,0),MATCH(Data!$C110,F_Inputs!$G$2:$T$2,0))</f>
        <v>0</v>
      </c>
      <c r="E110" s="139">
        <f t="array" ref="E110">INDEX(F_Inputs!$G$4:$T$381,MATCH(Data!$B110&amp;Data!E$6,F_Inputs!$A$4:$A$381&amp;F_Inputs!$B$4:$B$381,0),MATCH(Data!$C110,F_Inputs!$G$2:$T$2,0))</f>
        <v>0.1421656499</v>
      </c>
      <c r="F110" s="139">
        <f t="array" ref="F110">INDEX(F_Inputs!$G$4:$T$381,MATCH(Data!$B110&amp;Data!F$6,F_Inputs!$A$4:$A$381&amp;F_Inputs!$B$4:$B$381,0),MATCH(Data!$C110,F_Inputs!$G$2:$T$2,0))</f>
        <v>0.94418110399999999</v>
      </c>
      <c r="G110" s="139">
        <f t="array" ref="G110">INDEX(F_Inputs!$G$4:$T$381,MATCH(Data!$B110&amp;Data!G$6,F_Inputs!$A$4:$A$381&amp;F_Inputs!$B$4:$B$381,0),MATCH(Data!$C110,F_Inputs!$G$2:$T$2,0))</f>
        <v>13.7394504799</v>
      </c>
      <c r="I110" s="139">
        <f t="array" ref="I110">INDEX(F_Inputs!$G$4:$T$381,MATCH(Data!$B110&amp;Data!I$6,F_Inputs!$A$4:$A$381&amp;F_Inputs!$B$4:$B$381,0),MATCH(Data!$C110,F_Inputs!$G$2:$T$2,0))</f>
        <v>0</v>
      </c>
      <c r="J110" s="139">
        <f t="array" ref="J110">INDEX(F_Inputs!$G$4:$T$381,MATCH(Data!$B110&amp;Data!J$6,F_Inputs!$A$4:$A$381&amp;F_Inputs!$B$4:$B$381,0),MATCH(Data!$C110,F_Inputs!$G$2:$T$2,0))</f>
        <v>2.6499992147000002</v>
      </c>
      <c r="K110" s="139">
        <f t="array" ref="K110">INDEX(F_Inputs!$G$4:$T$381,MATCH(Data!$B110&amp;Data!K$6,F_Inputs!$A$4:$A$381&amp;F_Inputs!$B$4:$B$381,0),MATCH(Data!$C110,F_Inputs!$G$2:$T$2,0))</f>
        <v>3.5835683024999998</v>
      </c>
      <c r="L110" s="139">
        <f t="array" ref="L110">INDEX(F_Inputs!$G$4:$T$381,MATCH(Data!$B110&amp;Data!L$6,F_Inputs!$A$4:$A$381&amp;F_Inputs!$B$4:$B$381,0),MATCH(Data!$C110,F_Inputs!$G$2:$T$2,0))</f>
        <v>11.692029552299999</v>
      </c>
      <c r="N110" s="139">
        <f t="array" ref="N110">INDEX(F_Inputs!$G$4:$T$381,MATCH(Data!$B110&amp;Data!N$6,F_Inputs!$A$4:$A$381&amp;F_Inputs!$B$4:$B$381,0),MATCH(Data!$C110,F_Inputs!$G$2:$T$2,0))</f>
        <v>1009.83778747926</v>
      </c>
      <c r="O110" s="144"/>
      <c r="P110" s="139">
        <f t="array" ref="P110">INDEX(F_Inputs!$G$4:$T$381,MATCH(Data!$B110&amp;Data!P$6,F_Inputs!$A$4:$A$381&amp;F_Inputs!$B$4:$B$381,0),MATCH(Data!$C110,F_Inputs!$G$2:$T$2,0))</f>
        <v>21</v>
      </c>
      <c r="Q110" s="139">
        <f t="array" ref="Q110">INDEX(F_Inputs!$G$4:$T$381,MATCH(Data!$B110&amp;Data!Q$6,F_Inputs!$A$4:$A$381&amp;F_Inputs!$B$4:$B$381,0),MATCH(Data!$C110,F_Inputs!$G$2:$T$2,0))</f>
        <v>21</v>
      </c>
      <c r="R110" s="139">
        <f t="array" ref="R110">INDEX(F_Inputs!$G$4:$T$381,MATCH(Data!$B110&amp;Data!R$6,F_Inputs!$A$4:$A$381&amp;F_Inputs!$B$4:$B$381,0),MATCH(Data!$C110,F_Inputs!$G$2:$T$2,0))</f>
        <v>56.506875798207098</v>
      </c>
      <c r="S110" s="139">
        <f t="array" ref="S110">INDEX(F_Inputs!$G$4:$T$381,MATCH(Data!$B110&amp;Data!S$6,F_Inputs!$A$4:$A$381&amp;F_Inputs!$B$4:$B$381,0),MATCH(Data!$C110,F_Inputs!$G$2:$T$2,0))</f>
        <v>56.119001222519699</v>
      </c>
      <c r="U110" s="139">
        <f t="array" ref="U110">INDEX(F_Inputs!$G$4:$T$381,MATCH(Data!$B110&amp;Data!U$6,F_Inputs!$A$4:$A$381&amp;F_Inputs!$B$4:$B$381,0),MATCH(Data!$C110,F_Inputs!$G$2:$T$2,0))</f>
        <v>623.12</v>
      </c>
      <c r="V110" s="139">
        <f t="array" ref="V110">INDEX(F_Inputs!$G$4:$T$381,MATCH(Data!$B110&amp;Data!V$6,F_Inputs!$A$4:$A$381&amp;F_Inputs!$B$4:$B$381,0),MATCH(Data!$C110,F_Inputs!$G$2:$T$2,0))</f>
        <v>31915.879953453699</v>
      </c>
      <c r="W110" s="139">
        <f t="array" ref="W110">INDEX(F_Inputs!$G$4:$T$381,MATCH(Data!$B110&amp;Data!W$6,F_Inputs!$A$4:$A$381&amp;F_Inputs!$B$4:$B$381,0),MATCH(Data!$C110,F_Inputs!$G$2:$T$2,0))</f>
        <v>4094.7350357331202</v>
      </c>
    </row>
    <row r="111" spans="1:23" x14ac:dyDescent="0.2">
      <c r="A111" s="141" t="s">
        <v>194</v>
      </c>
      <c r="B111" s="142" t="s">
        <v>31</v>
      </c>
      <c r="C111" s="142" t="s">
        <v>74</v>
      </c>
      <c r="D111" s="139">
        <f t="array" ref="D111">INDEX(F_Inputs!$G$4:$T$381,MATCH(Data!$B111&amp;Data!D$6,F_Inputs!$A$4:$A$381&amp;F_Inputs!$B$4:$B$381,0),MATCH(Data!$C111,F_Inputs!$G$2:$T$2,0))</f>
        <v>0</v>
      </c>
      <c r="E111" s="139">
        <f t="array" ref="E111">INDEX(F_Inputs!$G$4:$T$381,MATCH(Data!$B111&amp;Data!E$6,F_Inputs!$A$4:$A$381&amp;F_Inputs!$B$4:$B$381,0),MATCH(Data!$C111,F_Inputs!$G$2:$T$2,0))</f>
        <v>2.8540393028</v>
      </c>
      <c r="F111" s="139">
        <f t="array" ref="F111">INDEX(F_Inputs!$G$4:$T$381,MATCH(Data!$B111&amp;Data!F$6,F_Inputs!$A$4:$A$381&amp;F_Inputs!$B$4:$B$381,0),MATCH(Data!$C111,F_Inputs!$G$2:$T$2,0))</f>
        <v>0.88950617620000005</v>
      </c>
      <c r="G111" s="139">
        <f t="array" ref="G111">INDEX(F_Inputs!$G$4:$T$381,MATCH(Data!$B111&amp;Data!G$6,F_Inputs!$A$4:$A$381&amp;F_Inputs!$B$4:$B$381,0),MATCH(Data!$C111,F_Inputs!$G$2:$T$2,0))</f>
        <v>23.439389701</v>
      </c>
      <c r="I111" s="139">
        <f t="array" ref="I111">INDEX(F_Inputs!$G$4:$T$381,MATCH(Data!$B111&amp;Data!I$6,F_Inputs!$A$4:$A$381&amp;F_Inputs!$B$4:$B$381,0),MATCH(Data!$C111,F_Inputs!$G$2:$T$2,0))</f>
        <v>0</v>
      </c>
      <c r="J111" s="139">
        <f t="array" ref="J111">INDEX(F_Inputs!$G$4:$T$381,MATCH(Data!$B111&amp;Data!J$6,F_Inputs!$A$4:$A$381&amp;F_Inputs!$B$4:$B$381,0),MATCH(Data!$C111,F_Inputs!$G$2:$T$2,0))</f>
        <v>3.0979260051000002</v>
      </c>
      <c r="K111" s="139">
        <f t="array" ref="K111">INDEX(F_Inputs!$G$4:$T$381,MATCH(Data!$B111&amp;Data!K$6,F_Inputs!$A$4:$A$381&amp;F_Inputs!$B$4:$B$381,0),MATCH(Data!$C111,F_Inputs!$G$2:$T$2,0))</f>
        <v>3.5835685813000002</v>
      </c>
      <c r="L111" s="139">
        <f t="array" ref="L111">INDEX(F_Inputs!$G$4:$T$381,MATCH(Data!$B111&amp;Data!L$6,F_Inputs!$A$4:$A$381&amp;F_Inputs!$B$4:$B$381,0),MATCH(Data!$C111,F_Inputs!$G$2:$T$2,0))</f>
        <v>11.692030462</v>
      </c>
      <c r="N111" s="139">
        <f t="array" ref="N111">INDEX(F_Inputs!$G$4:$T$381,MATCH(Data!$B111&amp;Data!N$6,F_Inputs!$A$4:$A$381&amp;F_Inputs!$B$4:$B$381,0),MATCH(Data!$C111,F_Inputs!$G$2:$T$2,0))</f>
        <v>1101.9035525818099</v>
      </c>
      <c r="O111" s="144"/>
      <c r="P111" s="139">
        <f t="array" ref="P111">INDEX(F_Inputs!$G$4:$T$381,MATCH(Data!$B111&amp;Data!P$6,F_Inputs!$A$4:$A$381&amp;F_Inputs!$B$4:$B$381,0),MATCH(Data!$C111,F_Inputs!$G$2:$T$2,0))</f>
        <v>0</v>
      </c>
      <c r="Q111" s="139">
        <f t="array" ref="Q111">INDEX(F_Inputs!$G$4:$T$381,MATCH(Data!$B111&amp;Data!Q$6,F_Inputs!$A$4:$A$381&amp;F_Inputs!$B$4:$B$381,0),MATCH(Data!$C111,F_Inputs!$G$2:$T$2,0))</f>
        <v>0</v>
      </c>
      <c r="R111" s="139">
        <f t="array" ref="R111">INDEX(F_Inputs!$G$4:$T$381,MATCH(Data!$B111&amp;Data!R$6,F_Inputs!$A$4:$A$381&amp;F_Inputs!$B$4:$B$381,0),MATCH(Data!$C111,F_Inputs!$G$2:$T$2,0))</f>
        <v>35.125278853539399</v>
      </c>
      <c r="S111" s="139">
        <f t="array" ref="S111">INDEX(F_Inputs!$G$4:$T$381,MATCH(Data!$B111&amp;Data!S$6,F_Inputs!$A$4:$A$381&amp;F_Inputs!$B$4:$B$381,0),MATCH(Data!$C111,F_Inputs!$G$2:$T$2,0))</f>
        <v>34.204767780392103</v>
      </c>
      <c r="U111" s="139">
        <f t="array" ref="U111">INDEX(F_Inputs!$G$4:$T$381,MATCH(Data!$B111&amp;Data!U$6,F_Inputs!$A$4:$A$381&amp;F_Inputs!$B$4:$B$381,0),MATCH(Data!$C111,F_Inputs!$G$2:$T$2,0))</f>
        <v>603.51</v>
      </c>
      <c r="V111" s="139">
        <f t="array" ref="V111">INDEX(F_Inputs!$G$4:$T$381,MATCH(Data!$B111&amp;Data!V$6,F_Inputs!$A$4:$A$381&amp;F_Inputs!$B$4:$B$381,0),MATCH(Data!$C111,F_Inputs!$G$2:$T$2,0))</f>
        <v>32051.748949952402</v>
      </c>
      <c r="W111" s="139">
        <f t="array" ref="W111">INDEX(F_Inputs!$G$4:$T$381,MATCH(Data!$B111&amp;Data!W$6,F_Inputs!$A$4:$A$381&amp;F_Inputs!$B$4:$B$381,0),MATCH(Data!$C111,F_Inputs!$G$2:$T$2,0))</f>
        <v>4139.8742539067598</v>
      </c>
    </row>
    <row r="112" spans="1:23" x14ac:dyDescent="0.2">
      <c r="A112" s="141" t="s">
        <v>195</v>
      </c>
      <c r="B112" s="142" t="s">
        <v>31</v>
      </c>
      <c r="C112" s="142" t="s">
        <v>75</v>
      </c>
      <c r="D112" s="139">
        <f t="array" ref="D112">INDEX(F_Inputs!$G$4:$T$381,MATCH(Data!$B112&amp;Data!D$6,F_Inputs!$A$4:$A$381&amp;F_Inputs!$B$4:$B$381,0),MATCH(Data!$C112,F_Inputs!$G$2:$T$2,0))</f>
        <v>0</v>
      </c>
      <c r="E112" s="139">
        <f t="array" ref="E112">INDEX(F_Inputs!$G$4:$T$381,MATCH(Data!$B112&amp;Data!E$6,F_Inputs!$A$4:$A$381&amp;F_Inputs!$B$4:$B$381,0),MATCH(Data!$C112,F_Inputs!$G$2:$T$2,0))</f>
        <v>12.2789301427</v>
      </c>
      <c r="F112" s="139">
        <f t="array" ref="F112">INDEX(F_Inputs!$G$4:$T$381,MATCH(Data!$B112&amp;Data!F$6,F_Inputs!$A$4:$A$381&amp;F_Inputs!$B$4:$B$381,0),MATCH(Data!$C112,F_Inputs!$G$2:$T$2,0))</f>
        <v>0.82389366720000001</v>
      </c>
      <c r="G112" s="139">
        <f t="array" ref="G112">INDEX(F_Inputs!$G$4:$T$381,MATCH(Data!$B112&amp;Data!G$6,F_Inputs!$A$4:$A$381&amp;F_Inputs!$B$4:$B$381,0),MATCH(Data!$C112,F_Inputs!$G$2:$T$2,0))</f>
        <v>30.031057241100001</v>
      </c>
      <c r="I112" s="139">
        <f t="array" ref="I112">INDEX(F_Inputs!$G$4:$T$381,MATCH(Data!$B112&amp;Data!I$6,F_Inputs!$A$4:$A$381&amp;F_Inputs!$B$4:$B$381,0),MATCH(Data!$C112,F_Inputs!$G$2:$T$2,0))</f>
        <v>0</v>
      </c>
      <c r="J112" s="139">
        <f t="array" ref="J112">INDEX(F_Inputs!$G$4:$T$381,MATCH(Data!$B112&amp;Data!J$6,F_Inputs!$A$4:$A$381&amp;F_Inputs!$B$4:$B$381,0),MATCH(Data!$C112,F_Inputs!$G$2:$T$2,0))</f>
        <v>3.7529784263999999</v>
      </c>
      <c r="K112" s="139">
        <f t="array" ref="K112">INDEX(F_Inputs!$G$4:$T$381,MATCH(Data!$B112&amp;Data!K$6,F_Inputs!$A$4:$A$381&amp;F_Inputs!$B$4:$B$381,0),MATCH(Data!$C112,F_Inputs!$G$2:$T$2,0))</f>
        <v>3.5835679623000001</v>
      </c>
      <c r="L112" s="139">
        <f t="array" ref="L112">INDEX(F_Inputs!$G$4:$T$381,MATCH(Data!$B112&amp;Data!L$6,F_Inputs!$A$4:$A$381&amp;F_Inputs!$B$4:$B$381,0),MATCH(Data!$C112,F_Inputs!$G$2:$T$2,0))</f>
        <v>11.6920284433</v>
      </c>
      <c r="N112" s="139">
        <f t="array" ref="N112">INDEX(F_Inputs!$G$4:$T$381,MATCH(Data!$B112&amp;Data!N$6,F_Inputs!$A$4:$A$381&amp;F_Inputs!$B$4:$B$381,0),MATCH(Data!$C112,F_Inputs!$G$2:$T$2,0))</f>
        <v>1077.4233264437501</v>
      </c>
      <c r="O112" s="144"/>
      <c r="P112" s="139">
        <f t="array" ref="P112">INDEX(F_Inputs!$G$4:$T$381,MATCH(Data!$B112&amp;Data!P$6,F_Inputs!$A$4:$A$381&amp;F_Inputs!$B$4:$B$381,0),MATCH(Data!$C112,F_Inputs!$G$2:$T$2,0))</f>
        <v>0</v>
      </c>
      <c r="Q112" s="139">
        <f t="array" ref="Q112">INDEX(F_Inputs!$G$4:$T$381,MATCH(Data!$B112&amp;Data!Q$6,F_Inputs!$A$4:$A$381&amp;F_Inputs!$B$4:$B$381,0),MATCH(Data!$C112,F_Inputs!$G$2:$T$2,0))</f>
        <v>0</v>
      </c>
      <c r="R112" s="139">
        <f t="array" ref="R112">INDEX(F_Inputs!$G$4:$T$381,MATCH(Data!$B112&amp;Data!R$6,F_Inputs!$A$4:$A$381&amp;F_Inputs!$B$4:$B$381,0),MATCH(Data!$C112,F_Inputs!$G$2:$T$2,0))</f>
        <v>39.348355730924602</v>
      </c>
      <c r="S112" s="139">
        <f t="array" ref="S112">INDEX(F_Inputs!$G$4:$T$381,MATCH(Data!$B112&amp;Data!S$6,F_Inputs!$A$4:$A$381&amp;F_Inputs!$B$4:$B$381,0),MATCH(Data!$C112,F_Inputs!$G$2:$T$2,0))</f>
        <v>38.372019725159099</v>
      </c>
      <c r="U112" s="139">
        <f t="array" ref="U112">INDEX(F_Inputs!$G$4:$T$381,MATCH(Data!$B112&amp;Data!U$6,F_Inputs!$A$4:$A$381&amp;F_Inputs!$B$4:$B$381,0),MATCH(Data!$C112,F_Inputs!$G$2:$T$2,0))</f>
        <v>580.85530702518599</v>
      </c>
      <c r="V112" s="139">
        <f t="array" ref="V112">INDEX(F_Inputs!$G$4:$T$381,MATCH(Data!$B112&amp;Data!V$6,F_Inputs!$A$4:$A$381&amp;F_Inputs!$B$4:$B$381,0),MATCH(Data!$C112,F_Inputs!$G$2:$T$2,0))</f>
        <v>32182.069083696999</v>
      </c>
      <c r="W112" s="139">
        <f t="array" ref="W112">INDEX(F_Inputs!$G$4:$T$381,MATCH(Data!$B112&amp;Data!W$6,F_Inputs!$A$4:$A$381&amp;F_Inputs!$B$4:$B$381,0),MATCH(Data!$C112,F_Inputs!$G$2:$T$2,0))</f>
        <v>4181.8305665547696</v>
      </c>
    </row>
    <row r="113" spans="1:23" x14ac:dyDescent="0.2">
      <c r="A113" s="141" t="s">
        <v>196</v>
      </c>
      <c r="B113" s="142" t="s">
        <v>31</v>
      </c>
      <c r="C113" s="142" t="s">
        <v>76</v>
      </c>
      <c r="D113" s="139">
        <f t="array" ref="D113">INDEX(F_Inputs!$G$4:$T$381,MATCH(Data!$B113&amp;Data!D$6,F_Inputs!$A$4:$A$381&amp;F_Inputs!$B$4:$B$381,0),MATCH(Data!$C113,F_Inputs!$G$2:$T$2,0))</f>
        <v>0.60226412559999998</v>
      </c>
      <c r="E113" s="139">
        <f t="array" ref="E113">INDEX(F_Inputs!$G$4:$T$381,MATCH(Data!$B113&amp;Data!E$6,F_Inputs!$A$4:$A$381&amp;F_Inputs!$B$4:$B$381,0),MATCH(Data!$C113,F_Inputs!$G$2:$T$2,0))</f>
        <v>18.6841234784</v>
      </c>
      <c r="F113" s="139">
        <f t="array" ref="F113">INDEX(F_Inputs!$G$4:$T$381,MATCH(Data!$B113&amp;Data!F$6,F_Inputs!$A$4:$A$381&amp;F_Inputs!$B$4:$B$381,0),MATCH(Data!$C113,F_Inputs!$G$2:$T$2,0))</f>
        <v>0.82389439149999999</v>
      </c>
      <c r="G113" s="139">
        <f t="array" ref="G113">INDEX(F_Inputs!$G$4:$T$381,MATCH(Data!$B113&amp;Data!G$6,F_Inputs!$A$4:$A$381&amp;F_Inputs!$B$4:$B$381,0),MATCH(Data!$C113,F_Inputs!$G$2:$T$2,0))</f>
        <v>26.971485735800002</v>
      </c>
      <c r="I113" s="139">
        <f t="array" ref="I113">INDEX(F_Inputs!$G$4:$T$381,MATCH(Data!$B113&amp;Data!I$6,F_Inputs!$A$4:$A$381&amp;F_Inputs!$B$4:$B$381,0),MATCH(Data!$C113,F_Inputs!$G$2:$T$2,0))</f>
        <v>0</v>
      </c>
      <c r="J113" s="139">
        <f t="array" ref="J113">INDEX(F_Inputs!$G$4:$T$381,MATCH(Data!$B113&amp;Data!J$6,F_Inputs!$A$4:$A$381&amp;F_Inputs!$B$4:$B$381,0),MATCH(Data!$C113,F_Inputs!$G$2:$T$2,0))</f>
        <v>1.5100922797</v>
      </c>
      <c r="K113" s="139">
        <f t="array" ref="K113">INDEX(F_Inputs!$G$4:$T$381,MATCH(Data!$B113&amp;Data!K$6,F_Inputs!$A$4:$A$381&amp;F_Inputs!$B$4:$B$381,0),MATCH(Data!$C113,F_Inputs!$G$2:$T$2,0))</f>
        <v>3.5835680532</v>
      </c>
      <c r="L113" s="139">
        <f t="array" ref="L113">INDEX(F_Inputs!$G$4:$T$381,MATCH(Data!$B113&amp;Data!L$6,F_Inputs!$A$4:$A$381&amp;F_Inputs!$B$4:$B$381,0),MATCH(Data!$C113,F_Inputs!$G$2:$T$2,0))</f>
        <v>11.6920287395</v>
      </c>
      <c r="N113" s="139">
        <f t="array" ref="N113">INDEX(F_Inputs!$G$4:$T$381,MATCH(Data!$B113&amp;Data!N$6,F_Inputs!$A$4:$A$381&amp;F_Inputs!$B$4:$B$381,0),MATCH(Data!$C113,F_Inputs!$G$2:$T$2,0))</f>
        <v>1033.96949039486</v>
      </c>
      <c r="O113" s="144"/>
      <c r="P113" s="139">
        <f t="array" ref="P113">INDEX(F_Inputs!$G$4:$T$381,MATCH(Data!$B113&amp;Data!P$6,F_Inputs!$A$4:$A$381&amp;F_Inputs!$B$4:$B$381,0),MATCH(Data!$C113,F_Inputs!$G$2:$T$2,0))</f>
        <v>0</v>
      </c>
      <c r="Q113" s="139">
        <f t="array" ref="Q113">INDEX(F_Inputs!$G$4:$T$381,MATCH(Data!$B113&amp;Data!Q$6,F_Inputs!$A$4:$A$381&amp;F_Inputs!$B$4:$B$381,0),MATCH(Data!$C113,F_Inputs!$G$2:$T$2,0))</f>
        <v>0</v>
      </c>
      <c r="R113" s="139">
        <f t="array" ref="R113">INDEX(F_Inputs!$G$4:$T$381,MATCH(Data!$B113&amp;Data!R$6,F_Inputs!$A$4:$A$381&amp;F_Inputs!$B$4:$B$381,0),MATCH(Data!$C113,F_Inputs!$G$2:$T$2,0))</f>
        <v>38.810216073662097</v>
      </c>
      <c r="S113" s="139">
        <f t="array" ref="S113">INDEX(F_Inputs!$G$4:$T$381,MATCH(Data!$B113&amp;Data!S$6,F_Inputs!$A$4:$A$381&amp;F_Inputs!$B$4:$B$381,0),MATCH(Data!$C113,F_Inputs!$G$2:$T$2,0))</f>
        <v>37.889406057377101</v>
      </c>
      <c r="U113" s="139">
        <f t="array" ref="U113">INDEX(F_Inputs!$G$4:$T$381,MATCH(Data!$B113&amp;Data!U$6,F_Inputs!$A$4:$A$381&amp;F_Inputs!$B$4:$B$381,0),MATCH(Data!$C113,F_Inputs!$G$2:$T$2,0))</f>
        <v>558.21530702518601</v>
      </c>
      <c r="V113" s="139">
        <f t="array" ref="V113">INDEX(F_Inputs!$G$4:$T$381,MATCH(Data!$B113&amp;Data!V$6,F_Inputs!$A$4:$A$381&amp;F_Inputs!$B$4:$B$381,0),MATCH(Data!$C113,F_Inputs!$G$2:$T$2,0))</f>
        <v>32304.7813114659</v>
      </c>
      <c r="W113" s="139">
        <f t="array" ref="W113">INDEX(F_Inputs!$G$4:$T$381,MATCH(Data!$B113&amp;Data!W$6,F_Inputs!$A$4:$A$381&amp;F_Inputs!$B$4:$B$381,0),MATCH(Data!$C113,F_Inputs!$G$2:$T$2,0))</f>
        <v>4222.5988756330398</v>
      </c>
    </row>
    <row r="114" spans="1:23" x14ac:dyDescent="0.2">
      <c r="A114" s="141" t="s">
        <v>197</v>
      </c>
      <c r="B114" s="142" t="s">
        <v>31</v>
      </c>
      <c r="C114" s="142" t="s">
        <v>24</v>
      </c>
      <c r="D114" s="139">
        <f t="array" ref="D114">INDEX(F_Inputs!$G$4:$T$381,MATCH(Data!$B114&amp;Data!D$6,F_Inputs!$A$4:$A$381&amp;F_Inputs!$B$4:$B$381,0),MATCH(Data!$C114,F_Inputs!$G$2:$T$2,0))</f>
        <v>1.8245059764</v>
      </c>
      <c r="E114" s="139">
        <f t="array" ref="E114">INDEX(F_Inputs!$G$4:$T$381,MATCH(Data!$B114&amp;Data!E$6,F_Inputs!$A$4:$A$381&amp;F_Inputs!$B$4:$B$381,0),MATCH(Data!$C114,F_Inputs!$G$2:$T$2,0))</f>
        <v>23.1560716563</v>
      </c>
      <c r="F114" s="139">
        <f t="array" ref="F114">INDEX(F_Inputs!$G$4:$T$381,MATCH(Data!$B114&amp;Data!F$6,F_Inputs!$A$4:$A$381&amp;F_Inputs!$B$4:$B$381,0),MATCH(Data!$C114,F_Inputs!$G$2:$T$2,0))</f>
        <v>0.82936454169999996</v>
      </c>
      <c r="G114" s="139">
        <f t="array" ref="G114">INDEX(F_Inputs!$G$4:$T$381,MATCH(Data!$B114&amp;Data!G$6,F_Inputs!$A$4:$A$381&amp;F_Inputs!$B$4:$B$381,0),MATCH(Data!$C114,F_Inputs!$G$2:$T$2,0))</f>
        <v>23.860393176999999</v>
      </c>
      <c r="I114" s="139">
        <f t="array" ref="I114">INDEX(F_Inputs!$G$4:$T$381,MATCH(Data!$B114&amp;Data!I$6,F_Inputs!$A$4:$A$381&amp;F_Inputs!$B$4:$B$381,0),MATCH(Data!$C114,F_Inputs!$G$2:$T$2,0))</f>
        <v>0</v>
      </c>
      <c r="J114" s="139">
        <f t="array" ref="J114">INDEX(F_Inputs!$G$4:$T$381,MATCH(Data!$B114&amp;Data!J$6,F_Inputs!$A$4:$A$381&amp;F_Inputs!$B$4:$B$381,0),MATCH(Data!$C114,F_Inputs!$G$2:$T$2,0))</f>
        <v>1.7229922402</v>
      </c>
      <c r="K114" s="139">
        <f t="array" ref="K114">INDEX(F_Inputs!$G$4:$T$381,MATCH(Data!$B114&amp;Data!K$6,F_Inputs!$A$4:$A$381&amp;F_Inputs!$B$4:$B$381,0),MATCH(Data!$C114,F_Inputs!$G$2:$T$2,0))</f>
        <v>3.5835681082000002</v>
      </c>
      <c r="L114" s="139">
        <f t="array" ref="L114">INDEX(F_Inputs!$G$4:$T$381,MATCH(Data!$B114&amp;Data!L$6,F_Inputs!$A$4:$A$381&amp;F_Inputs!$B$4:$B$381,0),MATCH(Data!$C114,F_Inputs!$G$2:$T$2,0))</f>
        <v>11.692028919</v>
      </c>
      <c r="N114" s="139">
        <f t="array" ref="N114">INDEX(F_Inputs!$G$4:$T$381,MATCH(Data!$B114&amp;Data!N$6,F_Inputs!$A$4:$A$381&amp;F_Inputs!$B$4:$B$381,0),MATCH(Data!$C114,F_Inputs!$G$2:$T$2,0))</f>
        <v>997.91877911500603</v>
      </c>
      <c r="O114" s="144"/>
      <c r="P114" s="139">
        <f t="array" ref="P114">INDEX(F_Inputs!$G$4:$T$381,MATCH(Data!$B114&amp;Data!P$6,F_Inputs!$A$4:$A$381&amp;F_Inputs!$B$4:$B$381,0),MATCH(Data!$C114,F_Inputs!$G$2:$T$2,0))</f>
        <v>17.600000000000001</v>
      </c>
      <c r="Q114" s="139">
        <f t="array" ref="Q114">INDEX(F_Inputs!$G$4:$T$381,MATCH(Data!$B114&amp;Data!Q$6,F_Inputs!$A$4:$A$381&amp;F_Inputs!$B$4:$B$381,0),MATCH(Data!$C114,F_Inputs!$G$2:$T$2,0))</f>
        <v>17.600000000000001</v>
      </c>
      <c r="R114" s="139">
        <f t="array" ref="R114">INDEX(F_Inputs!$G$4:$T$381,MATCH(Data!$B114&amp;Data!R$6,F_Inputs!$A$4:$A$381&amp;F_Inputs!$B$4:$B$381,0),MATCH(Data!$C114,F_Inputs!$G$2:$T$2,0))</f>
        <v>32.987767725622199</v>
      </c>
      <c r="S114" s="139">
        <f t="array" ref="S114">INDEX(F_Inputs!$G$4:$T$381,MATCH(Data!$B114&amp;Data!S$6,F_Inputs!$A$4:$A$381&amp;F_Inputs!$B$4:$B$381,0),MATCH(Data!$C114,F_Inputs!$G$2:$T$2,0))</f>
        <v>32.093985777143601</v>
      </c>
      <c r="U114" s="139">
        <f t="array" ref="U114">INDEX(F_Inputs!$G$4:$T$381,MATCH(Data!$B114&amp;Data!U$6,F_Inputs!$A$4:$A$381&amp;F_Inputs!$B$4:$B$381,0),MATCH(Data!$C114,F_Inputs!$G$2:$T$2,0))</f>
        <v>540.2997284777</v>
      </c>
      <c r="V114" s="139">
        <f t="array" ref="V114">INDEX(F_Inputs!$G$4:$T$381,MATCH(Data!$B114&amp;Data!V$6,F_Inputs!$A$4:$A$381&amp;F_Inputs!$B$4:$B$381,0),MATCH(Data!$C114,F_Inputs!$G$2:$T$2,0))</f>
        <v>32467.154538499301</v>
      </c>
      <c r="W114" s="139">
        <f t="array" ref="W114">INDEX(F_Inputs!$G$4:$T$381,MATCH(Data!$B114&amp;Data!W$6,F_Inputs!$A$4:$A$381&amp;F_Inputs!$B$4:$B$381,0),MATCH(Data!$C114,F_Inputs!$G$2:$T$2,0))</f>
        <v>4262.5682979499497</v>
      </c>
    </row>
    <row r="115" spans="1:23" x14ac:dyDescent="0.2">
      <c r="A115" s="138" t="str">
        <f t="shared" ref="A115" si="5">B115&amp;RIGHT(C115,2)</f>
        <v>WSH12</v>
      </c>
      <c r="B115" s="19" t="s">
        <v>27</v>
      </c>
      <c r="C115" s="143" t="s">
        <v>64</v>
      </c>
      <c r="D115" s="139">
        <f t="array" ref="D115">INDEX(F_Inputs!$G$4:$T$381,MATCH(Data!$B115&amp;Data!D$6,F_Inputs!$A$4:$A$381&amp;F_Inputs!$B$4:$B$381,0),MATCH(Data!$C115,F_Inputs!$G$2:$T$2,0))</f>
        <v>0</v>
      </c>
      <c r="E115" s="139">
        <f t="array" ref="E115">INDEX(F_Inputs!$G$4:$T$381,MATCH(Data!$B115&amp;Data!E$6,F_Inputs!$A$4:$A$381&amp;F_Inputs!$B$4:$B$381,0),MATCH(Data!$C115,F_Inputs!$G$2:$T$2,0))</f>
        <v>0</v>
      </c>
      <c r="F115" s="139">
        <f t="array" ref="F115">INDEX(F_Inputs!$G$4:$T$381,MATCH(Data!$B115&amp;Data!F$6,F_Inputs!$A$4:$A$381&amp;F_Inputs!$B$4:$B$381,0),MATCH(Data!$C115,F_Inputs!$G$2:$T$2,0))</f>
        <v>0</v>
      </c>
      <c r="G115" s="139">
        <f t="array" ref="G115">INDEX(F_Inputs!$G$4:$T$381,MATCH(Data!$B115&amp;Data!G$6,F_Inputs!$A$4:$A$381&amp;F_Inputs!$B$4:$B$381,0),MATCH(Data!$C115,F_Inputs!$G$2:$T$2,0))</f>
        <v>0</v>
      </c>
      <c r="I115" s="139">
        <f t="array" ref="I115">INDEX(F_Inputs!$G$4:$T$381,MATCH(Data!$B115&amp;Data!I$6,F_Inputs!$A$4:$A$381&amp;F_Inputs!$B$4:$B$381,0),MATCH(Data!$C115,F_Inputs!$G$2:$T$2,0))</f>
        <v>0</v>
      </c>
      <c r="J115" s="139">
        <f t="array" ref="J115">INDEX(F_Inputs!$G$4:$T$381,MATCH(Data!$B115&amp;Data!J$6,F_Inputs!$A$4:$A$381&amp;F_Inputs!$B$4:$B$381,0),MATCH(Data!$C115,F_Inputs!$G$2:$T$2,0))</f>
        <v>0</v>
      </c>
      <c r="K115" s="139">
        <f t="array" ref="K115">INDEX(F_Inputs!$G$4:$T$381,MATCH(Data!$B115&amp;Data!K$6,F_Inputs!$A$4:$A$381&amp;F_Inputs!$B$4:$B$381,0),MATCH(Data!$C115,F_Inputs!$G$2:$T$2,0))</f>
        <v>0</v>
      </c>
      <c r="L115" s="139">
        <f t="array" ref="L115">INDEX(F_Inputs!$G$4:$T$381,MATCH(Data!$B115&amp;Data!L$6,F_Inputs!$A$4:$A$381&amp;F_Inputs!$B$4:$B$381,0),MATCH(Data!$C115,F_Inputs!$G$2:$T$2,0))</f>
        <v>0</v>
      </c>
      <c r="N115" s="139">
        <f t="array" ref="N115">INDEX(F_Inputs!$G$4:$T$381,MATCH(Data!$B115&amp;Data!N$6,F_Inputs!$A$4:$A$381&amp;F_Inputs!$B$4:$B$381,0),MATCH(Data!$C115,F_Inputs!$G$2:$T$2,0))</f>
        <v>273.907589997348</v>
      </c>
      <c r="O115" s="144"/>
      <c r="P115" s="139">
        <f t="array" ref="P115">INDEX(F_Inputs!$G$4:$T$381,MATCH(Data!$B115&amp;Data!P$6,F_Inputs!$A$4:$A$381&amp;F_Inputs!$B$4:$B$381,0),MATCH(Data!$C115,F_Inputs!$G$2:$T$2,0))</f>
        <v>0</v>
      </c>
      <c r="Q115" s="139">
        <f t="array" ref="Q115">INDEX(F_Inputs!$G$4:$T$381,MATCH(Data!$B115&amp;Data!Q$6,F_Inputs!$A$4:$A$381&amp;F_Inputs!$B$4:$B$381,0),MATCH(Data!$C115,F_Inputs!$G$2:$T$2,0))</f>
        <v>0</v>
      </c>
      <c r="R115" s="139">
        <f t="array" ref="R115">INDEX(F_Inputs!$G$4:$T$381,MATCH(Data!$B115&amp;Data!R$6,F_Inputs!$A$4:$A$381&amp;F_Inputs!$B$4:$B$381,0),MATCH(Data!$C115,F_Inputs!$G$2:$T$2,0))</f>
        <v>0</v>
      </c>
      <c r="S115" s="139">
        <f t="array" ref="S115">INDEX(F_Inputs!$G$4:$T$381,MATCH(Data!$B115&amp;Data!S$6,F_Inputs!$A$4:$A$381&amp;F_Inputs!$B$4:$B$381,0),MATCH(Data!$C115,F_Inputs!$G$2:$T$2,0))</f>
        <v>0</v>
      </c>
      <c r="U115" s="139">
        <f t="array" ref="U115">INDEX(F_Inputs!$G$4:$T$381,MATCH(Data!$B115&amp;Data!U$6,F_Inputs!$A$4:$A$381&amp;F_Inputs!$B$4:$B$381,0),MATCH(Data!$C115,F_Inputs!$G$2:$T$2,0))</f>
        <v>0</v>
      </c>
      <c r="V115" s="139">
        <f t="array" ref="V115">INDEX(F_Inputs!$G$4:$T$381,MATCH(Data!$B115&amp;Data!V$6,F_Inputs!$A$4:$A$381&amp;F_Inputs!$B$4:$B$381,0),MATCH(Data!$C115,F_Inputs!$G$2:$T$2,0))</f>
        <v>0</v>
      </c>
      <c r="W115" s="139">
        <f t="array" ref="W115">INDEX(F_Inputs!$G$4:$T$381,MATCH(Data!$B115&amp;Data!W$6,F_Inputs!$A$4:$A$381&amp;F_Inputs!$B$4:$B$381,0),MATCH(Data!$C115,F_Inputs!$G$2:$T$2,0))</f>
        <v>0</v>
      </c>
    </row>
    <row r="116" spans="1:23" x14ac:dyDescent="0.2">
      <c r="A116" s="138" t="str">
        <f>B116&amp;RIGHT(C116,2)</f>
        <v>WSH13</v>
      </c>
      <c r="B116" s="19" t="s">
        <v>27</v>
      </c>
      <c r="C116" s="143" t="s">
        <v>65</v>
      </c>
      <c r="D116" s="139">
        <f t="array" ref="D116">INDEX(F_Inputs!$G$4:$T$381,MATCH(Data!$B116&amp;Data!D$6,F_Inputs!$A$4:$A$381&amp;F_Inputs!$B$4:$B$381,0),MATCH(Data!$C116,F_Inputs!$G$2:$T$2,0))</f>
        <v>0</v>
      </c>
      <c r="E116" s="139">
        <f t="array" ref="E116">INDEX(F_Inputs!$G$4:$T$381,MATCH(Data!$B116&amp;Data!E$6,F_Inputs!$A$4:$A$381&amp;F_Inputs!$B$4:$B$381,0),MATCH(Data!$C116,F_Inputs!$G$2:$T$2,0))</f>
        <v>0</v>
      </c>
      <c r="F116" s="139">
        <f t="array" ref="F116">INDEX(F_Inputs!$G$4:$T$381,MATCH(Data!$B116&amp;Data!F$6,F_Inputs!$A$4:$A$381&amp;F_Inputs!$B$4:$B$381,0),MATCH(Data!$C116,F_Inputs!$G$2:$T$2,0))</f>
        <v>0</v>
      </c>
      <c r="G116" s="139">
        <f t="array" ref="G116">INDEX(F_Inputs!$G$4:$T$381,MATCH(Data!$B116&amp;Data!G$6,F_Inputs!$A$4:$A$381&amp;F_Inputs!$B$4:$B$381,0),MATCH(Data!$C116,F_Inputs!$G$2:$T$2,0))</f>
        <v>0</v>
      </c>
      <c r="I116" s="139">
        <f t="array" ref="I116">INDEX(F_Inputs!$G$4:$T$381,MATCH(Data!$B116&amp;Data!I$6,F_Inputs!$A$4:$A$381&amp;F_Inputs!$B$4:$B$381,0),MATCH(Data!$C116,F_Inputs!$G$2:$T$2,0))</f>
        <v>0</v>
      </c>
      <c r="J116" s="139">
        <f t="array" ref="J116">INDEX(F_Inputs!$G$4:$T$381,MATCH(Data!$B116&amp;Data!J$6,F_Inputs!$A$4:$A$381&amp;F_Inputs!$B$4:$B$381,0),MATCH(Data!$C116,F_Inputs!$G$2:$T$2,0))</f>
        <v>0</v>
      </c>
      <c r="K116" s="139">
        <f t="array" ref="K116">INDEX(F_Inputs!$G$4:$T$381,MATCH(Data!$B116&amp;Data!K$6,F_Inputs!$A$4:$A$381&amp;F_Inputs!$B$4:$B$381,0),MATCH(Data!$C116,F_Inputs!$G$2:$T$2,0))</f>
        <v>0</v>
      </c>
      <c r="L116" s="139">
        <f t="array" ref="L116">INDEX(F_Inputs!$G$4:$T$381,MATCH(Data!$B116&amp;Data!L$6,F_Inputs!$A$4:$A$381&amp;F_Inputs!$B$4:$B$381,0),MATCH(Data!$C116,F_Inputs!$G$2:$T$2,0))</f>
        <v>0</v>
      </c>
      <c r="N116" s="139">
        <f t="array" ref="N116">INDEX(F_Inputs!$G$4:$T$381,MATCH(Data!$B116&amp;Data!N$6,F_Inputs!$A$4:$A$381&amp;F_Inputs!$B$4:$B$381,0),MATCH(Data!$C116,F_Inputs!$G$2:$T$2,0))</f>
        <v>296.85078930112201</v>
      </c>
      <c r="O116" s="144"/>
      <c r="P116" s="139">
        <f t="array" ref="P116">INDEX(F_Inputs!$G$4:$T$381,MATCH(Data!$B116&amp;Data!P$6,F_Inputs!$A$4:$A$381&amp;F_Inputs!$B$4:$B$381,0),MATCH(Data!$C116,F_Inputs!$G$2:$T$2,0))</f>
        <v>0</v>
      </c>
      <c r="Q116" s="139">
        <f t="array" ref="Q116">INDEX(F_Inputs!$G$4:$T$381,MATCH(Data!$B116&amp;Data!Q$6,F_Inputs!$A$4:$A$381&amp;F_Inputs!$B$4:$B$381,0),MATCH(Data!$C116,F_Inputs!$G$2:$T$2,0))</f>
        <v>0</v>
      </c>
      <c r="R116" s="139">
        <f t="array" ref="R116">INDEX(F_Inputs!$G$4:$T$381,MATCH(Data!$B116&amp;Data!R$6,F_Inputs!$A$4:$A$381&amp;F_Inputs!$B$4:$B$381,0),MATCH(Data!$C116,F_Inputs!$G$2:$T$2,0))</f>
        <v>0</v>
      </c>
      <c r="S116" s="139">
        <f t="array" ref="S116">INDEX(F_Inputs!$G$4:$T$381,MATCH(Data!$B116&amp;Data!S$6,F_Inputs!$A$4:$A$381&amp;F_Inputs!$B$4:$B$381,0),MATCH(Data!$C116,F_Inputs!$G$2:$T$2,0))</f>
        <v>0</v>
      </c>
      <c r="U116" s="139">
        <f t="array" ref="U116">INDEX(F_Inputs!$G$4:$T$381,MATCH(Data!$B116&amp;Data!U$6,F_Inputs!$A$4:$A$381&amp;F_Inputs!$B$4:$B$381,0),MATCH(Data!$C116,F_Inputs!$G$2:$T$2,0))</f>
        <v>0</v>
      </c>
      <c r="V116" s="139">
        <f t="array" ref="V116">INDEX(F_Inputs!$G$4:$T$381,MATCH(Data!$B116&amp;Data!V$6,F_Inputs!$A$4:$A$381&amp;F_Inputs!$B$4:$B$381,0),MATCH(Data!$C116,F_Inputs!$G$2:$T$2,0))</f>
        <v>0</v>
      </c>
      <c r="W116" s="139">
        <f t="array" ref="W116">INDEX(F_Inputs!$G$4:$T$381,MATCH(Data!$B116&amp;Data!W$6,F_Inputs!$A$4:$A$381&amp;F_Inputs!$B$4:$B$381,0),MATCH(Data!$C116,F_Inputs!$G$2:$T$2,0))</f>
        <v>0</v>
      </c>
    </row>
    <row r="117" spans="1:23" x14ac:dyDescent="0.2">
      <c r="A117" s="138" t="str">
        <f>B117&amp;RIGHT(C117,2)</f>
        <v>WSH14</v>
      </c>
      <c r="B117" s="19" t="s">
        <v>27</v>
      </c>
      <c r="C117" s="143" t="s">
        <v>66</v>
      </c>
      <c r="D117" s="139">
        <f t="array" ref="D117">INDEX(F_Inputs!$G$4:$T$381,MATCH(Data!$B117&amp;Data!D$6,F_Inputs!$A$4:$A$381&amp;F_Inputs!$B$4:$B$381,0),MATCH(Data!$C117,F_Inputs!$G$2:$T$2,0))</f>
        <v>0</v>
      </c>
      <c r="E117" s="139">
        <f t="array" ref="E117">INDEX(F_Inputs!$G$4:$T$381,MATCH(Data!$B117&amp;Data!E$6,F_Inputs!$A$4:$A$381&amp;F_Inputs!$B$4:$B$381,0),MATCH(Data!$C117,F_Inputs!$G$2:$T$2,0))</f>
        <v>0</v>
      </c>
      <c r="F117" s="139">
        <f t="array" ref="F117">INDEX(F_Inputs!$G$4:$T$381,MATCH(Data!$B117&amp;Data!F$6,F_Inputs!$A$4:$A$381&amp;F_Inputs!$B$4:$B$381,0),MATCH(Data!$C117,F_Inputs!$G$2:$T$2,0))</f>
        <v>0</v>
      </c>
      <c r="G117" s="139">
        <f t="array" ref="G117">INDEX(F_Inputs!$G$4:$T$381,MATCH(Data!$B117&amp;Data!G$6,F_Inputs!$A$4:$A$381&amp;F_Inputs!$B$4:$B$381,0),MATCH(Data!$C117,F_Inputs!$G$2:$T$2,0))</f>
        <v>0</v>
      </c>
      <c r="I117" s="139">
        <f t="array" ref="I117">INDEX(F_Inputs!$G$4:$T$381,MATCH(Data!$B117&amp;Data!I$6,F_Inputs!$A$4:$A$381&amp;F_Inputs!$B$4:$B$381,0),MATCH(Data!$C117,F_Inputs!$G$2:$T$2,0))</f>
        <v>0</v>
      </c>
      <c r="J117" s="139">
        <f t="array" ref="J117">INDEX(F_Inputs!$G$4:$T$381,MATCH(Data!$B117&amp;Data!J$6,F_Inputs!$A$4:$A$381&amp;F_Inputs!$B$4:$B$381,0),MATCH(Data!$C117,F_Inputs!$G$2:$T$2,0))</f>
        <v>0</v>
      </c>
      <c r="K117" s="139">
        <f t="array" ref="K117">INDEX(F_Inputs!$G$4:$T$381,MATCH(Data!$B117&amp;Data!K$6,F_Inputs!$A$4:$A$381&amp;F_Inputs!$B$4:$B$381,0),MATCH(Data!$C117,F_Inputs!$G$2:$T$2,0))</f>
        <v>0</v>
      </c>
      <c r="L117" s="139">
        <f t="array" ref="L117">INDEX(F_Inputs!$G$4:$T$381,MATCH(Data!$B117&amp;Data!L$6,F_Inputs!$A$4:$A$381&amp;F_Inputs!$B$4:$B$381,0),MATCH(Data!$C117,F_Inputs!$G$2:$T$2,0))</f>
        <v>0</v>
      </c>
      <c r="N117" s="139">
        <f t="array" ref="N117">INDEX(F_Inputs!$G$4:$T$381,MATCH(Data!$B117&amp;Data!N$6,F_Inputs!$A$4:$A$381&amp;F_Inputs!$B$4:$B$381,0),MATCH(Data!$C117,F_Inputs!$G$2:$T$2,0))</f>
        <v>299.669423089926</v>
      </c>
      <c r="O117" s="144"/>
      <c r="P117" s="139">
        <f t="array" ref="P117">INDEX(F_Inputs!$G$4:$T$381,MATCH(Data!$B117&amp;Data!P$6,F_Inputs!$A$4:$A$381&amp;F_Inputs!$B$4:$B$381,0),MATCH(Data!$C117,F_Inputs!$G$2:$T$2,0))</f>
        <v>0</v>
      </c>
      <c r="Q117" s="139">
        <f t="array" ref="Q117">INDEX(F_Inputs!$G$4:$T$381,MATCH(Data!$B117&amp;Data!Q$6,F_Inputs!$A$4:$A$381&amp;F_Inputs!$B$4:$B$381,0),MATCH(Data!$C117,F_Inputs!$G$2:$T$2,0))</f>
        <v>0</v>
      </c>
      <c r="R117" s="139">
        <f t="array" ref="R117">INDEX(F_Inputs!$G$4:$T$381,MATCH(Data!$B117&amp;Data!R$6,F_Inputs!$A$4:$A$381&amp;F_Inputs!$B$4:$B$381,0),MATCH(Data!$C117,F_Inputs!$G$2:$T$2,0))</f>
        <v>0</v>
      </c>
      <c r="S117" s="139">
        <f t="array" ref="S117">INDEX(F_Inputs!$G$4:$T$381,MATCH(Data!$B117&amp;Data!S$6,F_Inputs!$A$4:$A$381&amp;F_Inputs!$B$4:$B$381,0),MATCH(Data!$C117,F_Inputs!$G$2:$T$2,0))</f>
        <v>0</v>
      </c>
      <c r="U117" s="139">
        <f t="array" ref="U117">INDEX(F_Inputs!$G$4:$T$381,MATCH(Data!$B117&amp;Data!U$6,F_Inputs!$A$4:$A$381&amp;F_Inputs!$B$4:$B$381,0),MATCH(Data!$C117,F_Inputs!$G$2:$T$2,0))</f>
        <v>0</v>
      </c>
      <c r="V117" s="139">
        <f t="array" ref="V117">INDEX(F_Inputs!$G$4:$T$381,MATCH(Data!$B117&amp;Data!V$6,F_Inputs!$A$4:$A$381&amp;F_Inputs!$B$4:$B$381,0),MATCH(Data!$C117,F_Inputs!$G$2:$T$2,0))</f>
        <v>0</v>
      </c>
      <c r="W117" s="139">
        <f t="array" ref="W117">INDEX(F_Inputs!$G$4:$T$381,MATCH(Data!$B117&amp;Data!W$6,F_Inputs!$A$4:$A$381&amp;F_Inputs!$B$4:$B$381,0),MATCH(Data!$C117,F_Inputs!$G$2:$T$2,0))</f>
        <v>0</v>
      </c>
    </row>
    <row r="118" spans="1:23" x14ac:dyDescent="0.2">
      <c r="A118" s="138" t="str">
        <f>B118&amp;RIGHT(C118,2)</f>
        <v>WSH15</v>
      </c>
      <c r="B118" s="19" t="s">
        <v>27</v>
      </c>
      <c r="C118" s="143" t="s">
        <v>67</v>
      </c>
      <c r="D118" s="139">
        <f t="array" ref="D118">INDEX(F_Inputs!$G$4:$T$381,MATCH(Data!$B118&amp;Data!D$6,F_Inputs!$A$4:$A$381&amp;F_Inputs!$B$4:$B$381,0),MATCH(Data!$C118,F_Inputs!$G$2:$T$2,0))</f>
        <v>0</v>
      </c>
      <c r="E118" s="139">
        <f t="array" ref="E118">INDEX(F_Inputs!$G$4:$T$381,MATCH(Data!$B118&amp;Data!E$6,F_Inputs!$A$4:$A$381&amp;F_Inputs!$B$4:$B$381,0),MATCH(Data!$C118,F_Inputs!$G$2:$T$2,0))</f>
        <v>0</v>
      </c>
      <c r="F118" s="139">
        <f t="array" ref="F118">INDEX(F_Inputs!$G$4:$T$381,MATCH(Data!$B118&amp;Data!F$6,F_Inputs!$A$4:$A$381&amp;F_Inputs!$B$4:$B$381,0),MATCH(Data!$C118,F_Inputs!$G$2:$T$2,0))</f>
        <v>0</v>
      </c>
      <c r="G118" s="139">
        <f t="array" ref="G118">INDEX(F_Inputs!$G$4:$T$381,MATCH(Data!$B118&amp;Data!G$6,F_Inputs!$A$4:$A$381&amp;F_Inputs!$B$4:$B$381,0),MATCH(Data!$C118,F_Inputs!$G$2:$T$2,0))</f>
        <v>0</v>
      </c>
      <c r="I118" s="139">
        <f t="array" ref="I118">INDEX(F_Inputs!$G$4:$T$381,MATCH(Data!$B118&amp;Data!I$6,F_Inputs!$A$4:$A$381&amp;F_Inputs!$B$4:$B$381,0),MATCH(Data!$C118,F_Inputs!$G$2:$T$2,0))</f>
        <v>0</v>
      </c>
      <c r="J118" s="139">
        <f t="array" ref="J118">INDEX(F_Inputs!$G$4:$T$381,MATCH(Data!$B118&amp;Data!J$6,F_Inputs!$A$4:$A$381&amp;F_Inputs!$B$4:$B$381,0),MATCH(Data!$C118,F_Inputs!$G$2:$T$2,0))</f>
        <v>0</v>
      </c>
      <c r="K118" s="139">
        <f t="array" ref="K118">INDEX(F_Inputs!$G$4:$T$381,MATCH(Data!$B118&amp;Data!K$6,F_Inputs!$A$4:$A$381&amp;F_Inputs!$B$4:$B$381,0),MATCH(Data!$C118,F_Inputs!$G$2:$T$2,0))</f>
        <v>0</v>
      </c>
      <c r="L118" s="139">
        <f t="array" ref="L118">INDEX(F_Inputs!$G$4:$T$381,MATCH(Data!$B118&amp;Data!L$6,F_Inputs!$A$4:$A$381&amp;F_Inputs!$B$4:$B$381,0),MATCH(Data!$C118,F_Inputs!$G$2:$T$2,0))</f>
        <v>0</v>
      </c>
      <c r="N118" s="139">
        <f t="array" ref="N118">INDEX(F_Inputs!$G$4:$T$381,MATCH(Data!$B118&amp;Data!N$6,F_Inputs!$A$4:$A$381&amp;F_Inputs!$B$4:$B$381,0),MATCH(Data!$C118,F_Inputs!$G$2:$T$2,0))</f>
        <v>330.27042834461298</v>
      </c>
      <c r="O118" s="144"/>
      <c r="P118" s="139">
        <f t="array" ref="P118">INDEX(F_Inputs!$G$4:$T$381,MATCH(Data!$B118&amp;Data!P$6,F_Inputs!$A$4:$A$381&amp;F_Inputs!$B$4:$B$381,0),MATCH(Data!$C118,F_Inputs!$G$2:$T$2,0))</f>
        <v>0</v>
      </c>
      <c r="Q118" s="139">
        <f t="array" ref="Q118">INDEX(F_Inputs!$G$4:$T$381,MATCH(Data!$B118&amp;Data!Q$6,F_Inputs!$A$4:$A$381&amp;F_Inputs!$B$4:$B$381,0),MATCH(Data!$C118,F_Inputs!$G$2:$T$2,0))</f>
        <v>0</v>
      </c>
      <c r="R118" s="139">
        <f t="array" ref="R118">INDEX(F_Inputs!$G$4:$T$381,MATCH(Data!$B118&amp;Data!R$6,F_Inputs!$A$4:$A$381&amp;F_Inputs!$B$4:$B$381,0),MATCH(Data!$C118,F_Inputs!$G$2:$T$2,0))</f>
        <v>0</v>
      </c>
      <c r="S118" s="139">
        <f t="array" ref="S118">INDEX(F_Inputs!$G$4:$T$381,MATCH(Data!$B118&amp;Data!S$6,F_Inputs!$A$4:$A$381&amp;F_Inputs!$B$4:$B$381,0),MATCH(Data!$C118,F_Inputs!$G$2:$T$2,0))</f>
        <v>0</v>
      </c>
      <c r="U118" s="139">
        <f t="array" ref="U118">INDEX(F_Inputs!$G$4:$T$381,MATCH(Data!$B118&amp;Data!U$6,F_Inputs!$A$4:$A$381&amp;F_Inputs!$B$4:$B$381,0),MATCH(Data!$C118,F_Inputs!$G$2:$T$2,0))</f>
        <v>0</v>
      </c>
      <c r="V118" s="139">
        <f t="array" ref="V118">INDEX(F_Inputs!$G$4:$T$381,MATCH(Data!$B118&amp;Data!V$6,F_Inputs!$A$4:$A$381&amp;F_Inputs!$B$4:$B$381,0),MATCH(Data!$C118,F_Inputs!$G$2:$T$2,0))</f>
        <v>0</v>
      </c>
      <c r="W118" s="139">
        <f t="array" ref="W118">INDEX(F_Inputs!$G$4:$T$381,MATCH(Data!$B118&amp;Data!W$6,F_Inputs!$A$4:$A$381&amp;F_Inputs!$B$4:$B$381,0),MATCH(Data!$C118,F_Inputs!$G$2:$T$2,0))</f>
        <v>0</v>
      </c>
    </row>
    <row r="119" spans="1:23" x14ac:dyDescent="0.2">
      <c r="A119" s="138" t="str">
        <f>B119&amp;RIGHT(C119,2)</f>
        <v>WSH16</v>
      </c>
      <c r="B119" s="19" t="s">
        <v>27</v>
      </c>
      <c r="C119" s="143" t="s">
        <v>68</v>
      </c>
      <c r="D119" s="139">
        <f t="array" ref="D119">INDEX(F_Inputs!$G$4:$T$381,MATCH(Data!$B119&amp;Data!D$6,F_Inputs!$A$4:$A$381&amp;F_Inputs!$B$4:$B$381,0),MATCH(Data!$C119,F_Inputs!$G$2:$T$2,0))</f>
        <v>0</v>
      </c>
      <c r="E119" s="139">
        <f t="array" ref="E119">INDEX(F_Inputs!$G$4:$T$381,MATCH(Data!$B119&amp;Data!E$6,F_Inputs!$A$4:$A$381&amp;F_Inputs!$B$4:$B$381,0),MATCH(Data!$C119,F_Inputs!$G$2:$T$2,0))</f>
        <v>0</v>
      </c>
      <c r="F119" s="139">
        <f t="array" ref="F119">INDEX(F_Inputs!$G$4:$T$381,MATCH(Data!$B119&amp;Data!F$6,F_Inputs!$A$4:$A$381&amp;F_Inputs!$B$4:$B$381,0),MATCH(Data!$C119,F_Inputs!$G$2:$T$2,0))</f>
        <v>0</v>
      </c>
      <c r="G119" s="139">
        <f t="array" ref="G119">INDEX(F_Inputs!$G$4:$T$381,MATCH(Data!$B119&amp;Data!G$6,F_Inputs!$A$4:$A$381&amp;F_Inputs!$B$4:$B$381,0),MATCH(Data!$C119,F_Inputs!$G$2:$T$2,0))</f>
        <v>0</v>
      </c>
      <c r="I119" s="139">
        <f t="array" ref="I119">INDEX(F_Inputs!$G$4:$T$381,MATCH(Data!$B119&amp;Data!I$6,F_Inputs!$A$4:$A$381&amp;F_Inputs!$B$4:$B$381,0),MATCH(Data!$C119,F_Inputs!$G$2:$T$2,0))</f>
        <v>0</v>
      </c>
      <c r="J119" s="139">
        <f t="array" ref="J119">INDEX(F_Inputs!$G$4:$T$381,MATCH(Data!$B119&amp;Data!J$6,F_Inputs!$A$4:$A$381&amp;F_Inputs!$B$4:$B$381,0),MATCH(Data!$C119,F_Inputs!$G$2:$T$2,0))</f>
        <v>0</v>
      </c>
      <c r="K119" s="139">
        <f t="array" ref="K119">INDEX(F_Inputs!$G$4:$T$381,MATCH(Data!$B119&amp;Data!K$6,F_Inputs!$A$4:$A$381&amp;F_Inputs!$B$4:$B$381,0),MATCH(Data!$C119,F_Inputs!$G$2:$T$2,0))</f>
        <v>0</v>
      </c>
      <c r="L119" s="139">
        <f t="array" ref="L119">INDEX(F_Inputs!$G$4:$T$381,MATCH(Data!$B119&amp;Data!L$6,F_Inputs!$A$4:$A$381&amp;F_Inputs!$B$4:$B$381,0),MATCH(Data!$C119,F_Inputs!$G$2:$T$2,0))</f>
        <v>0</v>
      </c>
      <c r="N119" s="139">
        <f t="array" ref="N119">INDEX(F_Inputs!$G$4:$T$381,MATCH(Data!$B119&amp;Data!N$6,F_Inputs!$A$4:$A$381&amp;F_Inputs!$B$4:$B$381,0),MATCH(Data!$C119,F_Inputs!$G$2:$T$2,0))</f>
        <v>238.91350033277899</v>
      </c>
      <c r="O119" s="144"/>
      <c r="P119" s="139">
        <f t="array" ref="P119">INDEX(F_Inputs!$G$4:$T$381,MATCH(Data!$B119&amp;Data!P$6,F_Inputs!$A$4:$A$381&amp;F_Inputs!$B$4:$B$381,0),MATCH(Data!$C119,F_Inputs!$G$2:$T$2,0))</f>
        <v>0</v>
      </c>
      <c r="Q119" s="139">
        <f t="array" ref="Q119">INDEX(F_Inputs!$G$4:$T$381,MATCH(Data!$B119&amp;Data!Q$6,F_Inputs!$A$4:$A$381&amp;F_Inputs!$B$4:$B$381,0),MATCH(Data!$C119,F_Inputs!$G$2:$T$2,0))</f>
        <v>0</v>
      </c>
      <c r="R119" s="139">
        <f t="array" ref="R119">INDEX(F_Inputs!$G$4:$T$381,MATCH(Data!$B119&amp;Data!R$6,F_Inputs!$A$4:$A$381&amp;F_Inputs!$B$4:$B$381,0),MATCH(Data!$C119,F_Inputs!$G$2:$T$2,0))</f>
        <v>0</v>
      </c>
      <c r="S119" s="139">
        <f t="array" ref="S119">INDEX(F_Inputs!$G$4:$T$381,MATCH(Data!$B119&amp;Data!S$6,F_Inputs!$A$4:$A$381&amp;F_Inputs!$B$4:$B$381,0),MATCH(Data!$C119,F_Inputs!$G$2:$T$2,0))</f>
        <v>0</v>
      </c>
      <c r="U119" s="139">
        <f t="array" ref="U119">INDEX(F_Inputs!$G$4:$T$381,MATCH(Data!$B119&amp;Data!U$6,F_Inputs!$A$4:$A$381&amp;F_Inputs!$B$4:$B$381,0),MATCH(Data!$C119,F_Inputs!$G$2:$T$2,0))</f>
        <v>0</v>
      </c>
      <c r="V119" s="139">
        <f t="array" ref="V119">INDEX(F_Inputs!$G$4:$T$381,MATCH(Data!$B119&amp;Data!V$6,F_Inputs!$A$4:$A$381&amp;F_Inputs!$B$4:$B$381,0),MATCH(Data!$C119,F_Inputs!$G$2:$T$2,0))</f>
        <v>0</v>
      </c>
      <c r="W119" s="139">
        <f t="array" ref="W119">INDEX(F_Inputs!$G$4:$T$381,MATCH(Data!$B119&amp;Data!W$6,F_Inputs!$A$4:$A$381&amp;F_Inputs!$B$4:$B$381,0),MATCH(Data!$C119,F_Inputs!$G$2:$T$2,0))</f>
        <v>0</v>
      </c>
    </row>
    <row r="120" spans="1:23" x14ac:dyDescent="0.2">
      <c r="A120" s="138" t="str">
        <f>B120&amp;RIGHT(C120,2)</f>
        <v>WSH17</v>
      </c>
      <c r="B120" s="19" t="s">
        <v>27</v>
      </c>
      <c r="C120" s="143" t="s">
        <v>69</v>
      </c>
      <c r="D120" s="139">
        <f t="array" ref="D120">INDEX(F_Inputs!$G$4:$T$381,MATCH(Data!$B120&amp;Data!D$6,F_Inputs!$A$4:$A$381&amp;F_Inputs!$B$4:$B$381,0),MATCH(Data!$C120,F_Inputs!$G$2:$T$2,0))</f>
        <v>0</v>
      </c>
      <c r="E120" s="139">
        <f t="array" ref="E120">INDEX(F_Inputs!$G$4:$T$381,MATCH(Data!$B120&amp;Data!E$6,F_Inputs!$A$4:$A$381&amp;F_Inputs!$B$4:$B$381,0),MATCH(Data!$C120,F_Inputs!$G$2:$T$2,0))</f>
        <v>0</v>
      </c>
      <c r="F120" s="139">
        <f t="array" ref="F120">INDEX(F_Inputs!$G$4:$T$381,MATCH(Data!$B120&amp;Data!F$6,F_Inputs!$A$4:$A$381&amp;F_Inputs!$B$4:$B$381,0),MATCH(Data!$C120,F_Inputs!$G$2:$T$2,0))</f>
        <v>0</v>
      </c>
      <c r="G120" s="139">
        <f t="array" ref="G120">INDEX(F_Inputs!$G$4:$T$381,MATCH(Data!$B120&amp;Data!G$6,F_Inputs!$A$4:$A$381&amp;F_Inputs!$B$4:$B$381,0),MATCH(Data!$C120,F_Inputs!$G$2:$T$2,0))</f>
        <v>0</v>
      </c>
      <c r="I120" s="139">
        <f t="array" ref="I120">INDEX(F_Inputs!$G$4:$T$381,MATCH(Data!$B120&amp;Data!I$6,F_Inputs!$A$4:$A$381&amp;F_Inputs!$B$4:$B$381,0),MATCH(Data!$C120,F_Inputs!$G$2:$T$2,0))</f>
        <v>0</v>
      </c>
      <c r="J120" s="139">
        <f t="array" ref="J120">INDEX(F_Inputs!$G$4:$T$381,MATCH(Data!$B120&amp;Data!J$6,F_Inputs!$A$4:$A$381&amp;F_Inputs!$B$4:$B$381,0),MATCH(Data!$C120,F_Inputs!$G$2:$T$2,0))</f>
        <v>0</v>
      </c>
      <c r="K120" s="139">
        <f t="array" ref="K120">INDEX(F_Inputs!$G$4:$T$381,MATCH(Data!$B120&amp;Data!K$6,F_Inputs!$A$4:$A$381&amp;F_Inputs!$B$4:$B$381,0),MATCH(Data!$C120,F_Inputs!$G$2:$T$2,0))</f>
        <v>0</v>
      </c>
      <c r="L120" s="139">
        <f t="array" ref="L120">INDEX(F_Inputs!$G$4:$T$381,MATCH(Data!$B120&amp;Data!L$6,F_Inputs!$A$4:$A$381&amp;F_Inputs!$B$4:$B$381,0),MATCH(Data!$C120,F_Inputs!$G$2:$T$2,0))</f>
        <v>0</v>
      </c>
      <c r="N120" s="139">
        <f t="array" ref="N120">INDEX(F_Inputs!$G$4:$T$381,MATCH(Data!$B120&amp;Data!N$6,F_Inputs!$A$4:$A$381&amp;F_Inputs!$B$4:$B$381,0),MATCH(Data!$C120,F_Inputs!$G$2:$T$2,0))</f>
        <v>320.26033976200199</v>
      </c>
      <c r="O120" s="144"/>
      <c r="P120" s="139">
        <f t="array" ref="P120">INDEX(F_Inputs!$G$4:$T$381,MATCH(Data!$B120&amp;Data!P$6,F_Inputs!$A$4:$A$381&amp;F_Inputs!$B$4:$B$381,0),MATCH(Data!$C120,F_Inputs!$G$2:$T$2,0))</f>
        <v>0</v>
      </c>
      <c r="Q120" s="139">
        <f t="array" ref="Q120">INDEX(F_Inputs!$G$4:$T$381,MATCH(Data!$B120&amp;Data!Q$6,F_Inputs!$A$4:$A$381&amp;F_Inputs!$B$4:$B$381,0),MATCH(Data!$C120,F_Inputs!$G$2:$T$2,0))</f>
        <v>0</v>
      </c>
      <c r="R120" s="139">
        <f t="array" ref="R120">INDEX(F_Inputs!$G$4:$T$381,MATCH(Data!$B120&amp;Data!R$6,F_Inputs!$A$4:$A$381&amp;F_Inputs!$B$4:$B$381,0),MATCH(Data!$C120,F_Inputs!$G$2:$T$2,0))</f>
        <v>0</v>
      </c>
      <c r="S120" s="139">
        <f t="array" ref="S120">INDEX(F_Inputs!$G$4:$T$381,MATCH(Data!$B120&amp;Data!S$6,F_Inputs!$A$4:$A$381&amp;F_Inputs!$B$4:$B$381,0),MATCH(Data!$C120,F_Inputs!$G$2:$T$2,0))</f>
        <v>0</v>
      </c>
      <c r="U120" s="139">
        <f t="array" ref="U120">INDEX(F_Inputs!$G$4:$T$381,MATCH(Data!$B120&amp;Data!U$6,F_Inputs!$A$4:$A$381&amp;F_Inputs!$B$4:$B$381,0),MATCH(Data!$C120,F_Inputs!$G$2:$T$2,0))</f>
        <v>0</v>
      </c>
      <c r="V120" s="139">
        <f t="array" ref="V120">INDEX(F_Inputs!$G$4:$T$381,MATCH(Data!$B120&amp;Data!V$6,F_Inputs!$A$4:$A$381&amp;F_Inputs!$B$4:$B$381,0),MATCH(Data!$C120,F_Inputs!$G$2:$T$2,0))</f>
        <v>0</v>
      </c>
      <c r="W120" s="139">
        <f t="array" ref="W120">INDEX(F_Inputs!$G$4:$T$381,MATCH(Data!$B120&amp;Data!W$6,F_Inputs!$A$4:$A$381&amp;F_Inputs!$B$4:$B$381,0),MATCH(Data!$C120,F_Inputs!$G$2:$T$2,0))</f>
        <v>0</v>
      </c>
    </row>
    <row r="121" spans="1:23" x14ac:dyDescent="0.2">
      <c r="A121" s="141" t="s">
        <v>198</v>
      </c>
      <c r="B121" s="142" t="s">
        <v>27</v>
      </c>
      <c r="C121" s="142" t="s">
        <v>70</v>
      </c>
      <c r="D121" s="139">
        <f t="array" ref="D121">INDEX(F_Inputs!$G$4:$T$381,MATCH(Data!$B121&amp;Data!D$6,F_Inputs!$A$4:$A$381&amp;F_Inputs!$B$4:$B$381,0),MATCH(Data!$C121,F_Inputs!$G$2:$T$2,0))</f>
        <v>0.29799999999999999</v>
      </c>
      <c r="E121" s="139">
        <f t="array" ref="E121">INDEX(F_Inputs!$G$4:$T$381,MATCH(Data!$B121&amp;Data!E$6,F_Inputs!$A$4:$A$381&amp;F_Inputs!$B$4:$B$381,0),MATCH(Data!$C121,F_Inputs!$G$2:$T$2,0))</f>
        <v>0.29799999999999999</v>
      </c>
      <c r="F121" s="139">
        <f t="array" ref="F121">INDEX(F_Inputs!$G$4:$T$381,MATCH(Data!$B121&amp;Data!F$6,F_Inputs!$A$4:$A$381&amp;F_Inputs!$B$4:$B$381,0),MATCH(Data!$C121,F_Inputs!$G$2:$T$2,0))</f>
        <v>0.26200000000000001</v>
      </c>
      <c r="G121" s="139">
        <f t="array" ref="G121">INDEX(F_Inputs!$G$4:$T$381,MATCH(Data!$B121&amp;Data!G$6,F_Inputs!$A$4:$A$381&amp;F_Inputs!$B$4:$B$381,0),MATCH(Data!$C121,F_Inputs!$G$2:$T$2,0))</f>
        <v>0.26200000000000001</v>
      </c>
      <c r="I121" s="139">
        <f t="array" ref="I121">INDEX(F_Inputs!$G$4:$T$381,MATCH(Data!$B121&amp;Data!I$6,F_Inputs!$A$4:$A$381&amp;F_Inputs!$B$4:$B$381,0),MATCH(Data!$C121,F_Inputs!$G$2:$T$2,0))</f>
        <v>0</v>
      </c>
      <c r="J121" s="139">
        <f t="array" ref="J121">INDEX(F_Inputs!$G$4:$T$381,MATCH(Data!$B121&amp;Data!J$6,F_Inputs!$A$4:$A$381&amp;F_Inputs!$B$4:$B$381,0),MATCH(Data!$C121,F_Inputs!$G$2:$T$2,0))</f>
        <v>0</v>
      </c>
      <c r="K121" s="139">
        <f t="array" ref="K121">INDEX(F_Inputs!$G$4:$T$381,MATCH(Data!$B121&amp;Data!K$6,F_Inputs!$A$4:$A$381&amp;F_Inputs!$B$4:$B$381,0),MATCH(Data!$C121,F_Inputs!$G$2:$T$2,0))</f>
        <v>0</v>
      </c>
      <c r="L121" s="139">
        <f t="array" ref="L121">INDEX(F_Inputs!$G$4:$T$381,MATCH(Data!$B121&amp;Data!L$6,F_Inputs!$A$4:$A$381&amp;F_Inputs!$B$4:$B$381,0),MATCH(Data!$C121,F_Inputs!$G$2:$T$2,0))</f>
        <v>0</v>
      </c>
      <c r="N121" s="139">
        <f t="array" ref="N121">INDEX(F_Inputs!$G$4:$T$381,MATCH(Data!$B121&amp;Data!N$6,F_Inputs!$A$4:$A$381&amp;F_Inputs!$B$4:$B$381,0),MATCH(Data!$C121,F_Inputs!$G$2:$T$2,0))</f>
        <v>354.38569999999999</v>
      </c>
      <c r="O121" s="144"/>
      <c r="P121" s="139">
        <f t="array" ref="P121">INDEX(F_Inputs!$G$4:$T$381,MATCH(Data!$B121&amp;Data!P$6,F_Inputs!$A$4:$A$381&amp;F_Inputs!$B$4:$B$381,0),MATCH(Data!$C121,F_Inputs!$G$2:$T$2,0))</f>
        <v>0</v>
      </c>
      <c r="Q121" s="139">
        <f t="array" ref="Q121">INDEX(F_Inputs!$G$4:$T$381,MATCH(Data!$B121&amp;Data!Q$6,F_Inputs!$A$4:$A$381&amp;F_Inputs!$B$4:$B$381,0),MATCH(Data!$C121,F_Inputs!$G$2:$T$2,0))</f>
        <v>0</v>
      </c>
      <c r="R121" s="139">
        <f t="array" ref="R121">INDEX(F_Inputs!$G$4:$T$381,MATCH(Data!$B121&amp;Data!R$6,F_Inputs!$A$4:$A$381&amp;F_Inputs!$B$4:$B$381,0),MATCH(Data!$C121,F_Inputs!$G$2:$T$2,0))</f>
        <v>0</v>
      </c>
      <c r="S121" s="139">
        <f t="array" ref="S121">INDEX(F_Inputs!$G$4:$T$381,MATCH(Data!$B121&amp;Data!S$6,F_Inputs!$A$4:$A$381&amp;F_Inputs!$B$4:$B$381,0),MATCH(Data!$C121,F_Inputs!$G$2:$T$2,0))</f>
        <v>0</v>
      </c>
      <c r="U121" s="139">
        <f t="array" ref="U121">INDEX(F_Inputs!$G$4:$T$381,MATCH(Data!$B121&amp;Data!U$6,F_Inputs!$A$4:$A$381&amp;F_Inputs!$B$4:$B$381,0),MATCH(Data!$C121,F_Inputs!$G$2:$T$2,0))</f>
        <v>172.85</v>
      </c>
      <c r="V121" s="139">
        <f t="array" ref="V121">INDEX(F_Inputs!$G$4:$T$381,MATCH(Data!$B121&amp;Data!V$6,F_Inputs!$A$4:$A$381&amp;F_Inputs!$B$4:$B$381,0),MATCH(Data!$C121,F_Inputs!$G$2:$T$2,0))</f>
        <v>27597</v>
      </c>
      <c r="W121" s="139">
        <f t="array" ref="W121">INDEX(F_Inputs!$G$4:$T$381,MATCH(Data!$B121&amp;Data!W$6,F_Inputs!$A$4:$A$381&amp;F_Inputs!$B$4:$B$381,0),MATCH(Data!$C121,F_Inputs!$G$2:$T$2,0))</f>
        <v>1433.501</v>
      </c>
    </row>
    <row r="122" spans="1:23" x14ac:dyDescent="0.2">
      <c r="A122" s="141" t="s">
        <v>199</v>
      </c>
      <c r="B122" s="142" t="s">
        <v>27</v>
      </c>
      <c r="C122" s="142" t="s">
        <v>71</v>
      </c>
      <c r="D122" s="139">
        <f t="array" ref="D122">INDEX(F_Inputs!$G$4:$T$381,MATCH(Data!$B122&amp;Data!D$6,F_Inputs!$A$4:$A$381&amp;F_Inputs!$B$4:$B$381,0),MATCH(Data!$C122,F_Inputs!$G$2:$T$2,0))</f>
        <v>0.24561414993979599</v>
      </c>
      <c r="E122" s="139">
        <f t="array" ref="E122">INDEX(F_Inputs!$G$4:$T$381,MATCH(Data!$B122&amp;Data!E$6,F_Inputs!$A$4:$A$381&amp;F_Inputs!$B$4:$B$381,0),MATCH(Data!$C122,F_Inputs!$G$2:$T$2,0))</f>
        <v>0.24561414993979599</v>
      </c>
      <c r="F122" s="139">
        <f t="array" ref="F122">INDEX(F_Inputs!$G$4:$T$381,MATCH(Data!$B122&amp;Data!F$6,F_Inputs!$A$4:$A$381&amp;F_Inputs!$B$4:$B$381,0),MATCH(Data!$C122,F_Inputs!$G$2:$T$2,0))</f>
        <v>0.21539971085990001</v>
      </c>
      <c r="G122" s="139">
        <f t="array" ref="G122">INDEX(F_Inputs!$G$4:$T$381,MATCH(Data!$B122&amp;Data!G$6,F_Inputs!$A$4:$A$381&amp;F_Inputs!$B$4:$B$381,0),MATCH(Data!$C122,F_Inputs!$G$2:$T$2,0))</f>
        <v>0.21539971085990001</v>
      </c>
      <c r="I122" s="139">
        <f t="array" ref="I122">INDEX(F_Inputs!$G$4:$T$381,MATCH(Data!$B122&amp;Data!I$6,F_Inputs!$A$4:$A$381&amp;F_Inputs!$B$4:$B$381,0),MATCH(Data!$C122,F_Inputs!$G$2:$T$2,0))</f>
        <v>0</v>
      </c>
      <c r="J122" s="139">
        <f t="array" ref="J122">INDEX(F_Inputs!$G$4:$T$381,MATCH(Data!$B122&amp;Data!J$6,F_Inputs!$A$4:$A$381&amp;F_Inputs!$B$4:$B$381,0),MATCH(Data!$C122,F_Inputs!$G$2:$T$2,0))</f>
        <v>0</v>
      </c>
      <c r="K122" s="139">
        <f t="array" ref="K122">INDEX(F_Inputs!$G$4:$T$381,MATCH(Data!$B122&amp;Data!K$6,F_Inputs!$A$4:$A$381&amp;F_Inputs!$B$4:$B$381,0),MATCH(Data!$C122,F_Inputs!$G$2:$T$2,0))</f>
        <v>0</v>
      </c>
      <c r="L122" s="139">
        <f t="array" ref="L122">INDEX(F_Inputs!$G$4:$T$381,MATCH(Data!$B122&amp;Data!L$6,F_Inputs!$A$4:$A$381&amp;F_Inputs!$B$4:$B$381,0),MATCH(Data!$C122,F_Inputs!$G$2:$T$2,0))</f>
        <v>0</v>
      </c>
      <c r="N122" s="139">
        <f t="array" ref="N122">INDEX(F_Inputs!$G$4:$T$381,MATCH(Data!$B122&amp;Data!N$6,F_Inputs!$A$4:$A$381&amp;F_Inputs!$B$4:$B$381,0),MATCH(Data!$C122,F_Inputs!$G$2:$T$2,0))</f>
        <v>342.02939970306699</v>
      </c>
      <c r="O122" s="144"/>
      <c r="P122" s="139">
        <f t="array" ref="P122">INDEX(F_Inputs!$G$4:$T$381,MATCH(Data!$B122&amp;Data!P$6,F_Inputs!$A$4:$A$381&amp;F_Inputs!$B$4:$B$381,0),MATCH(Data!$C122,F_Inputs!$G$2:$T$2,0))</f>
        <v>0</v>
      </c>
      <c r="Q122" s="139">
        <f t="array" ref="Q122">INDEX(F_Inputs!$G$4:$T$381,MATCH(Data!$B122&amp;Data!Q$6,F_Inputs!$A$4:$A$381&amp;F_Inputs!$B$4:$B$381,0),MATCH(Data!$C122,F_Inputs!$G$2:$T$2,0))</f>
        <v>0</v>
      </c>
      <c r="R122" s="139">
        <f t="array" ref="R122">INDEX(F_Inputs!$G$4:$T$381,MATCH(Data!$B122&amp;Data!R$6,F_Inputs!$A$4:$A$381&amp;F_Inputs!$B$4:$B$381,0),MATCH(Data!$C122,F_Inputs!$G$2:$T$2,0))</f>
        <v>0</v>
      </c>
      <c r="S122" s="139">
        <f t="array" ref="S122">INDEX(F_Inputs!$G$4:$T$381,MATCH(Data!$B122&amp;Data!S$6,F_Inputs!$A$4:$A$381&amp;F_Inputs!$B$4:$B$381,0),MATCH(Data!$C122,F_Inputs!$G$2:$T$2,0))</f>
        <v>0</v>
      </c>
      <c r="U122" s="139">
        <f t="array" ref="U122">INDEX(F_Inputs!$G$4:$T$381,MATCH(Data!$B122&amp;Data!U$6,F_Inputs!$A$4:$A$381&amp;F_Inputs!$B$4:$B$381,0),MATCH(Data!$C122,F_Inputs!$G$2:$T$2,0))</f>
        <v>170.88</v>
      </c>
      <c r="V122" s="139">
        <f t="array" ref="V122">INDEX(F_Inputs!$G$4:$T$381,MATCH(Data!$B122&amp;Data!V$6,F_Inputs!$A$4:$A$381&amp;F_Inputs!$B$4:$B$381,0),MATCH(Data!$C122,F_Inputs!$G$2:$T$2,0))</f>
        <v>27692</v>
      </c>
      <c r="W122" s="139">
        <f t="array" ref="W122">INDEX(F_Inputs!$G$4:$T$381,MATCH(Data!$B122&amp;Data!W$6,F_Inputs!$A$4:$A$381&amp;F_Inputs!$B$4:$B$381,0),MATCH(Data!$C122,F_Inputs!$G$2:$T$2,0))</f>
        <v>1438.8920000000001</v>
      </c>
    </row>
    <row r="123" spans="1:23" x14ac:dyDescent="0.2">
      <c r="A123" s="141" t="s">
        <v>200</v>
      </c>
      <c r="B123" s="142" t="s">
        <v>27</v>
      </c>
      <c r="C123" s="142" t="s">
        <v>72</v>
      </c>
      <c r="D123" s="139">
        <f t="array" ref="D123">INDEX(F_Inputs!$G$4:$T$381,MATCH(Data!$B123&amp;Data!D$6,F_Inputs!$A$4:$A$381&amp;F_Inputs!$B$4:$B$381,0),MATCH(Data!$C123,F_Inputs!$G$2:$T$2,0))</f>
        <v>0.26391061588707398</v>
      </c>
      <c r="E123" s="139">
        <f t="array" ref="E123">INDEX(F_Inputs!$G$4:$T$381,MATCH(Data!$B123&amp;Data!E$6,F_Inputs!$A$4:$A$381&amp;F_Inputs!$B$4:$B$381,0),MATCH(Data!$C123,F_Inputs!$G$2:$T$2,0))</f>
        <v>0.26391061588707398</v>
      </c>
      <c r="F123" s="139">
        <f t="array" ref="F123">INDEX(F_Inputs!$G$4:$T$381,MATCH(Data!$B123&amp;Data!F$6,F_Inputs!$A$4:$A$381&amp;F_Inputs!$B$4:$B$381,0),MATCH(Data!$C123,F_Inputs!$G$2:$T$2,0))</f>
        <v>0.232470000998</v>
      </c>
      <c r="G123" s="139">
        <f t="array" ref="G123">INDEX(F_Inputs!$G$4:$T$381,MATCH(Data!$B123&amp;Data!G$6,F_Inputs!$A$4:$A$381&amp;F_Inputs!$B$4:$B$381,0),MATCH(Data!$C123,F_Inputs!$G$2:$T$2,0))</f>
        <v>0.232470000998</v>
      </c>
      <c r="I123" s="139">
        <f t="array" ref="I123">INDEX(F_Inputs!$G$4:$T$381,MATCH(Data!$B123&amp;Data!I$6,F_Inputs!$A$4:$A$381&amp;F_Inputs!$B$4:$B$381,0),MATCH(Data!$C123,F_Inputs!$G$2:$T$2,0))</f>
        <v>0</v>
      </c>
      <c r="J123" s="139">
        <f t="array" ref="J123">INDEX(F_Inputs!$G$4:$T$381,MATCH(Data!$B123&amp;Data!J$6,F_Inputs!$A$4:$A$381&amp;F_Inputs!$B$4:$B$381,0),MATCH(Data!$C123,F_Inputs!$G$2:$T$2,0))</f>
        <v>0</v>
      </c>
      <c r="K123" s="139">
        <f t="array" ref="K123">INDEX(F_Inputs!$G$4:$T$381,MATCH(Data!$B123&amp;Data!K$6,F_Inputs!$A$4:$A$381&amp;F_Inputs!$B$4:$B$381,0),MATCH(Data!$C123,F_Inputs!$G$2:$T$2,0))</f>
        <v>0</v>
      </c>
      <c r="L123" s="139">
        <f t="array" ref="L123">INDEX(F_Inputs!$G$4:$T$381,MATCH(Data!$B123&amp;Data!L$6,F_Inputs!$A$4:$A$381&amp;F_Inputs!$B$4:$B$381,0),MATCH(Data!$C123,F_Inputs!$G$2:$T$2,0))</f>
        <v>0</v>
      </c>
      <c r="N123" s="139">
        <f t="array" ref="N123">INDEX(F_Inputs!$G$4:$T$381,MATCH(Data!$B123&amp;Data!N$6,F_Inputs!$A$4:$A$381&amp;F_Inputs!$B$4:$B$381,0),MATCH(Data!$C123,F_Inputs!$G$2:$T$2,0))</f>
        <v>300.73424514351899</v>
      </c>
      <c r="O123" s="144"/>
      <c r="P123" s="139">
        <f t="array" ref="P123">INDEX(F_Inputs!$G$4:$T$381,MATCH(Data!$B123&amp;Data!P$6,F_Inputs!$A$4:$A$381&amp;F_Inputs!$B$4:$B$381,0),MATCH(Data!$C123,F_Inputs!$G$2:$T$2,0))</f>
        <v>0</v>
      </c>
      <c r="Q123" s="139">
        <f t="array" ref="Q123">INDEX(F_Inputs!$G$4:$T$381,MATCH(Data!$B123&amp;Data!Q$6,F_Inputs!$A$4:$A$381&amp;F_Inputs!$B$4:$B$381,0),MATCH(Data!$C123,F_Inputs!$G$2:$T$2,0))</f>
        <v>0</v>
      </c>
      <c r="R123" s="139">
        <f t="array" ref="R123">INDEX(F_Inputs!$G$4:$T$381,MATCH(Data!$B123&amp;Data!R$6,F_Inputs!$A$4:$A$381&amp;F_Inputs!$B$4:$B$381,0),MATCH(Data!$C123,F_Inputs!$G$2:$T$2,0))</f>
        <v>0</v>
      </c>
      <c r="S123" s="139">
        <f t="array" ref="S123">INDEX(F_Inputs!$G$4:$T$381,MATCH(Data!$B123&amp;Data!S$6,F_Inputs!$A$4:$A$381&amp;F_Inputs!$B$4:$B$381,0),MATCH(Data!$C123,F_Inputs!$G$2:$T$2,0))</f>
        <v>0</v>
      </c>
      <c r="U123" s="139">
        <f t="array" ref="U123">INDEX(F_Inputs!$G$4:$T$381,MATCH(Data!$B123&amp;Data!U$6,F_Inputs!$A$4:$A$381&amp;F_Inputs!$B$4:$B$381,0),MATCH(Data!$C123,F_Inputs!$G$2:$T$2,0))</f>
        <v>169</v>
      </c>
      <c r="V123" s="139">
        <f t="array" ref="V123">INDEX(F_Inputs!$G$4:$T$381,MATCH(Data!$B123&amp;Data!V$6,F_Inputs!$A$4:$A$381&amp;F_Inputs!$B$4:$B$381,0),MATCH(Data!$C123,F_Inputs!$G$2:$T$2,0))</f>
        <v>27786</v>
      </c>
      <c r="W123" s="139">
        <f t="array" ref="W123">INDEX(F_Inputs!$G$4:$T$381,MATCH(Data!$B123&amp;Data!W$6,F_Inputs!$A$4:$A$381&amp;F_Inputs!$B$4:$B$381,0),MATCH(Data!$C123,F_Inputs!$G$2:$T$2,0))</f>
        <v>1447.454</v>
      </c>
    </row>
    <row r="124" spans="1:23" x14ac:dyDescent="0.2">
      <c r="A124" s="141" t="s">
        <v>201</v>
      </c>
      <c r="B124" s="142" t="s">
        <v>27</v>
      </c>
      <c r="C124" s="142" t="s">
        <v>73</v>
      </c>
      <c r="D124" s="139">
        <f t="array" ref="D124">INDEX(F_Inputs!$G$4:$T$381,MATCH(Data!$B124&amp;Data!D$6,F_Inputs!$A$4:$A$381&amp;F_Inputs!$B$4:$B$381,0),MATCH(Data!$C124,F_Inputs!$G$2:$T$2,0))</f>
        <v>0</v>
      </c>
      <c r="E124" s="139">
        <f t="array" ref="E124">INDEX(F_Inputs!$G$4:$T$381,MATCH(Data!$B124&amp;Data!E$6,F_Inputs!$A$4:$A$381&amp;F_Inputs!$B$4:$B$381,0),MATCH(Data!$C124,F_Inputs!$G$2:$T$2,0))</f>
        <v>1.8149999999999999</v>
      </c>
      <c r="F124" s="139">
        <f t="array" ref="F124">INDEX(F_Inputs!$G$4:$T$381,MATCH(Data!$B124&amp;Data!F$6,F_Inputs!$A$4:$A$381&amp;F_Inputs!$B$4:$B$381,0),MATCH(Data!$C124,F_Inputs!$G$2:$T$2,0))</f>
        <v>0</v>
      </c>
      <c r="G124" s="139">
        <f t="array" ref="G124">INDEX(F_Inputs!$G$4:$T$381,MATCH(Data!$B124&amp;Data!G$6,F_Inputs!$A$4:$A$381&amp;F_Inputs!$B$4:$B$381,0),MATCH(Data!$C124,F_Inputs!$G$2:$T$2,0))</f>
        <v>0</v>
      </c>
      <c r="I124" s="139">
        <f t="array" ref="I124">INDEX(F_Inputs!$G$4:$T$381,MATCH(Data!$B124&amp;Data!I$6,F_Inputs!$A$4:$A$381&amp;F_Inputs!$B$4:$B$381,0),MATCH(Data!$C124,F_Inputs!$G$2:$T$2,0))</f>
        <v>0</v>
      </c>
      <c r="J124" s="139">
        <f t="array" ref="J124">INDEX(F_Inputs!$G$4:$T$381,MATCH(Data!$B124&amp;Data!J$6,F_Inputs!$A$4:$A$381&amp;F_Inputs!$B$4:$B$381,0),MATCH(Data!$C124,F_Inputs!$G$2:$T$2,0))</f>
        <v>0.23599999999999999</v>
      </c>
      <c r="K124" s="139">
        <f t="array" ref="K124">INDEX(F_Inputs!$G$4:$T$381,MATCH(Data!$B124&amp;Data!K$6,F_Inputs!$A$4:$A$381&amp;F_Inputs!$B$4:$B$381,0),MATCH(Data!$C124,F_Inputs!$G$2:$T$2,0))</f>
        <v>0</v>
      </c>
      <c r="L124" s="139">
        <f t="array" ref="L124">INDEX(F_Inputs!$G$4:$T$381,MATCH(Data!$B124&amp;Data!L$6,F_Inputs!$A$4:$A$381&amp;F_Inputs!$B$4:$B$381,0),MATCH(Data!$C124,F_Inputs!$G$2:$T$2,0))</f>
        <v>0</v>
      </c>
      <c r="N124" s="139">
        <f t="array" ref="N124">INDEX(F_Inputs!$G$4:$T$381,MATCH(Data!$B124&amp;Data!N$6,F_Inputs!$A$4:$A$381&amp;F_Inputs!$B$4:$B$381,0),MATCH(Data!$C124,F_Inputs!$G$2:$T$2,0))</f>
        <v>338.87299999999999</v>
      </c>
      <c r="O124" s="144"/>
      <c r="P124" s="139">
        <f t="array" ref="P124">INDEX(F_Inputs!$G$4:$T$381,MATCH(Data!$B124&amp;Data!P$6,F_Inputs!$A$4:$A$381&amp;F_Inputs!$B$4:$B$381,0),MATCH(Data!$C124,F_Inputs!$G$2:$T$2,0))</f>
        <v>0</v>
      </c>
      <c r="Q124" s="139">
        <f t="array" ref="Q124">INDEX(F_Inputs!$G$4:$T$381,MATCH(Data!$B124&amp;Data!Q$6,F_Inputs!$A$4:$A$381&amp;F_Inputs!$B$4:$B$381,0),MATCH(Data!$C124,F_Inputs!$G$2:$T$2,0))</f>
        <v>0</v>
      </c>
      <c r="R124" s="139">
        <f t="array" ref="R124">INDEX(F_Inputs!$G$4:$T$381,MATCH(Data!$B124&amp;Data!R$6,F_Inputs!$A$4:$A$381&amp;F_Inputs!$B$4:$B$381,0),MATCH(Data!$C124,F_Inputs!$G$2:$T$2,0))</f>
        <v>0</v>
      </c>
      <c r="S124" s="139">
        <f t="array" ref="S124">INDEX(F_Inputs!$G$4:$T$381,MATCH(Data!$B124&amp;Data!S$6,F_Inputs!$A$4:$A$381&amp;F_Inputs!$B$4:$B$381,0),MATCH(Data!$C124,F_Inputs!$G$2:$T$2,0))</f>
        <v>0</v>
      </c>
      <c r="U124" s="139">
        <f t="array" ref="U124">INDEX(F_Inputs!$G$4:$T$381,MATCH(Data!$B124&amp;Data!U$6,F_Inputs!$A$4:$A$381&amp;F_Inputs!$B$4:$B$381,0),MATCH(Data!$C124,F_Inputs!$G$2:$T$2,0))</f>
        <v>163.80000000000001</v>
      </c>
      <c r="V124" s="139">
        <f t="array" ref="V124">INDEX(F_Inputs!$G$4:$T$381,MATCH(Data!$B124&amp;Data!V$6,F_Inputs!$A$4:$A$381&amp;F_Inputs!$B$4:$B$381,0),MATCH(Data!$C124,F_Inputs!$G$2:$T$2,0))</f>
        <v>27827</v>
      </c>
      <c r="W124" s="139">
        <f t="array" ref="W124">INDEX(F_Inputs!$G$4:$T$381,MATCH(Data!$B124&amp;Data!W$6,F_Inputs!$A$4:$A$381&amp;F_Inputs!$B$4:$B$381,0),MATCH(Data!$C124,F_Inputs!$G$2:$T$2,0))</f>
        <v>1456.2349999999999</v>
      </c>
    </row>
    <row r="125" spans="1:23" x14ac:dyDescent="0.2">
      <c r="A125" s="141" t="s">
        <v>202</v>
      </c>
      <c r="B125" s="142" t="s">
        <v>27</v>
      </c>
      <c r="C125" s="142" t="s">
        <v>74</v>
      </c>
      <c r="D125" s="139">
        <f t="array" ref="D125">INDEX(F_Inputs!$G$4:$T$381,MATCH(Data!$B125&amp;Data!D$6,F_Inputs!$A$4:$A$381&amp;F_Inputs!$B$4:$B$381,0),MATCH(Data!$C125,F_Inputs!$G$2:$T$2,0))</f>
        <v>0</v>
      </c>
      <c r="E125" s="139">
        <f t="array" ref="E125">INDEX(F_Inputs!$G$4:$T$381,MATCH(Data!$B125&amp;Data!E$6,F_Inputs!$A$4:$A$381&amp;F_Inputs!$B$4:$B$381,0),MATCH(Data!$C125,F_Inputs!$G$2:$T$2,0))</f>
        <v>8.3780000000000001</v>
      </c>
      <c r="F125" s="139">
        <f t="array" ref="F125">INDEX(F_Inputs!$G$4:$T$381,MATCH(Data!$B125&amp;Data!F$6,F_Inputs!$A$4:$A$381&amp;F_Inputs!$B$4:$B$381,0),MATCH(Data!$C125,F_Inputs!$G$2:$T$2,0))</f>
        <v>0</v>
      </c>
      <c r="G125" s="139">
        <f t="array" ref="G125">INDEX(F_Inputs!$G$4:$T$381,MATCH(Data!$B125&amp;Data!G$6,F_Inputs!$A$4:$A$381&amp;F_Inputs!$B$4:$B$381,0),MATCH(Data!$C125,F_Inputs!$G$2:$T$2,0))</f>
        <v>0</v>
      </c>
      <c r="I125" s="139">
        <f t="array" ref="I125">INDEX(F_Inputs!$G$4:$T$381,MATCH(Data!$B125&amp;Data!I$6,F_Inputs!$A$4:$A$381&amp;F_Inputs!$B$4:$B$381,0),MATCH(Data!$C125,F_Inputs!$G$2:$T$2,0))</f>
        <v>0</v>
      </c>
      <c r="J125" s="139">
        <f t="array" ref="J125">INDEX(F_Inputs!$G$4:$T$381,MATCH(Data!$B125&amp;Data!J$6,F_Inputs!$A$4:$A$381&amp;F_Inputs!$B$4:$B$381,0),MATCH(Data!$C125,F_Inputs!$G$2:$T$2,0))</f>
        <v>0.23400000000000001</v>
      </c>
      <c r="K125" s="139">
        <f t="array" ref="K125">INDEX(F_Inputs!$G$4:$T$381,MATCH(Data!$B125&amp;Data!K$6,F_Inputs!$A$4:$A$381&amp;F_Inputs!$B$4:$B$381,0),MATCH(Data!$C125,F_Inputs!$G$2:$T$2,0))</f>
        <v>0</v>
      </c>
      <c r="L125" s="139">
        <f t="array" ref="L125">INDEX(F_Inputs!$G$4:$T$381,MATCH(Data!$B125&amp;Data!L$6,F_Inputs!$A$4:$A$381&amp;F_Inputs!$B$4:$B$381,0),MATCH(Data!$C125,F_Inputs!$G$2:$T$2,0))</f>
        <v>0</v>
      </c>
      <c r="N125" s="139">
        <f t="array" ref="N125">INDEX(F_Inputs!$G$4:$T$381,MATCH(Data!$B125&amp;Data!N$6,F_Inputs!$A$4:$A$381&amp;F_Inputs!$B$4:$B$381,0),MATCH(Data!$C125,F_Inputs!$G$2:$T$2,0))</f>
        <v>347.16399999999999</v>
      </c>
      <c r="O125" s="144"/>
      <c r="P125" s="139">
        <f t="array" ref="P125">INDEX(F_Inputs!$G$4:$T$381,MATCH(Data!$B125&amp;Data!P$6,F_Inputs!$A$4:$A$381&amp;F_Inputs!$B$4:$B$381,0),MATCH(Data!$C125,F_Inputs!$G$2:$T$2,0))</f>
        <v>0</v>
      </c>
      <c r="Q125" s="139">
        <f t="array" ref="Q125">INDEX(F_Inputs!$G$4:$T$381,MATCH(Data!$B125&amp;Data!Q$6,F_Inputs!$A$4:$A$381&amp;F_Inputs!$B$4:$B$381,0),MATCH(Data!$C125,F_Inputs!$G$2:$T$2,0))</f>
        <v>0</v>
      </c>
      <c r="R125" s="139">
        <f t="array" ref="R125">INDEX(F_Inputs!$G$4:$T$381,MATCH(Data!$B125&amp;Data!R$6,F_Inputs!$A$4:$A$381&amp;F_Inputs!$B$4:$B$381,0),MATCH(Data!$C125,F_Inputs!$G$2:$T$2,0))</f>
        <v>0</v>
      </c>
      <c r="S125" s="139">
        <f t="array" ref="S125">INDEX(F_Inputs!$G$4:$T$381,MATCH(Data!$B125&amp;Data!S$6,F_Inputs!$A$4:$A$381&amp;F_Inputs!$B$4:$B$381,0),MATCH(Data!$C125,F_Inputs!$G$2:$T$2,0))</f>
        <v>0</v>
      </c>
      <c r="U125" s="139">
        <f t="array" ref="U125">INDEX(F_Inputs!$G$4:$T$381,MATCH(Data!$B125&amp;Data!U$6,F_Inputs!$A$4:$A$381&amp;F_Inputs!$B$4:$B$381,0),MATCH(Data!$C125,F_Inputs!$G$2:$T$2,0))</f>
        <v>158.6</v>
      </c>
      <c r="V125" s="139">
        <f t="array" ref="V125">INDEX(F_Inputs!$G$4:$T$381,MATCH(Data!$B125&amp;Data!V$6,F_Inputs!$A$4:$A$381&amp;F_Inputs!$B$4:$B$381,0),MATCH(Data!$C125,F_Inputs!$G$2:$T$2,0))</f>
        <v>27872</v>
      </c>
      <c r="W125" s="139">
        <f t="array" ref="W125">INDEX(F_Inputs!$G$4:$T$381,MATCH(Data!$B125&amp;Data!W$6,F_Inputs!$A$4:$A$381&amp;F_Inputs!$B$4:$B$381,0),MATCH(Data!$C125,F_Inputs!$G$2:$T$2,0))</f>
        <v>1465.1679999999999</v>
      </c>
    </row>
    <row r="126" spans="1:23" x14ac:dyDescent="0.2">
      <c r="A126" s="141" t="s">
        <v>203</v>
      </c>
      <c r="B126" s="142" t="s">
        <v>27</v>
      </c>
      <c r="C126" s="142" t="s">
        <v>75</v>
      </c>
      <c r="D126" s="139">
        <f t="array" ref="D126">INDEX(F_Inputs!$G$4:$T$381,MATCH(Data!$B126&amp;Data!D$6,F_Inputs!$A$4:$A$381&amp;F_Inputs!$B$4:$B$381,0),MATCH(Data!$C126,F_Inputs!$G$2:$T$2,0))</f>
        <v>0</v>
      </c>
      <c r="E126" s="139">
        <f t="array" ref="E126">INDEX(F_Inputs!$G$4:$T$381,MATCH(Data!$B126&amp;Data!E$6,F_Inputs!$A$4:$A$381&amp;F_Inputs!$B$4:$B$381,0),MATCH(Data!$C126,F_Inputs!$G$2:$T$2,0))</f>
        <v>8.4610000000000003</v>
      </c>
      <c r="F126" s="139">
        <f t="array" ref="F126">INDEX(F_Inputs!$G$4:$T$381,MATCH(Data!$B126&amp;Data!F$6,F_Inputs!$A$4:$A$381&amp;F_Inputs!$B$4:$B$381,0),MATCH(Data!$C126,F_Inputs!$G$2:$T$2,0))</f>
        <v>0</v>
      </c>
      <c r="G126" s="139">
        <f t="array" ref="G126">INDEX(F_Inputs!$G$4:$T$381,MATCH(Data!$B126&amp;Data!G$6,F_Inputs!$A$4:$A$381&amp;F_Inputs!$B$4:$B$381,0),MATCH(Data!$C126,F_Inputs!$G$2:$T$2,0))</f>
        <v>0</v>
      </c>
      <c r="I126" s="139">
        <f t="array" ref="I126">INDEX(F_Inputs!$G$4:$T$381,MATCH(Data!$B126&amp;Data!I$6,F_Inputs!$A$4:$A$381&amp;F_Inputs!$B$4:$B$381,0),MATCH(Data!$C126,F_Inputs!$G$2:$T$2,0))</f>
        <v>0</v>
      </c>
      <c r="J126" s="139">
        <f t="array" ref="J126">INDEX(F_Inputs!$G$4:$T$381,MATCH(Data!$B126&amp;Data!J$6,F_Inputs!$A$4:$A$381&amp;F_Inputs!$B$4:$B$381,0),MATCH(Data!$C126,F_Inputs!$G$2:$T$2,0))</f>
        <v>0.23200000000000001</v>
      </c>
      <c r="K126" s="139">
        <f t="array" ref="K126">INDEX(F_Inputs!$G$4:$T$381,MATCH(Data!$B126&amp;Data!K$6,F_Inputs!$A$4:$A$381&amp;F_Inputs!$B$4:$B$381,0),MATCH(Data!$C126,F_Inputs!$G$2:$T$2,0))</f>
        <v>0</v>
      </c>
      <c r="L126" s="139">
        <f t="array" ref="L126">INDEX(F_Inputs!$G$4:$T$381,MATCH(Data!$B126&amp;Data!L$6,F_Inputs!$A$4:$A$381&amp;F_Inputs!$B$4:$B$381,0),MATCH(Data!$C126,F_Inputs!$G$2:$T$2,0))</f>
        <v>0</v>
      </c>
      <c r="N126" s="139">
        <f t="array" ref="N126">INDEX(F_Inputs!$G$4:$T$381,MATCH(Data!$B126&amp;Data!N$6,F_Inputs!$A$4:$A$381&amp;F_Inputs!$B$4:$B$381,0),MATCH(Data!$C126,F_Inputs!$G$2:$T$2,0))</f>
        <v>338.81799999999998</v>
      </c>
      <c r="O126" s="144"/>
      <c r="P126" s="139">
        <f t="array" ref="P126">INDEX(F_Inputs!$G$4:$T$381,MATCH(Data!$B126&amp;Data!P$6,F_Inputs!$A$4:$A$381&amp;F_Inputs!$B$4:$B$381,0),MATCH(Data!$C126,F_Inputs!$G$2:$T$2,0))</f>
        <v>3.98</v>
      </c>
      <c r="Q126" s="139">
        <f t="array" ref="Q126">INDEX(F_Inputs!$G$4:$T$381,MATCH(Data!$B126&amp;Data!Q$6,F_Inputs!$A$4:$A$381&amp;F_Inputs!$B$4:$B$381,0),MATCH(Data!$C126,F_Inputs!$G$2:$T$2,0))</f>
        <v>3.42</v>
      </c>
      <c r="R126" s="139">
        <f t="array" ref="R126">INDEX(F_Inputs!$G$4:$T$381,MATCH(Data!$B126&amp;Data!R$6,F_Inputs!$A$4:$A$381&amp;F_Inputs!$B$4:$B$381,0),MATCH(Data!$C126,F_Inputs!$G$2:$T$2,0))</f>
        <v>0</v>
      </c>
      <c r="S126" s="139">
        <f t="array" ref="S126">INDEX(F_Inputs!$G$4:$T$381,MATCH(Data!$B126&amp;Data!S$6,F_Inputs!$A$4:$A$381&amp;F_Inputs!$B$4:$B$381,0),MATCH(Data!$C126,F_Inputs!$G$2:$T$2,0))</f>
        <v>0</v>
      </c>
      <c r="U126" s="139">
        <f t="array" ref="U126">INDEX(F_Inputs!$G$4:$T$381,MATCH(Data!$B126&amp;Data!U$6,F_Inputs!$A$4:$A$381&amp;F_Inputs!$B$4:$B$381,0),MATCH(Data!$C126,F_Inputs!$G$2:$T$2,0))</f>
        <v>153.4</v>
      </c>
      <c r="V126" s="139">
        <f t="array" ref="V126">INDEX(F_Inputs!$G$4:$T$381,MATCH(Data!$B126&amp;Data!V$6,F_Inputs!$A$4:$A$381&amp;F_Inputs!$B$4:$B$381,0),MATCH(Data!$C126,F_Inputs!$G$2:$T$2,0))</f>
        <v>27913</v>
      </c>
      <c r="W126" s="139">
        <f t="array" ref="W126">INDEX(F_Inputs!$G$4:$T$381,MATCH(Data!$B126&amp;Data!W$6,F_Inputs!$A$4:$A$381&amp;F_Inputs!$B$4:$B$381,0),MATCH(Data!$C126,F_Inputs!$G$2:$T$2,0))</f>
        <v>1474.25</v>
      </c>
    </row>
    <row r="127" spans="1:23" x14ac:dyDescent="0.2">
      <c r="A127" s="141" t="s">
        <v>204</v>
      </c>
      <c r="B127" s="142" t="s">
        <v>27</v>
      </c>
      <c r="C127" s="142" t="s">
        <v>76</v>
      </c>
      <c r="D127" s="139">
        <f t="array" ref="D127">INDEX(F_Inputs!$G$4:$T$381,MATCH(Data!$B127&amp;Data!D$6,F_Inputs!$A$4:$A$381&amp;F_Inputs!$B$4:$B$381,0),MATCH(Data!$C127,F_Inputs!$G$2:$T$2,0))</f>
        <v>0</v>
      </c>
      <c r="E127" s="139">
        <f t="array" ref="E127">INDEX(F_Inputs!$G$4:$T$381,MATCH(Data!$B127&amp;Data!E$6,F_Inputs!$A$4:$A$381&amp;F_Inputs!$B$4:$B$381,0),MATCH(Data!$C127,F_Inputs!$G$2:$T$2,0))</f>
        <v>5.9029999999999996</v>
      </c>
      <c r="F127" s="139">
        <f t="array" ref="F127">INDEX(F_Inputs!$G$4:$T$381,MATCH(Data!$B127&amp;Data!F$6,F_Inputs!$A$4:$A$381&amp;F_Inputs!$B$4:$B$381,0),MATCH(Data!$C127,F_Inputs!$G$2:$T$2,0))</f>
        <v>0</v>
      </c>
      <c r="G127" s="139">
        <f t="array" ref="G127">INDEX(F_Inputs!$G$4:$T$381,MATCH(Data!$B127&amp;Data!G$6,F_Inputs!$A$4:$A$381&amp;F_Inputs!$B$4:$B$381,0),MATCH(Data!$C127,F_Inputs!$G$2:$T$2,0))</f>
        <v>0</v>
      </c>
      <c r="I127" s="139">
        <f t="array" ref="I127">INDEX(F_Inputs!$G$4:$T$381,MATCH(Data!$B127&amp;Data!I$6,F_Inputs!$A$4:$A$381&amp;F_Inputs!$B$4:$B$381,0),MATCH(Data!$C127,F_Inputs!$G$2:$T$2,0))</f>
        <v>0</v>
      </c>
      <c r="J127" s="139">
        <f t="array" ref="J127">INDEX(F_Inputs!$G$4:$T$381,MATCH(Data!$B127&amp;Data!J$6,F_Inputs!$A$4:$A$381&amp;F_Inputs!$B$4:$B$381,0),MATCH(Data!$C127,F_Inputs!$G$2:$T$2,0))</f>
        <v>0.22900000000000001</v>
      </c>
      <c r="K127" s="139">
        <f t="array" ref="K127">INDEX(F_Inputs!$G$4:$T$381,MATCH(Data!$B127&amp;Data!K$6,F_Inputs!$A$4:$A$381&amp;F_Inputs!$B$4:$B$381,0),MATCH(Data!$C127,F_Inputs!$G$2:$T$2,0))</f>
        <v>0</v>
      </c>
      <c r="L127" s="139">
        <f t="array" ref="L127">INDEX(F_Inputs!$G$4:$T$381,MATCH(Data!$B127&amp;Data!L$6,F_Inputs!$A$4:$A$381&amp;F_Inputs!$B$4:$B$381,0),MATCH(Data!$C127,F_Inputs!$G$2:$T$2,0))</f>
        <v>0</v>
      </c>
      <c r="N127" s="139">
        <f t="array" ref="N127">INDEX(F_Inputs!$G$4:$T$381,MATCH(Data!$B127&amp;Data!N$6,F_Inputs!$A$4:$A$381&amp;F_Inputs!$B$4:$B$381,0),MATCH(Data!$C127,F_Inputs!$G$2:$T$2,0))</f>
        <v>324.73200000000003</v>
      </c>
      <c r="O127" s="144"/>
      <c r="P127" s="139">
        <f t="array" ref="P127">INDEX(F_Inputs!$G$4:$T$381,MATCH(Data!$B127&amp;Data!P$6,F_Inputs!$A$4:$A$381&amp;F_Inputs!$B$4:$B$381,0),MATCH(Data!$C127,F_Inputs!$G$2:$T$2,0))</f>
        <v>0.56000000000000005</v>
      </c>
      <c r="Q127" s="139">
        <f t="array" ref="Q127">INDEX(F_Inputs!$G$4:$T$381,MATCH(Data!$B127&amp;Data!Q$6,F_Inputs!$A$4:$A$381&amp;F_Inputs!$B$4:$B$381,0),MATCH(Data!$C127,F_Inputs!$G$2:$T$2,0))</f>
        <v>0.39</v>
      </c>
      <c r="R127" s="139">
        <f t="array" ref="R127">INDEX(F_Inputs!$G$4:$T$381,MATCH(Data!$B127&amp;Data!R$6,F_Inputs!$A$4:$A$381&amp;F_Inputs!$B$4:$B$381,0),MATCH(Data!$C127,F_Inputs!$G$2:$T$2,0))</f>
        <v>0</v>
      </c>
      <c r="S127" s="139">
        <f t="array" ref="S127">INDEX(F_Inputs!$G$4:$T$381,MATCH(Data!$B127&amp;Data!S$6,F_Inputs!$A$4:$A$381&amp;F_Inputs!$B$4:$B$381,0),MATCH(Data!$C127,F_Inputs!$G$2:$T$2,0))</f>
        <v>0</v>
      </c>
      <c r="U127" s="139">
        <f t="array" ref="U127">INDEX(F_Inputs!$G$4:$T$381,MATCH(Data!$B127&amp;Data!U$6,F_Inputs!$A$4:$A$381&amp;F_Inputs!$B$4:$B$381,0),MATCH(Data!$C127,F_Inputs!$G$2:$T$2,0))</f>
        <v>148.19999999999999</v>
      </c>
      <c r="V127" s="139">
        <f t="array" ref="V127">INDEX(F_Inputs!$G$4:$T$381,MATCH(Data!$B127&amp;Data!V$6,F_Inputs!$A$4:$A$381&amp;F_Inputs!$B$4:$B$381,0),MATCH(Data!$C127,F_Inputs!$G$2:$T$2,0))</f>
        <v>27968</v>
      </c>
      <c r="W127" s="139">
        <f t="array" ref="W127">INDEX(F_Inputs!$G$4:$T$381,MATCH(Data!$B127&amp;Data!W$6,F_Inputs!$A$4:$A$381&amp;F_Inputs!$B$4:$B$381,0),MATCH(Data!$C127,F_Inputs!$G$2:$T$2,0))</f>
        <v>1483.37</v>
      </c>
    </row>
    <row r="128" spans="1:23" x14ac:dyDescent="0.2">
      <c r="A128" s="141" t="s">
        <v>205</v>
      </c>
      <c r="B128" s="142" t="s">
        <v>27</v>
      </c>
      <c r="C128" s="142" t="s">
        <v>24</v>
      </c>
      <c r="D128" s="139">
        <f t="array" ref="D128">INDEX(F_Inputs!$G$4:$T$381,MATCH(Data!$B128&amp;Data!D$6,F_Inputs!$A$4:$A$381&amp;F_Inputs!$B$4:$B$381,0),MATCH(Data!$C128,F_Inputs!$G$2:$T$2,0))</f>
        <v>0</v>
      </c>
      <c r="E128" s="139">
        <f t="array" ref="E128">INDEX(F_Inputs!$G$4:$T$381,MATCH(Data!$B128&amp;Data!E$6,F_Inputs!$A$4:$A$381&amp;F_Inputs!$B$4:$B$381,0),MATCH(Data!$C128,F_Inputs!$G$2:$T$2,0))</f>
        <v>2.1269999999999998</v>
      </c>
      <c r="F128" s="139">
        <f t="array" ref="F128">INDEX(F_Inputs!$G$4:$T$381,MATCH(Data!$B128&amp;Data!F$6,F_Inputs!$A$4:$A$381&amp;F_Inputs!$B$4:$B$381,0),MATCH(Data!$C128,F_Inputs!$G$2:$T$2,0))</f>
        <v>0</v>
      </c>
      <c r="G128" s="139">
        <f t="array" ref="G128">INDEX(F_Inputs!$G$4:$T$381,MATCH(Data!$B128&amp;Data!G$6,F_Inputs!$A$4:$A$381&amp;F_Inputs!$B$4:$B$381,0),MATCH(Data!$C128,F_Inputs!$G$2:$T$2,0))</f>
        <v>0</v>
      </c>
      <c r="I128" s="139">
        <f t="array" ref="I128">INDEX(F_Inputs!$G$4:$T$381,MATCH(Data!$B128&amp;Data!I$6,F_Inputs!$A$4:$A$381&amp;F_Inputs!$B$4:$B$381,0),MATCH(Data!$C128,F_Inputs!$G$2:$T$2,0))</f>
        <v>0</v>
      </c>
      <c r="J128" s="139">
        <f t="array" ref="J128">INDEX(F_Inputs!$G$4:$T$381,MATCH(Data!$B128&amp;Data!J$6,F_Inputs!$A$4:$A$381&amp;F_Inputs!$B$4:$B$381,0),MATCH(Data!$C128,F_Inputs!$G$2:$T$2,0))</f>
        <v>0.22800000000000001</v>
      </c>
      <c r="K128" s="139">
        <f t="array" ref="K128">INDEX(F_Inputs!$G$4:$T$381,MATCH(Data!$B128&amp;Data!K$6,F_Inputs!$A$4:$A$381&amp;F_Inputs!$B$4:$B$381,0),MATCH(Data!$C128,F_Inputs!$G$2:$T$2,0))</f>
        <v>0</v>
      </c>
      <c r="L128" s="139">
        <f t="array" ref="L128">INDEX(F_Inputs!$G$4:$T$381,MATCH(Data!$B128&amp;Data!L$6,F_Inputs!$A$4:$A$381&amp;F_Inputs!$B$4:$B$381,0),MATCH(Data!$C128,F_Inputs!$G$2:$T$2,0))</f>
        <v>0</v>
      </c>
      <c r="N128" s="139">
        <f t="array" ref="N128">INDEX(F_Inputs!$G$4:$T$381,MATCH(Data!$B128&amp;Data!N$6,F_Inputs!$A$4:$A$381&amp;F_Inputs!$B$4:$B$381,0),MATCH(Data!$C128,F_Inputs!$G$2:$T$2,0))</f>
        <v>316.38299999999998</v>
      </c>
      <c r="O128" s="144"/>
      <c r="P128" s="139">
        <f t="array" ref="P128">INDEX(F_Inputs!$G$4:$T$381,MATCH(Data!$B128&amp;Data!P$6,F_Inputs!$A$4:$A$381&amp;F_Inputs!$B$4:$B$381,0),MATCH(Data!$C128,F_Inputs!$G$2:$T$2,0))</f>
        <v>0.56000000000000005</v>
      </c>
      <c r="Q128" s="139">
        <f t="array" ref="Q128">INDEX(F_Inputs!$G$4:$T$381,MATCH(Data!$B128&amp;Data!Q$6,F_Inputs!$A$4:$A$381&amp;F_Inputs!$B$4:$B$381,0),MATCH(Data!$C128,F_Inputs!$G$2:$T$2,0))</f>
        <v>0.4</v>
      </c>
      <c r="R128" s="139">
        <f t="array" ref="R128">INDEX(F_Inputs!$G$4:$T$381,MATCH(Data!$B128&amp;Data!R$6,F_Inputs!$A$4:$A$381&amp;F_Inputs!$B$4:$B$381,0),MATCH(Data!$C128,F_Inputs!$G$2:$T$2,0))</f>
        <v>0</v>
      </c>
      <c r="S128" s="139">
        <f t="array" ref="S128">INDEX(F_Inputs!$G$4:$T$381,MATCH(Data!$B128&amp;Data!S$6,F_Inputs!$A$4:$A$381&amp;F_Inputs!$B$4:$B$381,0),MATCH(Data!$C128,F_Inputs!$G$2:$T$2,0))</f>
        <v>0</v>
      </c>
      <c r="U128" s="139">
        <f t="array" ref="U128">INDEX(F_Inputs!$G$4:$T$381,MATCH(Data!$B128&amp;Data!U$6,F_Inputs!$A$4:$A$381&amp;F_Inputs!$B$4:$B$381,0),MATCH(Data!$C128,F_Inputs!$G$2:$T$2,0))</f>
        <v>143</v>
      </c>
      <c r="V128" s="139">
        <f t="array" ref="V128">INDEX(F_Inputs!$G$4:$T$381,MATCH(Data!$B128&amp;Data!V$6,F_Inputs!$A$4:$A$381&amp;F_Inputs!$B$4:$B$381,0),MATCH(Data!$C128,F_Inputs!$G$2:$T$2,0))</f>
        <v>28037</v>
      </c>
      <c r="W128" s="139">
        <f t="array" ref="W128">INDEX(F_Inputs!$G$4:$T$381,MATCH(Data!$B128&amp;Data!W$6,F_Inputs!$A$4:$A$381&amp;F_Inputs!$B$4:$B$381,0),MATCH(Data!$C128,F_Inputs!$G$2:$T$2,0))</f>
        <v>1492.5239999999999</v>
      </c>
    </row>
    <row r="129" spans="1:23" x14ac:dyDescent="0.2">
      <c r="A129" s="138" t="str">
        <f t="shared" ref="A129" si="6">B129&amp;RIGHT(C129,2)</f>
        <v>WSX12</v>
      </c>
      <c r="B129" s="19" t="s">
        <v>33</v>
      </c>
      <c r="C129" s="143" t="s">
        <v>64</v>
      </c>
      <c r="D129" s="139">
        <f t="array" ref="D129">INDEX(F_Inputs!$G$4:$T$381,MATCH(Data!$B129&amp;Data!D$6,F_Inputs!$A$4:$A$381&amp;F_Inputs!$B$4:$B$381,0),MATCH(Data!$C129,F_Inputs!$G$2:$T$2,0))</f>
        <v>4.4202527171511904E-3</v>
      </c>
      <c r="E129" s="139">
        <f t="array" ref="E129">INDEX(F_Inputs!$G$4:$T$381,MATCH(Data!$B129&amp;Data!E$6,F_Inputs!$A$4:$A$381&amp;F_Inputs!$B$4:$B$381,0),MATCH(Data!$C129,F_Inputs!$G$2:$T$2,0))</f>
        <v>0</v>
      </c>
      <c r="F129" s="139">
        <f t="array" ref="F129">INDEX(F_Inputs!$G$4:$T$381,MATCH(Data!$B129&amp;Data!F$6,F_Inputs!$A$4:$A$381&amp;F_Inputs!$B$4:$B$381,0),MATCH(Data!$C129,F_Inputs!$G$2:$T$2,0))</f>
        <v>0</v>
      </c>
      <c r="G129" s="139">
        <f t="array" ref="G129">INDEX(F_Inputs!$G$4:$T$381,MATCH(Data!$B129&amp;Data!G$6,F_Inputs!$A$4:$A$381&amp;F_Inputs!$B$4:$B$381,0),MATCH(Data!$C129,F_Inputs!$G$2:$T$2,0))</f>
        <v>0</v>
      </c>
      <c r="I129" s="139">
        <f t="array" ref="I129">INDEX(F_Inputs!$G$4:$T$381,MATCH(Data!$B129&amp;Data!I$6,F_Inputs!$A$4:$A$381&amp;F_Inputs!$B$4:$B$381,0),MATCH(Data!$C129,F_Inputs!$G$2:$T$2,0))</f>
        <v>0</v>
      </c>
      <c r="J129" s="139">
        <f t="array" ref="J129">INDEX(F_Inputs!$G$4:$T$381,MATCH(Data!$B129&amp;Data!J$6,F_Inputs!$A$4:$A$381&amp;F_Inputs!$B$4:$B$381,0),MATCH(Data!$C129,F_Inputs!$G$2:$T$2,0))</f>
        <v>0</v>
      </c>
      <c r="K129" s="139">
        <f t="array" ref="K129">INDEX(F_Inputs!$G$4:$T$381,MATCH(Data!$B129&amp;Data!K$6,F_Inputs!$A$4:$A$381&amp;F_Inputs!$B$4:$B$381,0),MATCH(Data!$C129,F_Inputs!$G$2:$T$2,0))</f>
        <v>0</v>
      </c>
      <c r="L129" s="139">
        <f t="array" ref="L129">INDEX(F_Inputs!$G$4:$T$381,MATCH(Data!$B129&amp;Data!L$6,F_Inputs!$A$4:$A$381&amp;F_Inputs!$B$4:$B$381,0),MATCH(Data!$C129,F_Inputs!$G$2:$T$2,0))</f>
        <v>0</v>
      </c>
      <c r="N129" s="139">
        <f t="array" ref="N129">INDEX(F_Inputs!$G$4:$T$381,MATCH(Data!$B129&amp;Data!N$6,F_Inputs!$A$4:$A$381&amp;F_Inputs!$B$4:$B$381,0),MATCH(Data!$C129,F_Inputs!$G$2:$T$2,0))</f>
        <v>160.111498983828</v>
      </c>
      <c r="O129" s="144"/>
      <c r="P129" s="139">
        <f t="array" ref="P129">INDEX(F_Inputs!$G$4:$T$381,MATCH(Data!$B129&amp;Data!P$6,F_Inputs!$A$4:$A$381&amp;F_Inputs!$B$4:$B$381,0),MATCH(Data!$C129,F_Inputs!$G$2:$T$2,0))</f>
        <v>0</v>
      </c>
      <c r="Q129" s="139">
        <f t="array" ref="Q129">INDEX(F_Inputs!$G$4:$T$381,MATCH(Data!$B129&amp;Data!Q$6,F_Inputs!$A$4:$A$381&amp;F_Inputs!$B$4:$B$381,0),MATCH(Data!$C129,F_Inputs!$G$2:$T$2,0))</f>
        <v>0</v>
      </c>
      <c r="R129" s="139">
        <f t="array" ref="R129">INDEX(F_Inputs!$G$4:$T$381,MATCH(Data!$B129&amp;Data!R$6,F_Inputs!$A$4:$A$381&amp;F_Inputs!$B$4:$B$381,0),MATCH(Data!$C129,F_Inputs!$G$2:$T$2,0))</f>
        <v>0</v>
      </c>
      <c r="S129" s="139">
        <f t="array" ref="S129">INDEX(F_Inputs!$G$4:$T$381,MATCH(Data!$B129&amp;Data!S$6,F_Inputs!$A$4:$A$381&amp;F_Inputs!$B$4:$B$381,0),MATCH(Data!$C129,F_Inputs!$G$2:$T$2,0))</f>
        <v>0</v>
      </c>
      <c r="U129" s="139">
        <f t="array" ref="U129">INDEX(F_Inputs!$G$4:$T$381,MATCH(Data!$B129&amp;Data!U$6,F_Inputs!$A$4:$A$381&amp;F_Inputs!$B$4:$B$381,0),MATCH(Data!$C129,F_Inputs!$G$2:$T$2,0))</f>
        <v>0</v>
      </c>
      <c r="V129" s="139">
        <f t="array" ref="V129">INDEX(F_Inputs!$G$4:$T$381,MATCH(Data!$B129&amp;Data!V$6,F_Inputs!$A$4:$A$381&amp;F_Inputs!$B$4:$B$381,0),MATCH(Data!$C129,F_Inputs!$G$2:$T$2,0))</f>
        <v>0</v>
      </c>
      <c r="W129" s="139">
        <f t="array" ref="W129">INDEX(F_Inputs!$G$4:$T$381,MATCH(Data!$B129&amp;Data!W$6,F_Inputs!$A$4:$A$381&amp;F_Inputs!$B$4:$B$381,0),MATCH(Data!$C129,F_Inputs!$G$2:$T$2,0))</f>
        <v>0</v>
      </c>
    </row>
    <row r="130" spans="1:23" x14ac:dyDescent="0.2">
      <c r="A130" s="138" t="str">
        <f>B130&amp;RIGHT(C130,2)</f>
        <v>WSX13</v>
      </c>
      <c r="B130" s="19" t="s">
        <v>33</v>
      </c>
      <c r="C130" s="143" t="s">
        <v>65</v>
      </c>
      <c r="D130" s="139">
        <f t="array" ref="D130">INDEX(F_Inputs!$G$4:$T$381,MATCH(Data!$B130&amp;Data!D$6,F_Inputs!$A$4:$A$381&amp;F_Inputs!$B$4:$B$381,0),MATCH(Data!$C130,F_Inputs!$G$2:$T$2,0))</f>
        <v>2.0501639344262301E-2</v>
      </c>
      <c r="E130" s="139">
        <f t="array" ref="E130">INDEX(F_Inputs!$G$4:$T$381,MATCH(Data!$B130&amp;Data!E$6,F_Inputs!$A$4:$A$381&amp;F_Inputs!$B$4:$B$381,0),MATCH(Data!$C130,F_Inputs!$G$2:$T$2,0))</f>
        <v>0</v>
      </c>
      <c r="F130" s="139">
        <f t="array" ref="F130">INDEX(F_Inputs!$G$4:$T$381,MATCH(Data!$B130&amp;Data!F$6,F_Inputs!$A$4:$A$381&amp;F_Inputs!$B$4:$B$381,0),MATCH(Data!$C130,F_Inputs!$G$2:$T$2,0))</f>
        <v>0</v>
      </c>
      <c r="G130" s="139">
        <f t="array" ref="G130">INDEX(F_Inputs!$G$4:$T$381,MATCH(Data!$B130&amp;Data!G$6,F_Inputs!$A$4:$A$381&amp;F_Inputs!$B$4:$B$381,0),MATCH(Data!$C130,F_Inputs!$G$2:$T$2,0))</f>
        <v>0</v>
      </c>
      <c r="I130" s="139">
        <f t="array" ref="I130">INDEX(F_Inputs!$G$4:$T$381,MATCH(Data!$B130&amp;Data!I$6,F_Inputs!$A$4:$A$381&amp;F_Inputs!$B$4:$B$381,0),MATCH(Data!$C130,F_Inputs!$G$2:$T$2,0))</f>
        <v>0</v>
      </c>
      <c r="J130" s="139">
        <f t="array" ref="J130">INDEX(F_Inputs!$G$4:$T$381,MATCH(Data!$B130&amp;Data!J$6,F_Inputs!$A$4:$A$381&amp;F_Inputs!$B$4:$B$381,0),MATCH(Data!$C130,F_Inputs!$G$2:$T$2,0))</f>
        <v>0</v>
      </c>
      <c r="K130" s="139">
        <f t="array" ref="K130">INDEX(F_Inputs!$G$4:$T$381,MATCH(Data!$B130&amp;Data!K$6,F_Inputs!$A$4:$A$381&amp;F_Inputs!$B$4:$B$381,0),MATCH(Data!$C130,F_Inputs!$G$2:$T$2,0))</f>
        <v>0</v>
      </c>
      <c r="L130" s="139">
        <f t="array" ref="L130">INDEX(F_Inputs!$G$4:$T$381,MATCH(Data!$B130&amp;Data!L$6,F_Inputs!$A$4:$A$381&amp;F_Inputs!$B$4:$B$381,0),MATCH(Data!$C130,F_Inputs!$G$2:$T$2,0))</f>
        <v>0</v>
      </c>
      <c r="N130" s="139">
        <f t="array" ref="N130">INDEX(F_Inputs!$G$4:$T$381,MATCH(Data!$B130&amp;Data!N$6,F_Inputs!$A$4:$A$381&amp;F_Inputs!$B$4:$B$381,0),MATCH(Data!$C130,F_Inputs!$G$2:$T$2,0))</f>
        <v>176.20727402933599</v>
      </c>
      <c r="O130" s="144"/>
      <c r="P130" s="139">
        <f t="array" ref="P130">INDEX(F_Inputs!$G$4:$T$381,MATCH(Data!$B130&amp;Data!P$6,F_Inputs!$A$4:$A$381&amp;F_Inputs!$B$4:$B$381,0),MATCH(Data!$C130,F_Inputs!$G$2:$T$2,0))</f>
        <v>0</v>
      </c>
      <c r="Q130" s="139">
        <f t="array" ref="Q130">INDEX(F_Inputs!$G$4:$T$381,MATCH(Data!$B130&amp;Data!Q$6,F_Inputs!$A$4:$A$381&amp;F_Inputs!$B$4:$B$381,0),MATCH(Data!$C130,F_Inputs!$G$2:$T$2,0))</f>
        <v>0</v>
      </c>
      <c r="R130" s="139">
        <f t="array" ref="R130">INDEX(F_Inputs!$G$4:$T$381,MATCH(Data!$B130&amp;Data!R$6,F_Inputs!$A$4:$A$381&amp;F_Inputs!$B$4:$B$381,0),MATCH(Data!$C130,F_Inputs!$G$2:$T$2,0))</f>
        <v>0</v>
      </c>
      <c r="S130" s="139">
        <f t="array" ref="S130">INDEX(F_Inputs!$G$4:$T$381,MATCH(Data!$B130&amp;Data!S$6,F_Inputs!$A$4:$A$381&amp;F_Inputs!$B$4:$B$381,0),MATCH(Data!$C130,F_Inputs!$G$2:$T$2,0))</f>
        <v>0</v>
      </c>
      <c r="U130" s="139">
        <f t="array" ref="U130">INDEX(F_Inputs!$G$4:$T$381,MATCH(Data!$B130&amp;Data!U$6,F_Inputs!$A$4:$A$381&amp;F_Inputs!$B$4:$B$381,0),MATCH(Data!$C130,F_Inputs!$G$2:$T$2,0))</f>
        <v>0</v>
      </c>
      <c r="V130" s="139">
        <f t="array" ref="V130">INDEX(F_Inputs!$G$4:$T$381,MATCH(Data!$B130&amp;Data!V$6,F_Inputs!$A$4:$A$381&amp;F_Inputs!$B$4:$B$381,0),MATCH(Data!$C130,F_Inputs!$G$2:$T$2,0))</f>
        <v>0</v>
      </c>
      <c r="W130" s="139">
        <f t="array" ref="W130">INDEX(F_Inputs!$G$4:$T$381,MATCH(Data!$B130&amp;Data!W$6,F_Inputs!$A$4:$A$381&amp;F_Inputs!$B$4:$B$381,0),MATCH(Data!$C130,F_Inputs!$G$2:$T$2,0))</f>
        <v>0</v>
      </c>
    </row>
    <row r="131" spans="1:23" x14ac:dyDescent="0.2">
      <c r="A131" s="138" t="str">
        <f>B131&amp;RIGHT(C131,2)</f>
        <v>WSX14</v>
      </c>
      <c r="B131" s="19" t="s">
        <v>33</v>
      </c>
      <c r="C131" s="143" t="s">
        <v>66</v>
      </c>
      <c r="D131" s="139">
        <f t="array" ref="D131">INDEX(F_Inputs!$G$4:$T$381,MATCH(Data!$B131&amp;Data!D$6,F_Inputs!$A$4:$A$381&amp;F_Inputs!$B$4:$B$381,0),MATCH(Data!$C131,F_Inputs!$G$2:$T$2,0))</f>
        <v>7.3987491548343498E-3</v>
      </c>
      <c r="E131" s="139">
        <f t="array" ref="E131">INDEX(F_Inputs!$G$4:$T$381,MATCH(Data!$B131&amp;Data!E$6,F_Inputs!$A$4:$A$381&amp;F_Inputs!$B$4:$B$381,0),MATCH(Data!$C131,F_Inputs!$G$2:$T$2,0))</f>
        <v>0</v>
      </c>
      <c r="F131" s="139">
        <f t="array" ref="F131">INDEX(F_Inputs!$G$4:$T$381,MATCH(Data!$B131&amp;Data!F$6,F_Inputs!$A$4:$A$381&amp;F_Inputs!$B$4:$B$381,0),MATCH(Data!$C131,F_Inputs!$G$2:$T$2,0))</f>
        <v>0</v>
      </c>
      <c r="G131" s="139">
        <f t="array" ref="G131">INDEX(F_Inputs!$G$4:$T$381,MATCH(Data!$B131&amp;Data!G$6,F_Inputs!$A$4:$A$381&amp;F_Inputs!$B$4:$B$381,0),MATCH(Data!$C131,F_Inputs!$G$2:$T$2,0))</f>
        <v>0</v>
      </c>
      <c r="I131" s="139">
        <f t="array" ref="I131">INDEX(F_Inputs!$G$4:$T$381,MATCH(Data!$B131&amp;Data!I$6,F_Inputs!$A$4:$A$381&amp;F_Inputs!$B$4:$B$381,0),MATCH(Data!$C131,F_Inputs!$G$2:$T$2,0))</f>
        <v>0</v>
      </c>
      <c r="J131" s="139">
        <f t="array" ref="J131">INDEX(F_Inputs!$G$4:$T$381,MATCH(Data!$B131&amp;Data!J$6,F_Inputs!$A$4:$A$381&amp;F_Inputs!$B$4:$B$381,0),MATCH(Data!$C131,F_Inputs!$G$2:$T$2,0))</f>
        <v>0</v>
      </c>
      <c r="K131" s="139">
        <f t="array" ref="K131">INDEX(F_Inputs!$G$4:$T$381,MATCH(Data!$B131&amp;Data!K$6,F_Inputs!$A$4:$A$381&amp;F_Inputs!$B$4:$B$381,0),MATCH(Data!$C131,F_Inputs!$G$2:$T$2,0))</f>
        <v>0</v>
      </c>
      <c r="L131" s="139">
        <f t="array" ref="L131">INDEX(F_Inputs!$G$4:$T$381,MATCH(Data!$B131&amp;Data!L$6,F_Inputs!$A$4:$A$381&amp;F_Inputs!$B$4:$B$381,0),MATCH(Data!$C131,F_Inputs!$G$2:$T$2,0))</f>
        <v>0</v>
      </c>
      <c r="N131" s="139">
        <f t="array" ref="N131">INDEX(F_Inputs!$G$4:$T$381,MATCH(Data!$B131&amp;Data!N$6,F_Inputs!$A$4:$A$381&amp;F_Inputs!$B$4:$B$381,0),MATCH(Data!$C131,F_Inputs!$G$2:$T$2,0))</f>
        <v>161.72502991886401</v>
      </c>
      <c r="O131" s="144"/>
      <c r="P131" s="139">
        <f t="array" ref="P131">INDEX(F_Inputs!$G$4:$T$381,MATCH(Data!$B131&amp;Data!P$6,F_Inputs!$A$4:$A$381&amp;F_Inputs!$B$4:$B$381,0),MATCH(Data!$C131,F_Inputs!$G$2:$T$2,0))</f>
        <v>0</v>
      </c>
      <c r="Q131" s="139">
        <f t="array" ref="Q131">INDEX(F_Inputs!$G$4:$T$381,MATCH(Data!$B131&amp;Data!Q$6,F_Inputs!$A$4:$A$381&amp;F_Inputs!$B$4:$B$381,0),MATCH(Data!$C131,F_Inputs!$G$2:$T$2,0))</f>
        <v>0</v>
      </c>
      <c r="R131" s="139">
        <f t="array" ref="R131">INDEX(F_Inputs!$G$4:$T$381,MATCH(Data!$B131&amp;Data!R$6,F_Inputs!$A$4:$A$381&amp;F_Inputs!$B$4:$B$381,0),MATCH(Data!$C131,F_Inputs!$G$2:$T$2,0))</f>
        <v>0</v>
      </c>
      <c r="S131" s="139">
        <f t="array" ref="S131">INDEX(F_Inputs!$G$4:$T$381,MATCH(Data!$B131&amp;Data!S$6,F_Inputs!$A$4:$A$381&amp;F_Inputs!$B$4:$B$381,0),MATCH(Data!$C131,F_Inputs!$G$2:$T$2,0))</f>
        <v>0</v>
      </c>
      <c r="U131" s="139">
        <f t="array" ref="U131">INDEX(F_Inputs!$G$4:$T$381,MATCH(Data!$B131&amp;Data!U$6,F_Inputs!$A$4:$A$381&amp;F_Inputs!$B$4:$B$381,0),MATCH(Data!$C131,F_Inputs!$G$2:$T$2,0))</f>
        <v>0</v>
      </c>
      <c r="V131" s="139">
        <f t="array" ref="V131">INDEX(F_Inputs!$G$4:$T$381,MATCH(Data!$B131&amp;Data!V$6,F_Inputs!$A$4:$A$381&amp;F_Inputs!$B$4:$B$381,0),MATCH(Data!$C131,F_Inputs!$G$2:$T$2,0))</f>
        <v>0</v>
      </c>
      <c r="W131" s="139">
        <f t="array" ref="W131">INDEX(F_Inputs!$G$4:$T$381,MATCH(Data!$B131&amp;Data!W$6,F_Inputs!$A$4:$A$381&amp;F_Inputs!$B$4:$B$381,0),MATCH(Data!$C131,F_Inputs!$G$2:$T$2,0))</f>
        <v>0</v>
      </c>
    </row>
    <row r="132" spans="1:23" x14ac:dyDescent="0.2">
      <c r="A132" s="138" t="str">
        <f>B132&amp;RIGHT(C132,2)</f>
        <v>WSX15</v>
      </c>
      <c r="B132" s="19" t="s">
        <v>33</v>
      </c>
      <c r="C132" s="143" t="s">
        <v>67</v>
      </c>
      <c r="D132" s="139">
        <f t="array" ref="D132">INDEX(F_Inputs!$G$4:$T$381,MATCH(Data!$B132&amp;Data!D$6,F_Inputs!$A$4:$A$381&amp;F_Inputs!$B$4:$B$381,0),MATCH(Data!$C132,F_Inputs!$G$2:$T$2,0))</f>
        <v>0</v>
      </c>
      <c r="E132" s="139">
        <f t="array" ref="E132">INDEX(F_Inputs!$G$4:$T$381,MATCH(Data!$B132&amp;Data!E$6,F_Inputs!$A$4:$A$381&amp;F_Inputs!$B$4:$B$381,0),MATCH(Data!$C132,F_Inputs!$G$2:$T$2,0))</f>
        <v>0</v>
      </c>
      <c r="F132" s="139">
        <f t="array" ref="F132">INDEX(F_Inputs!$G$4:$T$381,MATCH(Data!$B132&amp;Data!F$6,F_Inputs!$A$4:$A$381&amp;F_Inputs!$B$4:$B$381,0),MATCH(Data!$C132,F_Inputs!$G$2:$T$2,0))</f>
        <v>0</v>
      </c>
      <c r="G132" s="139">
        <f t="array" ref="G132">INDEX(F_Inputs!$G$4:$T$381,MATCH(Data!$B132&amp;Data!G$6,F_Inputs!$A$4:$A$381&amp;F_Inputs!$B$4:$B$381,0),MATCH(Data!$C132,F_Inputs!$G$2:$T$2,0))</f>
        <v>0</v>
      </c>
      <c r="I132" s="139">
        <f t="array" ref="I132">INDEX(F_Inputs!$G$4:$T$381,MATCH(Data!$B132&amp;Data!I$6,F_Inputs!$A$4:$A$381&amp;F_Inputs!$B$4:$B$381,0),MATCH(Data!$C132,F_Inputs!$G$2:$T$2,0))</f>
        <v>0</v>
      </c>
      <c r="J132" s="139">
        <f t="array" ref="J132">INDEX(F_Inputs!$G$4:$T$381,MATCH(Data!$B132&amp;Data!J$6,F_Inputs!$A$4:$A$381&amp;F_Inputs!$B$4:$B$381,0),MATCH(Data!$C132,F_Inputs!$G$2:$T$2,0))</f>
        <v>0</v>
      </c>
      <c r="K132" s="139">
        <f t="array" ref="K132">INDEX(F_Inputs!$G$4:$T$381,MATCH(Data!$B132&amp;Data!K$6,F_Inputs!$A$4:$A$381&amp;F_Inputs!$B$4:$B$381,0),MATCH(Data!$C132,F_Inputs!$G$2:$T$2,0))</f>
        <v>0</v>
      </c>
      <c r="L132" s="139">
        <f t="array" ref="L132">INDEX(F_Inputs!$G$4:$T$381,MATCH(Data!$B132&amp;Data!L$6,F_Inputs!$A$4:$A$381&amp;F_Inputs!$B$4:$B$381,0),MATCH(Data!$C132,F_Inputs!$G$2:$T$2,0))</f>
        <v>0</v>
      </c>
      <c r="N132" s="139">
        <f t="array" ref="N132">INDEX(F_Inputs!$G$4:$T$381,MATCH(Data!$B132&amp;Data!N$6,F_Inputs!$A$4:$A$381&amp;F_Inputs!$B$4:$B$381,0),MATCH(Data!$C132,F_Inputs!$G$2:$T$2,0))</f>
        <v>155.76956095930501</v>
      </c>
      <c r="O132" s="144"/>
      <c r="P132" s="139">
        <f t="array" ref="P132">INDEX(F_Inputs!$G$4:$T$381,MATCH(Data!$B132&amp;Data!P$6,F_Inputs!$A$4:$A$381&amp;F_Inputs!$B$4:$B$381,0),MATCH(Data!$C132,F_Inputs!$G$2:$T$2,0))</f>
        <v>0</v>
      </c>
      <c r="Q132" s="139">
        <f t="array" ref="Q132">INDEX(F_Inputs!$G$4:$T$381,MATCH(Data!$B132&amp;Data!Q$6,F_Inputs!$A$4:$A$381&amp;F_Inputs!$B$4:$B$381,0),MATCH(Data!$C132,F_Inputs!$G$2:$T$2,0))</f>
        <v>0</v>
      </c>
      <c r="R132" s="139">
        <f t="array" ref="R132">INDEX(F_Inputs!$G$4:$T$381,MATCH(Data!$B132&amp;Data!R$6,F_Inputs!$A$4:$A$381&amp;F_Inputs!$B$4:$B$381,0),MATCH(Data!$C132,F_Inputs!$G$2:$T$2,0))</f>
        <v>0</v>
      </c>
      <c r="S132" s="139">
        <f t="array" ref="S132">INDEX(F_Inputs!$G$4:$T$381,MATCH(Data!$B132&amp;Data!S$6,F_Inputs!$A$4:$A$381&amp;F_Inputs!$B$4:$B$381,0),MATCH(Data!$C132,F_Inputs!$G$2:$T$2,0))</f>
        <v>0</v>
      </c>
      <c r="U132" s="139">
        <f t="array" ref="U132">INDEX(F_Inputs!$G$4:$T$381,MATCH(Data!$B132&amp;Data!U$6,F_Inputs!$A$4:$A$381&amp;F_Inputs!$B$4:$B$381,0),MATCH(Data!$C132,F_Inputs!$G$2:$T$2,0))</f>
        <v>0</v>
      </c>
      <c r="V132" s="139">
        <f t="array" ref="V132">INDEX(F_Inputs!$G$4:$T$381,MATCH(Data!$B132&amp;Data!V$6,F_Inputs!$A$4:$A$381&amp;F_Inputs!$B$4:$B$381,0),MATCH(Data!$C132,F_Inputs!$G$2:$T$2,0))</f>
        <v>0</v>
      </c>
      <c r="W132" s="139">
        <f t="array" ref="W132">INDEX(F_Inputs!$G$4:$T$381,MATCH(Data!$B132&amp;Data!W$6,F_Inputs!$A$4:$A$381&amp;F_Inputs!$B$4:$B$381,0),MATCH(Data!$C132,F_Inputs!$G$2:$T$2,0))</f>
        <v>0</v>
      </c>
    </row>
    <row r="133" spans="1:23" x14ac:dyDescent="0.2">
      <c r="A133" s="138" t="str">
        <f>B133&amp;RIGHT(C133,2)</f>
        <v>WSX16</v>
      </c>
      <c r="B133" s="19" t="s">
        <v>33</v>
      </c>
      <c r="C133" s="143" t="s">
        <v>68</v>
      </c>
      <c r="D133" s="139">
        <f t="array" ref="D133">INDEX(F_Inputs!$G$4:$T$381,MATCH(Data!$B133&amp;Data!D$6,F_Inputs!$A$4:$A$381&amp;F_Inputs!$B$4:$B$381,0),MATCH(Data!$C133,F_Inputs!$G$2:$T$2,0))</f>
        <v>0</v>
      </c>
      <c r="E133" s="139">
        <f t="array" ref="E133">INDEX(F_Inputs!$G$4:$T$381,MATCH(Data!$B133&amp;Data!E$6,F_Inputs!$A$4:$A$381&amp;F_Inputs!$B$4:$B$381,0),MATCH(Data!$C133,F_Inputs!$G$2:$T$2,0))</f>
        <v>0</v>
      </c>
      <c r="F133" s="139">
        <f t="array" ref="F133">INDEX(F_Inputs!$G$4:$T$381,MATCH(Data!$B133&amp;Data!F$6,F_Inputs!$A$4:$A$381&amp;F_Inputs!$B$4:$B$381,0),MATCH(Data!$C133,F_Inputs!$G$2:$T$2,0))</f>
        <v>0</v>
      </c>
      <c r="G133" s="139">
        <f t="array" ref="G133">INDEX(F_Inputs!$G$4:$T$381,MATCH(Data!$B133&amp;Data!G$6,F_Inputs!$A$4:$A$381&amp;F_Inputs!$B$4:$B$381,0),MATCH(Data!$C133,F_Inputs!$G$2:$T$2,0))</f>
        <v>0</v>
      </c>
      <c r="I133" s="139">
        <f t="array" ref="I133">INDEX(F_Inputs!$G$4:$T$381,MATCH(Data!$B133&amp;Data!I$6,F_Inputs!$A$4:$A$381&amp;F_Inputs!$B$4:$B$381,0),MATCH(Data!$C133,F_Inputs!$G$2:$T$2,0))</f>
        <v>0</v>
      </c>
      <c r="J133" s="139">
        <f t="array" ref="J133">INDEX(F_Inputs!$G$4:$T$381,MATCH(Data!$B133&amp;Data!J$6,F_Inputs!$A$4:$A$381&amp;F_Inputs!$B$4:$B$381,0),MATCH(Data!$C133,F_Inputs!$G$2:$T$2,0))</f>
        <v>0</v>
      </c>
      <c r="K133" s="139">
        <f t="array" ref="K133">INDEX(F_Inputs!$G$4:$T$381,MATCH(Data!$B133&amp;Data!K$6,F_Inputs!$A$4:$A$381&amp;F_Inputs!$B$4:$B$381,0),MATCH(Data!$C133,F_Inputs!$G$2:$T$2,0))</f>
        <v>0</v>
      </c>
      <c r="L133" s="139">
        <f t="array" ref="L133">INDEX(F_Inputs!$G$4:$T$381,MATCH(Data!$B133&amp;Data!L$6,F_Inputs!$A$4:$A$381&amp;F_Inputs!$B$4:$B$381,0),MATCH(Data!$C133,F_Inputs!$G$2:$T$2,0))</f>
        <v>0</v>
      </c>
      <c r="N133" s="139">
        <f t="array" ref="N133">INDEX(F_Inputs!$G$4:$T$381,MATCH(Data!$B133&amp;Data!N$6,F_Inputs!$A$4:$A$381&amp;F_Inputs!$B$4:$B$381,0),MATCH(Data!$C133,F_Inputs!$G$2:$T$2,0))</f>
        <v>161.797675540765</v>
      </c>
      <c r="O133" s="144"/>
      <c r="P133" s="139">
        <f t="array" ref="P133">INDEX(F_Inputs!$G$4:$T$381,MATCH(Data!$B133&amp;Data!P$6,F_Inputs!$A$4:$A$381&amp;F_Inputs!$B$4:$B$381,0),MATCH(Data!$C133,F_Inputs!$G$2:$T$2,0))</f>
        <v>0</v>
      </c>
      <c r="Q133" s="139">
        <f t="array" ref="Q133">INDEX(F_Inputs!$G$4:$T$381,MATCH(Data!$B133&amp;Data!Q$6,F_Inputs!$A$4:$A$381&amp;F_Inputs!$B$4:$B$381,0),MATCH(Data!$C133,F_Inputs!$G$2:$T$2,0))</f>
        <v>0</v>
      </c>
      <c r="R133" s="139">
        <f t="array" ref="R133">INDEX(F_Inputs!$G$4:$T$381,MATCH(Data!$B133&amp;Data!R$6,F_Inputs!$A$4:$A$381&amp;F_Inputs!$B$4:$B$381,0),MATCH(Data!$C133,F_Inputs!$G$2:$T$2,0))</f>
        <v>0</v>
      </c>
      <c r="S133" s="139">
        <f t="array" ref="S133">INDEX(F_Inputs!$G$4:$T$381,MATCH(Data!$B133&amp;Data!S$6,F_Inputs!$A$4:$A$381&amp;F_Inputs!$B$4:$B$381,0),MATCH(Data!$C133,F_Inputs!$G$2:$T$2,0))</f>
        <v>0</v>
      </c>
      <c r="U133" s="139">
        <f t="array" ref="U133">INDEX(F_Inputs!$G$4:$T$381,MATCH(Data!$B133&amp;Data!U$6,F_Inputs!$A$4:$A$381&amp;F_Inputs!$B$4:$B$381,0),MATCH(Data!$C133,F_Inputs!$G$2:$T$2,0))</f>
        <v>0</v>
      </c>
      <c r="V133" s="139">
        <f t="array" ref="V133">INDEX(F_Inputs!$G$4:$T$381,MATCH(Data!$B133&amp;Data!V$6,F_Inputs!$A$4:$A$381&amp;F_Inputs!$B$4:$B$381,0),MATCH(Data!$C133,F_Inputs!$G$2:$T$2,0))</f>
        <v>0</v>
      </c>
      <c r="W133" s="139">
        <f t="array" ref="W133">INDEX(F_Inputs!$G$4:$T$381,MATCH(Data!$B133&amp;Data!W$6,F_Inputs!$A$4:$A$381&amp;F_Inputs!$B$4:$B$381,0),MATCH(Data!$C133,F_Inputs!$G$2:$T$2,0))</f>
        <v>0</v>
      </c>
    </row>
    <row r="134" spans="1:23" x14ac:dyDescent="0.2">
      <c r="A134" s="138" t="str">
        <f>B134&amp;RIGHT(C134,2)</f>
        <v>WSX17</v>
      </c>
      <c r="B134" s="19" t="s">
        <v>33</v>
      </c>
      <c r="C134" s="143" t="s">
        <v>69</v>
      </c>
      <c r="D134" s="139">
        <f t="array" ref="D134">INDEX(F_Inputs!$G$4:$T$381,MATCH(Data!$B134&amp;Data!D$6,F_Inputs!$A$4:$A$381&amp;F_Inputs!$B$4:$B$381,0),MATCH(Data!$C134,F_Inputs!$G$2:$T$2,0))</f>
        <v>0</v>
      </c>
      <c r="E134" s="139">
        <f t="array" ref="E134">INDEX(F_Inputs!$G$4:$T$381,MATCH(Data!$B134&amp;Data!E$6,F_Inputs!$A$4:$A$381&amp;F_Inputs!$B$4:$B$381,0),MATCH(Data!$C134,F_Inputs!$G$2:$T$2,0))</f>
        <v>0</v>
      </c>
      <c r="F134" s="139">
        <f t="array" ref="F134">INDEX(F_Inputs!$G$4:$T$381,MATCH(Data!$B134&amp;Data!F$6,F_Inputs!$A$4:$A$381&amp;F_Inputs!$B$4:$B$381,0),MATCH(Data!$C134,F_Inputs!$G$2:$T$2,0))</f>
        <v>0</v>
      </c>
      <c r="G134" s="139">
        <f t="array" ref="G134">INDEX(F_Inputs!$G$4:$T$381,MATCH(Data!$B134&amp;Data!G$6,F_Inputs!$A$4:$A$381&amp;F_Inputs!$B$4:$B$381,0),MATCH(Data!$C134,F_Inputs!$G$2:$T$2,0))</f>
        <v>0</v>
      </c>
      <c r="I134" s="139">
        <f t="array" ref="I134">INDEX(F_Inputs!$G$4:$T$381,MATCH(Data!$B134&amp;Data!I$6,F_Inputs!$A$4:$A$381&amp;F_Inputs!$B$4:$B$381,0),MATCH(Data!$C134,F_Inputs!$G$2:$T$2,0))</f>
        <v>0</v>
      </c>
      <c r="J134" s="139">
        <f t="array" ref="J134">INDEX(F_Inputs!$G$4:$T$381,MATCH(Data!$B134&amp;Data!J$6,F_Inputs!$A$4:$A$381&amp;F_Inputs!$B$4:$B$381,0),MATCH(Data!$C134,F_Inputs!$G$2:$T$2,0))</f>
        <v>0</v>
      </c>
      <c r="K134" s="139">
        <f t="array" ref="K134">INDEX(F_Inputs!$G$4:$T$381,MATCH(Data!$B134&amp;Data!K$6,F_Inputs!$A$4:$A$381&amp;F_Inputs!$B$4:$B$381,0),MATCH(Data!$C134,F_Inputs!$G$2:$T$2,0))</f>
        <v>0</v>
      </c>
      <c r="L134" s="139">
        <f t="array" ref="L134">INDEX(F_Inputs!$G$4:$T$381,MATCH(Data!$B134&amp;Data!L$6,F_Inputs!$A$4:$A$381&amp;F_Inputs!$B$4:$B$381,0),MATCH(Data!$C134,F_Inputs!$G$2:$T$2,0))</f>
        <v>0</v>
      </c>
      <c r="N134" s="139">
        <f t="array" ref="N134">INDEX(F_Inputs!$G$4:$T$381,MATCH(Data!$B134&amp;Data!N$6,F_Inputs!$A$4:$A$381&amp;F_Inputs!$B$4:$B$381,0),MATCH(Data!$C134,F_Inputs!$G$2:$T$2,0))</f>
        <v>157.54378334017201</v>
      </c>
      <c r="O134" s="144"/>
      <c r="P134" s="139">
        <f t="array" ref="P134">INDEX(F_Inputs!$G$4:$T$381,MATCH(Data!$B134&amp;Data!P$6,F_Inputs!$A$4:$A$381&amp;F_Inputs!$B$4:$B$381,0),MATCH(Data!$C134,F_Inputs!$G$2:$T$2,0))</f>
        <v>0</v>
      </c>
      <c r="Q134" s="139">
        <f t="array" ref="Q134">INDEX(F_Inputs!$G$4:$T$381,MATCH(Data!$B134&amp;Data!Q$6,F_Inputs!$A$4:$A$381&amp;F_Inputs!$B$4:$B$381,0),MATCH(Data!$C134,F_Inputs!$G$2:$T$2,0))</f>
        <v>0</v>
      </c>
      <c r="R134" s="139">
        <f t="array" ref="R134">INDEX(F_Inputs!$G$4:$T$381,MATCH(Data!$B134&amp;Data!R$6,F_Inputs!$A$4:$A$381&amp;F_Inputs!$B$4:$B$381,0),MATCH(Data!$C134,F_Inputs!$G$2:$T$2,0))</f>
        <v>0</v>
      </c>
      <c r="S134" s="139">
        <f t="array" ref="S134">INDEX(F_Inputs!$G$4:$T$381,MATCH(Data!$B134&amp;Data!S$6,F_Inputs!$A$4:$A$381&amp;F_Inputs!$B$4:$B$381,0),MATCH(Data!$C134,F_Inputs!$G$2:$T$2,0))</f>
        <v>0</v>
      </c>
      <c r="U134" s="139">
        <f t="array" ref="U134">INDEX(F_Inputs!$G$4:$T$381,MATCH(Data!$B134&amp;Data!U$6,F_Inputs!$A$4:$A$381&amp;F_Inputs!$B$4:$B$381,0),MATCH(Data!$C134,F_Inputs!$G$2:$T$2,0))</f>
        <v>0</v>
      </c>
      <c r="V134" s="139">
        <f t="array" ref="V134">INDEX(F_Inputs!$G$4:$T$381,MATCH(Data!$B134&amp;Data!V$6,F_Inputs!$A$4:$A$381&amp;F_Inputs!$B$4:$B$381,0),MATCH(Data!$C134,F_Inputs!$G$2:$T$2,0))</f>
        <v>0</v>
      </c>
      <c r="W134" s="139">
        <f t="array" ref="W134">INDEX(F_Inputs!$G$4:$T$381,MATCH(Data!$B134&amp;Data!W$6,F_Inputs!$A$4:$A$381&amp;F_Inputs!$B$4:$B$381,0),MATCH(Data!$C134,F_Inputs!$G$2:$T$2,0))</f>
        <v>0</v>
      </c>
    </row>
    <row r="135" spans="1:23" x14ac:dyDescent="0.2">
      <c r="A135" s="141" t="s">
        <v>206</v>
      </c>
      <c r="B135" s="142" t="s">
        <v>33</v>
      </c>
      <c r="C135" s="142" t="s">
        <v>70</v>
      </c>
      <c r="D135" s="139">
        <f t="array" ref="D135">INDEX(F_Inputs!$G$4:$T$381,MATCH(Data!$B135&amp;Data!D$6,F_Inputs!$A$4:$A$381&amp;F_Inputs!$B$4:$B$381,0),MATCH(Data!$C135,F_Inputs!$G$2:$T$2,0))</f>
        <v>0</v>
      </c>
      <c r="E135" s="139">
        <f t="array" ref="E135">INDEX(F_Inputs!$G$4:$T$381,MATCH(Data!$B135&amp;Data!E$6,F_Inputs!$A$4:$A$381&amp;F_Inputs!$B$4:$B$381,0),MATCH(Data!$C135,F_Inputs!$G$2:$T$2,0))</f>
        <v>0</v>
      </c>
      <c r="F135" s="139">
        <f t="array" ref="F135">INDEX(F_Inputs!$G$4:$T$381,MATCH(Data!$B135&amp;Data!F$6,F_Inputs!$A$4:$A$381&amp;F_Inputs!$B$4:$B$381,0),MATCH(Data!$C135,F_Inputs!$G$2:$T$2,0))</f>
        <v>-2.04749999999694E-6</v>
      </c>
      <c r="G135" s="139">
        <f t="array" ref="G135">INDEX(F_Inputs!$G$4:$T$381,MATCH(Data!$B135&amp;Data!G$6,F_Inputs!$A$4:$A$381&amp;F_Inputs!$B$4:$B$381,0),MATCH(Data!$C135,F_Inputs!$G$2:$T$2,0))</f>
        <v>5.7547500000000003E-3</v>
      </c>
      <c r="I135" s="139">
        <f t="array" ref="I135">INDEX(F_Inputs!$G$4:$T$381,MATCH(Data!$B135&amp;Data!I$6,F_Inputs!$A$4:$A$381&amp;F_Inputs!$B$4:$B$381,0),MATCH(Data!$C135,F_Inputs!$G$2:$T$2,0))</f>
        <v>0</v>
      </c>
      <c r="J135" s="139">
        <f t="array" ref="J135">INDEX(F_Inputs!$G$4:$T$381,MATCH(Data!$B135&amp;Data!J$6,F_Inputs!$A$4:$A$381&amp;F_Inputs!$B$4:$B$381,0),MATCH(Data!$C135,F_Inputs!$G$2:$T$2,0))</f>
        <v>0</v>
      </c>
      <c r="K135" s="139">
        <f t="array" ref="K135">INDEX(F_Inputs!$G$4:$T$381,MATCH(Data!$B135&amp;Data!K$6,F_Inputs!$A$4:$A$381&amp;F_Inputs!$B$4:$B$381,0),MATCH(Data!$C135,F_Inputs!$G$2:$T$2,0))</f>
        <v>0</v>
      </c>
      <c r="L135" s="139">
        <f t="array" ref="L135">INDEX(F_Inputs!$G$4:$T$381,MATCH(Data!$B135&amp;Data!L$6,F_Inputs!$A$4:$A$381&amp;F_Inputs!$B$4:$B$381,0),MATCH(Data!$C135,F_Inputs!$G$2:$T$2,0))</f>
        <v>0</v>
      </c>
      <c r="N135" s="139">
        <f t="array" ref="N135">INDEX(F_Inputs!$G$4:$T$381,MATCH(Data!$B135&amp;Data!N$6,F_Inputs!$A$4:$A$381&amp;F_Inputs!$B$4:$B$381,0),MATCH(Data!$C135,F_Inputs!$G$2:$T$2,0))</f>
        <v>135.18250211091799</v>
      </c>
      <c r="O135" s="144"/>
      <c r="P135" s="139">
        <f t="array" ref="P135">INDEX(F_Inputs!$G$4:$T$381,MATCH(Data!$B135&amp;Data!P$6,F_Inputs!$A$4:$A$381&amp;F_Inputs!$B$4:$B$381,0),MATCH(Data!$C135,F_Inputs!$G$2:$T$2,0))</f>
        <v>0</v>
      </c>
      <c r="Q135" s="139">
        <f t="array" ref="Q135">INDEX(F_Inputs!$G$4:$T$381,MATCH(Data!$B135&amp;Data!Q$6,F_Inputs!$A$4:$A$381&amp;F_Inputs!$B$4:$B$381,0),MATCH(Data!$C135,F_Inputs!$G$2:$T$2,0))</f>
        <v>0</v>
      </c>
      <c r="R135" s="139">
        <f t="array" ref="R135">INDEX(F_Inputs!$G$4:$T$381,MATCH(Data!$B135&amp;Data!R$6,F_Inputs!$A$4:$A$381&amp;F_Inputs!$B$4:$B$381,0),MATCH(Data!$C135,F_Inputs!$G$2:$T$2,0))</f>
        <v>2.34</v>
      </c>
      <c r="S135" s="139">
        <f t="array" ref="S135">INDEX(F_Inputs!$G$4:$T$381,MATCH(Data!$B135&amp;Data!S$6,F_Inputs!$A$4:$A$381&amp;F_Inputs!$B$4:$B$381,0),MATCH(Data!$C135,F_Inputs!$G$2:$T$2,0))</f>
        <v>2.34</v>
      </c>
      <c r="U135" s="139">
        <f t="array" ref="U135">INDEX(F_Inputs!$G$4:$T$381,MATCH(Data!$B135&amp;Data!U$6,F_Inputs!$A$4:$A$381&amp;F_Inputs!$B$4:$B$381,0),MATCH(Data!$C135,F_Inputs!$G$2:$T$2,0))</f>
        <v>79.66</v>
      </c>
      <c r="V135" s="139">
        <f t="array" ref="V135">INDEX(F_Inputs!$G$4:$T$381,MATCH(Data!$B135&amp;Data!V$6,F_Inputs!$A$4:$A$381&amp;F_Inputs!$B$4:$B$381,0),MATCH(Data!$C135,F_Inputs!$G$2:$T$2,0))</f>
        <v>11935.02</v>
      </c>
      <c r="W135" s="139">
        <f t="array" ref="W135">INDEX(F_Inputs!$G$4:$T$381,MATCH(Data!$B135&amp;Data!W$6,F_Inputs!$A$4:$A$381&amp;F_Inputs!$B$4:$B$381,0),MATCH(Data!$C135,F_Inputs!$G$2:$T$2,0))</f>
        <v>615.40800000000002</v>
      </c>
    </row>
    <row r="136" spans="1:23" x14ac:dyDescent="0.2">
      <c r="A136" s="141" t="s">
        <v>207</v>
      </c>
      <c r="B136" s="142" t="s">
        <v>33</v>
      </c>
      <c r="C136" s="142" t="s">
        <v>71</v>
      </c>
      <c r="D136" s="139">
        <f t="array" ref="D136">INDEX(F_Inputs!$G$4:$T$381,MATCH(Data!$B136&amp;Data!D$6,F_Inputs!$A$4:$A$381&amp;F_Inputs!$B$4:$B$381,0),MATCH(Data!$C136,F_Inputs!$G$2:$T$2,0))</f>
        <v>0</v>
      </c>
      <c r="E136" s="139">
        <f t="array" ref="E136">INDEX(F_Inputs!$G$4:$T$381,MATCH(Data!$B136&amp;Data!E$6,F_Inputs!$A$4:$A$381&amp;F_Inputs!$B$4:$B$381,0),MATCH(Data!$C136,F_Inputs!$G$2:$T$2,0))</f>
        <v>0</v>
      </c>
      <c r="F136" s="139">
        <f t="array" ref="F136">INDEX(F_Inputs!$G$4:$T$381,MATCH(Data!$B136&amp;Data!F$6,F_Inputs!$A$4:$A$381&amp;F_Inputs!$B$4:$B$381,0),MATCH(Data!$C136,F_Inputs!$G$2:$T$2,0))</f>
        <v>0</v>
      </c>
      <c r="G136" s="139">
        <f t="array" ref="G136">INDEX(F_Inputs!$G$4:$T$381,MATCH(Data!$B136&amp;Data!G$6,F_Inputs!$A$4:$A$381&amp;F_Inputs!$B$4:$B$381,0),MATCH(Data!$C136,F_Inputs!$G$2:$T$2,0))</f>
        <v>5.7309919974745403E-2</v>
      </c>
      <c r="I136" s="139">
        <f t="array" ref="I136">INDEX(F_Inputs!$G$4:$T$381,MATCH(Data!$B136&amp;Data!I$6,F_Inputs!$A$4:$A$381&amp;F_Inputs!$B$4:$B$381,0),MATCH(Data!$C136,F_Inputs!$G$2:$T$2,0))</f>
        <v>0</v>
      </c>
      <c r="J136" s="139">
        <f t="array" ref="J136">INDEX(F_Inputs!$G$4:$T$381,MATCH(Data!$B136&amp;Data!J$6,F_Inputs!$A$4:$A$381&amp;F_Inputs!$B$4:$B$381,0),MATCH(Data!$C136,F_Inputs!$G$2:$T$2,0))</f>
        <v>0</v>
      </c>
      <c r="K136" s="139">
        <f t="array" ref="K136">INDEX(F_Inputs!$G$4:$T$381,MATCH(Data!$B136&amp;Data!K$6,F_Inputs!$A$4:$A$381&amp;F_Inputs!$B$4:$B$381,0),MATCH(Data!$C136,F_Inputs!$G$2:$T$2,0))</f>
        <v>0</v>
      </c>
      <c r="L136" s="139">
        <f t="array" ref="L136">INDEX(F_Inputs!$G$4:$T$381,MATCH(Data!$B136&amp;Data!L$6,F_Inputs!$A$4:$A$381&amp;F_Inputs!$B$4:$B$381,0),MATCH(Data!$C136,F_Inputs!$G$2:$T$2,0))</f>
        <v>0</v>
      </c>
      <c r="N136" s="139">
        <f t="array" ref="N136">INDEX(F_Inputs!$G$4:$T$381,MATCH(Data!$B136&amp;Data!N$6,F_Inputs!$A$4:$A$381&amp;F_Inputs!$B$4:$B$381,0),MATCH(Data!$C136,F_Inputs!$G$2:$T$2,0))</f>
        <v>135.547767820351</v>
      </c>
      <c r="O136" s="144"/>
      <c r="P136" s="139">
        <f t="array" ref="P136">INDEX(F_Inputs!$G$4:$T$381,MATCH(Data!$B136&amp;Data!P$6,F_Inputs!$A$4:$A$381&amp;F_Inputs!$B$4:$B$381,0),MATCH(Data!$C136,F_Inputs!$G$2:$T$2,0))</f>
        <v>0</v>
      </c>
      <c r="Q136" s="139">
        <f t="array" ref="Q136">INDEX(F_Inputs!$G$4:$T$381,MATCH(Data!$B136&amp;Data!Q$6,F_Inputs!$A$4:$A$381&amp;F_Inputs!$B$4:$B$381,0),MATCH(Data!$C136,F_Inputs!$G$2:$T$2,0))</f>
        <v>0</v>
      </c>
      <c r="R136" s="139">
        <f t="array" ref="R136">INDEX(F_Inputs!$G$4:$T$381,MATCH(Data!$B136&amp;Data!R$6,F_Inputs!$A$4:$A$381&amp;F_Inputs!$B$4:$B$381,0),MATCH(Data!$C136,F_Inputs!$G$2:$T$2,0))</f>
        <v>2.36</v>
      </c>
      <c r="S136" s="139">
        <f t="array" ref="S136">INDEX(F_Inputs!$G$4:$T$381,MATCH(Data!$B136&amp;Data!S$6,F_Inputs!$A$4:$A$381&amp;F_Inputs!$B$4:$B$381,0),MATCH(Data!$C136,F_Inputs!$G$2:$T$2,0))</f>
        <v>2.24620857793726</v>
      </c>
      <c r="U136" s="139">
        <f t="array" ref="U136">INDEX(F_Inputs!$G$4:$T$381,MATCH(Data!$B136&amp;Data!U$6,F_Inputs!$A$4:$A$381&amp;F_Inputs!$B$4:$B$381,0),MATCH(Data!$C136,F_Inputs!$G$2:$T$2,0))</f>
        <v>78.889652999999996</v>
      </c>
      <c r="V136" s="139">
        <f t="array" ref="V136">INDEX(F_Inputs!$G$4:$T$381,MATCH(Data!$B136&amp;Data!V$6,F_Inputs!$A$4:$A$381&amp;F_Inputs!$B$4:$B$381,0),MATCH(Data!$C136,F_Inputs!$G$2:$T$2,0))</f>
        <v>11980.016100000001</v>
      </c>
      <c r="W136" s="139">
        <f t="array" ref="W136">INDEX(F_Inputs!$G$4:$T$381,MATCH(Data!$B136&amp;Data!W$6,F_Inputs!$A$4:$A$381&amp;F_Inputs!$B$4:$B$381,0),MATCH(Data!$C136,F_Inputs!$G$2:$T$2,0))</f>
        <v>623.31399999999996</v>
      </c>
    </row>
    <row r="137" spans="1:23" x14ac:dyDescent="0.2">
      <c r="A137" s="141" t="s">
        <v>208</v>
      </c>
      <c r="B137" s="142" t="s">
        <v>33</v>
      </c>
      <c r="C137" s="142" t="s">
        <v>72</v>
      </c>
      <c r="D137" s="139">
        <f t="array" ref="D137">INDEX(F_Inputs!$G$4:$T$381,MATCH(Data!$B137&amp;Data!D$6,F_Inputs!$A$4:$A$381&amp;F_Inputs!$B$4:$B$381,0),MATCH(Data!$C137,F_Inputs!$G$2:$T$2,0))</f>
        <v>0</v>
      </c>
      <c r="E137" s="139">
        <f t="array" ref="E137">INDEX(F_Inputs!$G$4:$T$381,MATCH(Data!$B137&amp;Data!E$6,F_Inputs!$A$4:$A$381&amp;F_Inputs!$B$4:$B$381,0),MATCH(Data!$C137,F_Inputs!$G$2:$T$2,0))</f>
        <v>0</v>
      </c>
      <c r="F137" s="139">
        <f t="array" ref="F137">INDEX(F_Inputs!$G$4:$T$381,MATCH(Data!$B137&amp;Data!F$6,F_Inputs!$A$4:$A$381&amp;F_Inputs!$B$4:$B$381,0),MATCH(Data!$C137,F_Inputs!$G$2:$T$2,0))</f>
        <v>0</v>
      </c>
      <c r="G137" s="139">
        <f t="array" ref="G137">INDEX(F_Inputs!$G$4:$T$381,MATCH(Data!$B137&amp;Data!G$6,F_Inputs!$A$4:$A$381&amp;F_Inputs!$B$4:$B$381,0),MATCH(Data!$C137,F_Inputs!$G$2:$T$2,0))</f>
        <v>5.59954553173918E-2</v>
      </c>
      <c r="I137" s="139">
        <f t="array" ref="I137">INDEX(F_Inputs!$G$4:$T$381,MATCH(Data!$B137&amp;Data!I$6,F_Inputs!$A$4:$A$381&amp;F_Inputs!$B$4:$B$381,0),MATCH(Data!$C137,F_Inputs!$G$2:$T$2,0))</f>
        <v>0</v>
      </c>
      <c r="J137" s="139">
        <f t="array" ref="J137">INDEX(F_Inputs!$G$4:$T$381,MATCH(Data!$B137&amp;Data!J$6,F_Inputs!$A$4:$A$381&amp;F_Inputs!$B$4:$B$381,0),MATCH(Data!$C137,F_Inputs!$G$2:$T$2,0))</f>
        <v>0</v>
      </c>
      <c r="K137" s="139">
        <f t="array" ref="K137">INDEX(F_Inputs!$G$4:$T$381,MATCH(Data!$B137&amp;Data!K$6,F_Inputs!$A$4:$A$381&amp;F_Inputs!$B$4:$B$381,0),MATCH(Data!$C137,F_Inputs!$G$2:$T$2,0))</f>
        <v>0</v>
      </c>
      <c r="L137" s="139">
        <f t="array" ref="L137">INDEX(F_Inputs!$G$4:$T$381,MATCH(Data!$B137&amp;Data!L$6,F_Inputs!$A$4:$A$381&amp;F_Inputs!$B$4:$B$381,0),MATCH(Data!$C137,F_Inputs!$G$2:$T$2,0))</f>
        <v>0</v>
      </c>
      <c r="N137" s="139">
        <f t="array" ref="N137">INDEX(F_Inputs!$G$4:$T$381,MATCH(Data!$B137&amp;Data!N$6,F_Inputs!$A$4:$A$381&amp;F_Inputs!$B$4:$B$381,0),MATCH(Data!$C137,F_Inputs!$G$2:$T$2,0))</f>
        <v>145.638681570416</v>
      </c>
      <c r="O137" s="144"/>
      <c r="P137" s="139">
        <f t="array" ref="P137">INDEX(F_Inputs!$G$4:$T$381,MATCH(Data!$B137&amp;Data!P$6,F_Inputs!$A$4:$A$381&amp;F_Inputs!$B$4:$B$381,0),MATCH(Data!$C137,F_Inputs!$G$2:$T$2,0))</f>
        <v>0</v>
      </c>
      <c r="Q137" s="139">
        <f t="array" ref="Q137">INDEX(F_Inputs!$G$4:$T$381,MATCH(Data!$B137&amp;Data!Q$6,F_Inputs!$A$4:$A$381&amp;F_Inputs!$B$4:$B$381,0),MATCH(Data!$C137,F_Inputs!$G$2:$T$2,0))</f>
        <v>0</v>
      </c>
      <c r="R137" s="139">
        <f t="array" ref="R137">INDEX(F_Inputs!$G$4:$T$381,MATCH(Data!$B137&amp;Data!R$6,F_Inputs!$A$4:$A$381&amp;F_Inputs!$B$4:$B$381,0),MATCH(Data!$C137,F_Inputs!$G$2:$T$2,0))</f>
        <v>2.0499999999999998</v>
      </c>
      <c r="S137" s="139">
        <f t="array" ref="S137">INDEX(F_Inputs!$G$4:$T$381,MATCH(Data!$B137&amp;Data!S$6,F_Inputs!$A$4:$A$381&amp;F_Inputs!$B$4:$B$381,0),MATCH(Data!$C137,F_Inputs!$G$2:$T$2,0))</f>
        <v>1.94964577527981</v>
      </c>
      <c r="U137" s="139">
        <f t="array" ref="U137">INDEX(F_Inputs!$G$4:$T$381,MATCH(Data!$B137&amp;Data!U$6,F_Inputs!$A$4:$A$381&amp;F_Inputs!$B$4:$B$381,0),MATCH(Data!$C137,F_Inputs!$G$2:$T$2,0))</f>
        <v>78.157700000000006</v>
      </c>
      <c r="V137" s="139">
        <f t="array" ref="V137">INDEX(F_Inputs!$G$4:$T$381,MATCH(Data!$B137&amp;Data!V$6,F_Inputs!$A$4:$A$381&amp;F_Inputs!$B$4:$B$381,0),MATCH(Data!$C137,F_Inputs!$G$2:$T$2,0))</f>
        <v>12025.016100000001</v>
      </c>
      <c r="W137" s="139">
        <f t="array" ref="W137">INDEX(F_Inputs!$G$4:$T$381,MATCH(Data!$B137&amp;Data!W$6,F_Inputs!$A$4:$A$381&amp;F_Inputs!$B$4:$B$381,0),MATCH(Data!$C137,F_Inputs!$G$2:$T$2,0))</f>
        <v>629.67100000000005</v>
      </c>
    </row>
    <row r="138" spans="1:23" x14ac:dyDescent="0.2">
      <c r="A138" s="141" t="s">
        <v>209</v>
      </c>
      <c r="B138" s="142" t="s">
        <v>33</v>
      </c>
      <c r="C138" s="142" t="s">
        <v>73</v>
      </c>
      <c r="D138" s="139">
        <f t="array" ref="D138">INDEX(F_Inputs!$G$4:$T$381,MATCH(Data!$B138&amp;Data!D$6,F_Inputs!$A$4:$A$381&amp;F_Inputs!$B$4:$B$381,0),MATCH(Data!$C138,F_Inputs!$G$2:$T$2,0))</f>
        <v>0</v>
      </c>
      <c r="E138" s="139">
        <f t="array" ref="E138">INDEX(F_Inputs!$G$4:$T$381,MATCH(Data!$B138&amp;Data!E$6,F_Inputs!$A$4:$A$381&amp;F_Inputs!$B$4:$B$381,0),MATCH(Data!$C138,F_Inputs!$G$2:$T$2,0))</f>
        <v>3.9696923076923101</v>
      </c>
      <c r="F138" s="139">
        <f t="array" ref="F138">INDEX(F_Inputs!$G$4:$T$381,MATCH(Data!$B138&amp;Data!F$6,F_Inputs!$A$4:$A$381&amp;F_Inputs!$B$4:$B$381,0),MATCH(Data!$C138,F_Inputs!$G$2:$T$2,0))</f>
        <v>0</v>
      </c>
      <c r="G138" s="139">
        <f t="array" ref="G138">INDEX(F_Inputs!$G$4:$T$381,MATCH(Data!$B138&amp;Data!G$6,F_Inputs!$A$4:$A$381&amp;F_Inputs!$B$4:$B$381,0),MATCH(Data!$C138,F_Inputs!$G$2:$T$2,0))</f>
        <v>0.57011538461538502</v>
      </c>
      <c r="I138" s="139">
        <f t="array" ref="I138">INDEX(F_Inputs!$G$4:$T$381,MATCH(Data!$B138&amp;Data!I$6,F_Inputs!$A$4:$A$381&amp;F_Inputs!$B$4:$B$381,0),MATCH(Data!$C138,F_Inputs!$G$2:$T$2,0))</f>
        <v>0</v>
      </c>
      <c r="J138" s="139">
        <f t="array" ref="J138">INDEX(F_Inputs!$G$4:$T$381,MATCH(Data!$B138&amp;Data!J$6,F_Inputs!$A$4:$A$381&amp;F_Inputs!$B$4:$B$381,0),MATCH(Data!$C138,F_Inputs!$G$2:$T$2,0))</f>
        <v>0.37</v>
      </c>
      <c r="K138" s="139">
        <f t="array" ref="K138">INDEX(F_Inputs!$G$4:$T$381,MATCH(Data!$B138&amp;Data!K$6,F_Inputs!$A$4:$A$381&amp;F_Inputs!$B$4:$B$381,0),MATCH(Data!$C138,F_Inputs!$G$2:$T$2,0))</f>
        <v>0</v>
      </c>
      <c r="L138" s="139">
        <f t="array" ref="L138">INDEX(F_Inputs!$G$4:$T$381,MATCH(Data!$B138&amp;Data!L$6,F_Inputs!$A$4:$A$381&amp;F_Inputs!$B$4:$B$381,0),MATCH(Data!$C138,F_Inputs!$G$2:$T$2,0))</f>
        <v>0</v>
      </c>
      <c r="N138" s="139">
        <f t="array" ref="N138">INDEX(F_Inputs!$G$4:$T$381,MATCH(Data!$B138&amp;Data!N$6,F_Inputs!$A$4:$A$381&amp;F_Inputs!$B$4:$B$381,0),MATCH(Data!$C138,F_Inputs!$G$2:$T$2,0))</f>
        <v>134.26551401578601</v>
      </c>
      <c r="O138" s="144"/>
      <c r="P138" s="139">
        <f t="array" ref="P138">INDEX(F_Inputs!$G$4:$T$381,MATCH(Data!$B138&amp;Data!P$6,F_Inputs!$A$4:$A$381&amp;F_Inputs!$B$4:$B$381,0),MATCH(Data!$C138,F_Inputs!$G$2:$T$2,0))</f>
        <v>0</v>
      </c>
      <c r="Q138" s="139">
        <f t="array" ref="Q138">INDEX(F_Inputs!$G$4:$T$381,MATCH(Data!$B138&amp;Data!Q$6,F_Inputs!$A$4:$A$381&amp;F_Inputs!$B$4:$B$381,0),MATCH(Data!$C138,F_Inputs!$G$2:$T$2,0))</f>
        <v>0</v>
      </c>
      <c r="R138" s="139">
        <f t="array" ref="R138">INDEX(F_Inputs!$G$4:$T$381,MATCH(Data!$B138&amp;Data!R$6,F_Inputs!$A$4:$A$381&amp;F_Inputs!$B$4:$B$381,0),MATCH(Data!$C138,F_Inputs!$G$2:$T$2,0))</f>
        <v>3.87</v>
      </c>
      <c r="S138" s="139">
        <f t="array" ref="S138">INDEX(F_Inputs!$G$4:$T$381,MATCH(Data!$B138&amp;Data!S$6,F_Inputs!$A$4:$A$381&amp;F_Inputs!$B$4:$B$381,0),MATCH(Data!$C138,F_Inputs!$G$2:$T$2,0))</f>
        <v>3.7785389810872601</v>
      </c>
      <c r="U138" s="139">
        <f t="array" ref="U138">INDEX(F_Inputs!$G$4:$T$381,MATCH(Data!$B138&amp;Data!U$6,F_Inputs!$A$4:$A$381&amp;F_Inputs!$B$4:$B$381,0),MATCH(Data!$C138,F_Inputs!$G$2:$T$2,0))</f>
        <v>75.812968999999995</v>
      </c>
      <c r="V138" s="139">
        <f t="array" ref="V138">INDEX(F_Inputs!$G$4:$T$381,MATCH(Data!$B138&amp;Data!V$6,F_Inputs!$A$4:$A$381&amp;F_Inputs!$B$4:$B$381,0),MATCH(Data!$C138,F_Inputs!$G$2:$T$2,0))</f>
        <v>12070.016100000001</v>
      </c>
      <c r="W138" s="139">
        <f t="array" ref="W138">INDEX(F_Inputs!$G$4:$T$381,MATCH(Data!$B138&amp;Data!W$6,F_Inputs!$A$4:$A$381&amp;F_Inputs!$B$4:$B$381,0),MATCH(Data!$C138,F_Inputs!$G$2:$T$2,0))</f>
        <v>636.07500000000005</v>
      </c>
    </row>
    <row r="139" spans="1:23" x14ac:dyDescent="0.2">
      <c r="A139" s="141" t="s">
        <v>210</v>
      </c>
      <c r="B139" s="142" t="s">
        <v>33</v>
      </c>
      <c r="C139" s="142" t="s">
        <v>74</v>
      </c>
      <c r="D139" s="139">
        <f t="array" ref="D139">INDEX(F_Inputs!$G$4:$T$381,MATCH(Data!$B139&amp;Data!D$6,F_Inputs!$A$4:$A$381&amp;F_Inputs!$B$4:$B$381,0),MATCH(Data!$C139,F_Inputs!$G$2:$T$2,0))</f>
        <v>0</v>
      </c>
      <c r="E139" s="139">
        <f t="array" ref="E139">INDEX(F_Inputs!$G$4:$T$381,MATCH(Data!$B139&amp;Data!E$6,F_Inputs!$A$4:$A$381&amp;F_Inputs!$B$4:$B$381,0),MATCH(Data!$C139,F_Inputs!$G$2:$T$2,0))</f>
        <v>3.9696923076923101</v>
      </c>
      <c r="F139" s="139">
        <f t="array" ref="F139">INDEX(F_Inputs!$G$4:$T$381,MATCH(Data!$B139&amp;Data!F$6,F_Inputs!$A$4:$A$381&amp;F_Inputs!$B$4:$B$381,0),MATCH(Data!$C139,F_Inputs!$G$2:$T$2,0))</f>
        <v>0</v>
      </c>
      <c r="G139" s="139">
        <f t="array" ref="G139">INDEX(F_Inputs!$G$4:$T$381,MATCH(Data!$B139&amp;Data!G$6,F_Inputs!$A$4:$A$381&amp;F_Inputs!$B$4:$B$381,0),MATCH(Data!$C139,F_Inputs!$G$2:$T$2,0))</f>
        <v>0.57011538461538502</v>
      </c>
      <c r="I139" s="139">
        <f t="array" ref="I139">INDEX(F_Inputs!$G$4:$T$381,MATCH(Data!$B139&amp;Data!I$6,F_Inputs!$A$4:$A$381&amp;F_Inputs!$B$4:$B$381,0),MATCH(Data!$C139,F_Inputs!$G$2:$T$2,0))</f>
        <v>0</v>
      </c>
      <c r="J139" s="139">
        <f t="array" ref="J139">INDEX(F_Inputs!$G$4:$T$381,MATCH(Data!$B139&amp;Data!J$6,F_Inputs!$A$4:$A$381&amp;F_Inputs!$B$4:$B$381,0),MATCH(Data!$C139,F_Inputs!$G$2:$T$2,0))</f>
        <v>0.73</v>
      </c>
      <c r="K139" s="139">
        <f t="array" ref="K139">INDEX(F_Inputs!$G$4:$T$381,MATCH(Data!$B139&amp;Data!K$6,F_Inputs!$A$4:$A$381&amp;F_Inputs!$B$4:$B$381,0),MATCH(Data!$C139,F_Inputs!$G$2:$T$2,0))</f>
        <v>0</v>
      </c>
      <c r="L139" s="139">
        <f t="array" ref="L139">INDEX(F_Inputs!$G$4:$T$381,MATCH(Data!$B139&amp;Data!L$6,F_Inputs!$A$4:$A$381&amp;F_Inputs!$B$4:$B$381,0),MATCH(Data!$C139,F_Inputs!$G$2:$T$2,0))</f>
        <v>0</v>
      </c>
      <c r="N139" s="139">
        <f t="array" ref="N139">INDEX(F_Inputs!$G$4:$T$381,MATCH(Data!$B139&amp;Data!N$6,F_Inputs!$A$4:$A$381&amp;F_Inputs!$B$4:$B$381,0),MATCH(Data!$C139,F_Inputs!$G$2:$T$2,0))</f>
        <v>125.598794060228</v>
      </c>
      <c r="O139" s="144"/>
      <c r="P139" s="139">
        <f t="array" ref="P139">INDEX(F_Inputs!$G$4:$T$381,MATCH(Data!$B139&amp;Data!P$6,F_Inputs!$A$4:$A$381&amp;F_Inputs!$B$4:$B$381,0),MATCH(Data!$C139,F_Inputs!$G$2:$T$2,0))</f>
        <v>0</v>
      </c>
      <c r="Q139" s="139">
        <f t="array" ref="Q139">INDEX(F_Inputs!$G$4:$T$381,MATCH(Data!$B139&amp;Data!Q$6,F_Inputs!$A$4:$A$381&amp;F_Inputs!$B$4:$B$381,0),MATCH(Data!$C139,F_Inputs!$G$2:$T$2,0))</f>
        <v>0</v>
      </c>
      <c r="R139" s="139">
        <f t="array" ref="R139">INDEX(F_Inputs!$G$4:$T$381,MATCH(Data!$B139&amp;Data!R$6,F_Inputs!$A$4:$A$381&amp;F_Inputs!$B$4:$B$381,0),MATCH(Data!$C139,F_Inputs!$G$2:$T$2,0))</f>
        <v>3.83</v>
      </c>
      <c r="S139" s="139">
        <f t="array" ref="S139">INDEX(F_Inputs!$G$4:$T$381,MATCH(Data!$B139&amp;Data!S$6,F_Inputs!$A$4:$A$381&amp;F_Inputs!$B$4:$B$381,0),MATCH(Data!$C139,F_Inputs!$G$2:$T$2,0))</f>
        <v>3.74200631040204</v>
      </c>
      <c r="U139" s="139">
        <f t="array" ref="U139">INDEX(F_Inputs!$G$4:$T$381,MATCH(Data!$B139&amp;Data!U$6,F_Inputs!$A$4:$A$381&amp;F_Inputs!$B$4:$B$381,0),MATCH(Data!$C139,F_Inputs!$G$2:$T$2,0))</f>
        <v>73.468237999999999</v>
      </c>
      <c r="V139" s="139">
        <f t="array" ref="V139">INDEX(F_Inputs!$G$4:$T$381,MATCH(Data!$B139&amp;Data!V$6,F_Inputs!$A$4:$A$381&amp;F_Inputs!$B$4:$B$381,0),MATCH(Data!$C139,F_Inputs!$G$2:$T$2,0))</f>
        <v>12115.016100000001</v>
      </c>
      <c r="W139" s="139">
        <f t="array" ref="W139">INDEX(F_Inputs!$G$4:$T$381,MATCH(Data!$B139&amp;Data!W$6,F_Inputs!$A$4:$A$381&amp;F_Inputs!$B$4:$B$381,0),MATCH(Data!$C139,F_Inputs!$G$2:$T$2,0))</f>
        <v>642.428</v>
      </c>
    </row>
    <row r="140" spans="1:23" x14ac:dyDescent="0.2">
      <c r="A140" s="141" t="s">
        <v>211</v>
      </c>
      <c r="B140" s="142" t="s">
        <v>33</v>
      </c>
      <c r="C140" s="142" t="s">
        <v>75</v>
      </c>
      <c r="D140" s="139">
        <f t="array" ref="D140">INDEX(F_Inputs!$G$4:$T$381,MATCH(Data!$B140&amp;Data!D$6,F_Inputs!$A$4:$A$381&amp;F_Inputs!$B$4:$B$381,0),MATCH(Data!$C140,F_Inputs!$G$2:$T$2,0))</f>
        <v>0</v>
      </c>
      <c r="E140" s="139">
        <f t="array" ref="E140">INDEX(F_Inputs!$G$4:$T$381,MATCH(Data!$B140&amp;Data!E$6,F_Inputs!$A$4:$A$381&amp;F_Inputs!$B$4:$B$381,0),MATCH(Data!$C140,F_Inputs!$G$2:$T$2,0))</f>
        <v>3.9696923076923101</v>
      </c>
      <c r="F140" s="139">
        <f t="array" ref="F140">INDEX(F_Inputs!$G$4:$T$381,MATCH(Data!$B140&amp;Data!F$6,F_Inputs!$A$4:$A$381&amp;F_Inputs!$B$4:$B$381,0),MATCH(Data!$C140,F_Inputs!$G$2:$T$2,0))</f>
        <v>0</v>
      </c>
      <c r="G140" s="139">
        <f t="array" ref="G140">INDEX(F_Inputs!$G$4:$T$381,MATCH(Data!$B140&amp;Data!G$6,F_Inputs!$A$4:$A$381&amp;F_Inputs!$B$4:$B$381,0),MATCH(Data!$C140,F_Inputs!$G$2:$T$2,0))</f>
        <v>0.57011538461538502</v>
      </c>
      <c r="I140" s="139">
        <f t="array" ref="I140">INDEX(F_Inputs!$G$4:$T$381,MATCH(Data!$B140&amp;Data!I$6,F_Inputs!$A$4:$A$381&amp;F_Inputs!$B$4:$B$381,0),MATCH(Data!$C140,F_Inputs!$G$2:$T$2,0))</f>
        <v>0</v>
      </c>
      <c r="J140" s="139">
        <f t="array" ref="J140">INDEX(F_Inputs!$G$4:$T$381,MATCH(Data!$B140&amp;Data!J$6,F_Inputs!$A$4:$A$381&amp;F_Inputs!$B$4:$B$381,0),MATCH(Data!$C140,F_Inputs!$G$2:$T$2,0))</f>
        <v>1.1000000000000001</v>
      </c>
      <c r="K140" s="139">
        <f t="array" ref="K140">INDEX(F_Inputs!$G$4:$T$381,MATCH(Data!$B140&amp;Data!K$6,F_Inputs!$A$4:$A$381&amp;F_Inputs!$B$4:$B$381,0),MATCH(Data!$C140,F_Inputs!$G$2:$T$2,0))</f>
        <v>0</v>
      </c>
      <c r="L140" s="139">
        <f t="array" ref="L140">INDEX(F_Inputs!$G$4:$T$381,MATCH(Data!$B140&amp;Data!L$6,F_Inputs!$A$4:$A$381&amp;F_Inputs!$B$4:$B$381,0),MATCH(Data!$C140,F_Inputs!$G$2:$T$2,0))</f>
        <v>0</v>
      </c>
      <c r="N140" s="139">
        <f t="array" ref="N140">INDEX(F_Inputs!$G$4:$T$381,MATCH(Data!$B140&amp;Data!N$6,F_Inputs!$A$4:$A$381&amp;F_Inputs!$B$4:$B$381,0),MATCH(Data!$C140,F_Inputs!$G$2:$T$2,0))</f>
        <v>144.289496667121</v>
      </c>
      <c r="O140" s="144"/>
      <c r="P140" s="139">
        <f t="array" ref="P140">INDEX(F_Inputs!$G$4:$T$381,MATCH(Data!$B140&amp;Data!P$6,F_Inputs!$A$4:$A$381&amp;F_Inputs!$B$4:$B$381,0),MATCH(Data!$C140,F_Inputs!$G$2:$T$2,0))</f>
        <v>0</v>
      </c>
      <c r="Q140" s="139">
        <f t="array" ref="Q140">INDEX(F_Inputs!$G$4:$T$381,MATCH(Data!$B140&amp;Data!Q$6,F_Inputs!$A$4:$A$381&amp;F_Inputs!$B$4:$B$381,0),MATCH(Data!$C140,F_Inputs!$G$2:$T$2,0))</f>
        <v>0</v>
      </c>
      <c r="R140" s="139">
        <f t="array" ref="R140">INDEX(F_Inputs!$G$4:$T$381,MATCH(Data!$B140&amp;Data!R$6,F_Inputs!$A$4:$A$381&amp;F_Inputs!$B$4:$B$381,0),MATCH(Data!$C140,F_Inputs!$G$2:$T$2,0))</f>
        <v>3.79</v>
      </c>
      <c r="S140" s="139">
        <f t="array" ref="S140">INDEX(F_Inputs!$G$4:$T$381,MATCH(Data!$B140&amp;Data!S$6,F_Inputs!$A$4:$A$381&amp;F_Inputs!$B$4:$B$381,0),MATCH(Data!$C140,F_Inputs!$G$2:$T$2,0))</f>
        <v>3.7093468755556702</v>
      </c>
      <c r="U140" s="139">
        <f t="array" ref="U140">INDEX(F_Inputs!$G$4:$T$381,MATCH(Data!$B140&amp;Data!U$6,F_Inputs!$A$4:$A$381&amp;F_Inputs!$B$4:$B$381,0),MATCH(Data!$C140,F_Inputs!$G$2:$T$2,0))</f>
        <v>71.123507000000004</v>
      </c>
      <c r="V140" s="139">
        <f t="array" ref="V140">INDEX(F_Inputs!$G$4:$T$381,MATCH(Data!$B140&amp;Data!V$6,F_Inputs!$A$4:$A$381&amp;F_Inputs!$B$4:$B$381,0),MATCH(Data!$C140,F_Inputs!$G$2:$T$2,0))</f>
        <v>12160.016100000001</v>
      </c>
      <c r="W140" s="139">
        <f t="array" ref="W140">INDEX(F_Inputs!$G$4:$T$381,MATCH(Data!$B140&amp;Data!W$6,F_Inputs!$A$4:$A$381&amp;F_Inputs!$B$4:$B$381,0),MATCH(Data!$C140,F_Inputs!$G$2:$T$2,0))</f>
        <v>648.55999999999995</v>
      </c>
    </row>
    <row r="141" spans="1:23" x14ac:dyDescent="0.2">
      <c r="A141" s="141" t="s">
        <v>212</v>
      </c>
      <c r="B141" s="142" t="s">
        <v>33</v>
      </c>
      <c r="C141" s="142" t="s">
        <v>76</v>
      </c>
      <c r="D141" s="139">
        <f t="array" ref="D141">INDEX(F_Inputs!$G$4:$T$381,MATCH(Data!$B141&amp;Data!D$6,F_Inputs!$A$4:$A$381&amp;F_Inputs!$B$4:$B$381,0),MATCH(Data!$C141,F_Inputs!$G$2:$T$2,0))</f>
        <v>0</v>
      </c>
      <c r="E141" s="139">
        <f t="array" ref="E141">INDEX(F_Inputs!$G$4:$T$381,MATCH(Data!$B141&amp;Data!E$6,F_Inputs!$A$4:$A$381&amp;F_Inputs!$B$4:$B$381,0),MATCH(Data!$C141,F_Inputs!$G$2:$T$2,0))</f>
        <v>3.9696923076923101</v>
      </c>
      <c r="F141" s="139">
        <f t="array" ref="F141">INDEX(F_Inputs!$G$4:$T$381,MATCH(Data!$B141&amp;Data!F$6,F_Inputs!$A$4:$A$381&amp;F_Inputs!$B$4:$B$381,0),MATCH(Data!$C141,F_Inputs!$G$2:$T$2,0))</f>
        <v>0</v>
      </c>
      <c r="G141" s="139">
        <f t="array" ref="G141">INDEX(F_Inputs!$G$4:$T$381,MATCH(Data!$B141&amp;Data!G$6,F_Inputs!$A$4:$A$381&amp;F_Inputs!$B$4:$B$381,0),MATCH(Data!$C141,F_Inputs!$G$2:$T$2,0))</f>
        <v>0.57011538461538502</v>
      </c>
      <c r="I141" s="139">
        <f t="array" ref="I141">INDEX(F_Inputs!$G$4:$T$381,MATCH(Data!$B141&amp;Data!I$6,F_Inputs!$A$4:$A$381&amp;F_Inputs!$B$4:$B$381,0),MATCH(Data!$C141,F_Inputs!$G$2:$T$2,0))</f>
        <v>0</v>
      </c>
      <c r="J141" s="139">
        <f t="array" ref="J141">INDEX(F_Inputs!$G$4:$T$381,MATCH(Data!$B141&amp;Data!J$6,F_Inputs!$A$4:$A$381&amp;F_Inputs!$B$4:$B$381,0),MATCH(Data!$C141,F_Inputs!$G$2:$T$2,0))</f>
        <v>1.46</v>
      </c>
      <c r="K141" s="139">
        <f t="array" ref="K141">INDEX(F_Inputs!$G$4:$T$381,MATCH(Data!$B141&amp;Data!K$6,F_Inputs!$A$4:$A$381&amp;F_Inputs!$B$4:$B$381,0),MATCH(Data!$C141,F_Inputs!$G$2:$T$2,0))</f>
        <v>0</v>
      </c>
      <c r="L141" s="139">
        <f t="array" ref="L141">INDEX(F_Inputs!$G$4:$T$381,MATCH(Data!$B141&amp;Data!L$6,F_Inputs!$A$4:$A$381&amp;F_Inputs!$B$4:$B$381,0),MATCH(Data!$C141,F_Inputs!$G$2:$T$2,0))</f>
        <v>0</v>
      </c>
      <c r="N141" s="139">
        <f t="array" ref="N141">INDEX(F_Inputs!$G$4:$T$381,MATCH(Data!$B141&amp;Data!N$6,F_Inputs!$A$4:$A$381&amp;F_Inputs!$B$4:$B$381,0),MATCH(Data!$C141,F_Inputs!$G$2:$T$2,0))</f>
        <v>125.344844223275</v>
      </c>
      <c r="O141" s="144"/>
      <c r="P141" s="139">
        <f t="array" ref="P141">INDEX(F_Inputs!$G$4:$T$381,MATCH(Data!$B141&amp;Data!P$6,F_Inputs!$A$4:$A$381&amp;F_Inputs!$B$4:$B$381,0),MATCH(Data!$C141,F_Inputs!$G$2:$T$2,0))</f>
        <v>0</v>
      </c>
      <c r="Q141" s="139">
        <f t="array" ref="Q141">INDEX(F_Inputs!$G$4:$T$381,MATCH(Data!$B141&amp;Data!Q$6,F_Inputs!$A$4:$A$381&amp;F_Inputs!$B$4:$B$381,0),MATCH(Data!$C141,F_Inputs!$G$2:$T$2,0))</f>
        <v>0</v>
      </c>
      <c r="R141" s="139">
        <f t="array" ref="R141">INDEX(F_Inputs!$G$4:$T$381,MATCH(Data!$B141&amp;Data!R$6,F_Inputs!$A$4:$A$381&amp;F_Inputs!$B$4:$B$381,0),MATCH(Data!$C141,F_Inputs!$G$2:$T$2,0))</f>
        <v>3.75</v>
      </c>
      <c r="S141" s="139">
        <f t="array" ref="S141">INDEX(F_Inputs!$G$4:$T$381,MATCH(Data!$B141&amp;Data!S$6,F_Inputs!$A$4:$A$381&amp;F_Inputs!$B$4:$B$381,0),MATCH(Data!$C141,F_Inputs!$G$2:$T$2,0))</f>
        <v>3.68017595911394</v>
      </c>
      <c r="U141" s="139">
        <f t="array" ref="U141">INDEX(F_Inputs!$G$4:$T$381,MATCH(Data!$B141&amp;Data!U$6,F_Inputs!$A$4:$A$381&amp;F_Inputs!$B$4:$B$381,0),MATCH(Data!$C141,F_Inputs!$G$2:$T$2,0))</f>
        <v>68.778775999999993</v>
      </c>
      <c r="V141" s="139">
        <f t="array" ref="V141">INDEX(F_Inputs!$G$4:$T$381,MATCH(Data!$B141&amp;Data!V$6,F_Inputs!$A$4:$A$381&amp;F_Inputs!$B$4:$B$381,0),MATCH(Data!$C141,F_Inputs!$G$2:$T$2,0))</f>
        <v>12205.016100000001</v>
      </c>
      <c r="W141" s="139">
        <f t="array" ref="W141">INDEX(F_Inputs!$G$4:$T$381,MATCH(Data!$B141&amp;Data!W$6,F_Inputs!$A$4:$A$381&amp;F_Inputs!$B$4:$B$381,0),MATCH(Data!$C141,F_Inputs!$G$2:$T$2,0))</f>
        <v>654.46699999999998</v>
      </c>
    </row>
    <row r="142" spans="1:23" x14ac:dyDescent="0.2">
      <c r="A142" s="141" t="s">
        <v>213</v>
      </c>
      <c r="B142" s="142" t="s">
        <v>33</v>
      </c>
      <c r="C142" s="142" t="s">
        <v>24</v>
      </c>
      <c r="D142" s="139">
        <f t="array" ref="D142">INDEX(F_Inputs!$G$4:$T$381,MATCH(Data!$B142&amp;Data!D$6,F_Inputs!$A$4:$A$381&amp;F_Inputs!$B$4:$B$381,0),MATCH(Data!$C142,F_Inputs!$G$2:$T$2,0))</f>
        <v>0</v>
      </c>
      <c r="E142" s="139">
        <f t="array" ref="E142">INDEX(F_Inputs!$G$4:$T$381,MATCH(Data!$B142&amp;Data!E$6,F_Inputs!$A$4:$A$381&amp;F_Inputs!$B$4:$B$381,0),MATCH(Data!$C142,F_Inputs!$G$2:$T$2,0))</f>
        <v>3.9696923076923101</v>
      </c>
      <c r="F142" s="139">
        <f t="array" ref="F142">INDEX(F_Inputs!$G$4:$T$381,MATCH(Data!$B142&amp;Data!F$6,F_Inputs!$A$4:$A$381&amp;F_Inputs!$B$4:$B$381,0),MATCH(Data!$C142,F_Inputs!$G$2:$T$2,0))</f>
        <v>0</v>
      </c>
      <c r="G142" s="139">
        <f t="array" ref="G142">INDEX(F_Inputs!$G$4:$T$381,MATCH(Data!$B142&amp;Data!G$6,F_Inputs!$A$4:$A$381&amp;F_Inputs!$B$4:$B$381,0),MATCH(Data!$C142,F_Inputs!$G$2:$T$2,0))</f>
        <v>0.57011538461538502</v>
      </c>
      <c r="I142" s="139">
        <f t="array" ref="I142">INDEX(F_Inputs!$G$4:$T$381,MATCH(Data!$B142&amp;Data!I$6,F_Inputs!$A$4:$A$381&amp;F_Inputs!$B$4:$B$381,0),MATCH(Data!$C142,F_Inputs!$G$2:$T$2,0))</f>
        <v>0</v>
      </c>
      <c r="J142" s="139">
        <f t="array" ref="J142">INDEX(F_Inputs!$G$4:$T$381,MATCH(Data!$B142&amp;Data!J$6,F_Inputs!$A$4:$A$381&amp;F_Inputs!$B$4:$B$381,0),MATCH(Data!$C142,F_Inputs!$G$2:$T$2,0))</f>
        <v>1.83</v>
      </c>
      <c r="K142" s="139">
        <f t="array" ref="K142">INDEX(F_Inputs!$G$4:$T$381,MATCH(Data!$B142&amp;Data!K$6,F_Inputs!$A$4:$A$381&amp;F_Inputs!$B$4:$B$381,0),MATCH(Data!$C142,F_Inputs!$G$2:$T$2,0))</f>
        <v>0</v>
      </c>
      <c r="L142" s="139">
        <f t="array" ref="L142">INDEX(F_Inputs!$G$4:$T$381,MATCH(Data!$B142&amp;Data!L$6,F_Inputs!$A$4:$A$381&amp;F_Inputs!$B$4:$B$381,0),MATCH(Data!$C142,F_Inputs!$G$2:$T$2,0))</f>
        <v>0</v>
      </c>
      <c r="N142" s="139">
        <f t="array" ref="N142">INDEX(F_Inputs!$G$4:$T$381,MATCH(Data!$B142&amp;Data!N$6,F_Inputs!$A$4:$A$381&amp;F_Inputs!$B$4:$B$381,0),MATCH(Data!$C142,F_Inputs!$G$2:$T$2,0))</f>
        <v>120.554308843439</v>
      </c>
      <c r="O142" s="144"/>
      <c r="P142" s="139">
        <f t="array" ref="P142">INDEX(F_Inputs!$G$4:$T$381,MATCH(Data!$B142&amp;Data!P$6,F_Inputs!$A$4:$A$381&amp;F_Inputs!$B$4:$B$381,0),MATCH(Data!$C142,F_Inputs!$G$2:$T$2,0))</f>
        <v>0</v>
      </c>
      <c r="Q142" s="139">
        <f t="array" ref="Q142">INDEX(F_Inputs!$G$4:$T$381,MATCH(Data!$B142&amp;Data!Q$6,F_Inputs!$A$4:$A$381&amp;F_Inputs!$B$4:$B$381,0),MATCH(Data!$C142,F_Inputs!$G$2:$T$2,0))</f>
        <v>0</v>
      </c>
      <c r="R142" s="139">
        <f t="array" ref="R142">INDEX(F_Inputs!$G$4:$T$381,MATCH(Data!$B142&amp;Data!R$6,F_Inputs!$A$4:$A$381&amp;F_Inputs!$B$4:$B$381,0),MATCH(Data!$C142,F_Inputs!$G$2:$T$2,0))</f>
        <v>3.72</v>
      </c>
      <c r="S142" s="139">
        <f t="array" ref="S142">INDEX(F_Inputs!$G$4:$T$381,MATCH(Data!$B142&amp;Data!S$6,F_Inputs!$A$4:$A$381&amp;F_Inputs!$B$4:$B$381,0),MATCH(Data!$C142,F_Inputs!$G$2:$T$2,0))</f>
        <v>3.65421825773138</v>
      </c>
      <c r="U142" s="139">
        <f t="array" ref="U142">INDEX(F_Inputs!$G$4:$T$381,MATCH(Data!$B142&amp;Data!U$6,F_Inputs!$A$4:$A$381&amp;F_Inputs!$B$4:$B$381,0),MATCH(Data!$C142,F_Inputs!$G$2:$T$2,0))</f>
        <v>66.434044999999998</v>
      </c>
      <c r="V142" s="139">
        <f t="array" ref="V142">INDEX(F_Inputs!$G$4:$T$381,MATCH(Data!$B142&amp;Data!V$6,F_Inputs!$A$4:$A$381&amp;F_Inputs!$B$4:$B$381,0),MATCH(Data!$C142,F_Inputs!$G$2:$T$2,0))</f>
        <v>12250.016100000001</v>
      </c>
      <c r="W142" s="139">
        <f t="array" ref="W142">INDEX(F_Inputs!$G$4:$T$381,MATCH(Data!$B142&amp;Data!W$6,F_Inputs!$A$4:$A$381&amp;F_Inputs!$B$4:$B$381,0),MATCH(Data!$C142,F_Inputs!$G$2:$T$2,0))</f>
        <v>660.20299999999997</v>
      </c>
    </row>
    <row r="143" spans="1:23" x14ac:dyDescent="0.2">
      <c r="A143" s="138" t="str">
        <f t="shared" ref="A143" si="7">B143&amp;RIGHT(C143,2)</f>
        <v>YKY12</v>
      </c>
      <c r="B143" s="19" t="s">
        <v>34</v>
      </c>
      <c r="C143" s="143" t="s">
        <v>64</v>
      </c>
      <c r="D143" s="139">
        <f t="array" ref="D143">INDEX(F_Inputs!$G$4:$T$381,MATCH(Data!$B143&amp;Data!D$6,F_Inputs!$A$4:$A$381&amp;F_Inputs!$B$4:$B$381,0),MATCH(Data!$C143,F_Inputs!$G$2:$T$2,0))</f>
        <v>0</v>
      </c>
      <c r="E143" s="139">
        <f t="array" ref="E143">INDEX(F_Inputs!$G$4:$T$381,MATCH(Data!$B143&amp;Data!E$6,F_Inputs!$A$4:$A$381&amp;F_Inputs!$B$4:$B$381,0),MATCH(Data!$C143,F_Inputs!$G$2:$T$2,0))</f>
        <v>0</v>
      </c>
      <c r="F143" s="139">
        <f t="array" ref="F143">INDEX(F_Inputs!$G$4:$T$381,MATCH(Data!$B143&amp;Data!F$6,F_Inputs!$A$4:$A$381&amp;F_Inputs!$B$4:$B$381,0),MATCH(Data!$C143,F_Inputs!$G$2:$T$2,0))</f>
        <v>0</v>
      </c>
      <c r="G143" s="139">
        <f t="array" ref="G143">INDEX(F_Inputs!$G$4:$T$381,MATCH(Data!$B143&amp;Data!G$6,F_Inputs!$A$4:$A$381&amp;F_Inputs!$B$4:$B$381,0),MATCH(Data!$C143,F_Inputs!$G$2:$T$2,0))</f>
        <v>0</v>
      </c>
      <c r="I143" s="139">
        <f t="array" ref="I143">INDEX(F_Inputs!$G$4:$T$381,MATCH(Data!$B143&amp;Data!I$6,F_Inputs!$A$4:$A$381&amp;F_Inputs!$B$4:$B$381,0),MATCH(Data!$C143,F_Inputs!$G$2:$T$2,0))</f>
        <v>0</v>
      </c>
      <c r="J143" s="139">
        <f t="array" ref="J143">INDEX(F_Inputs!$G$4:$T$381,MATCH(Data!$B143&amp;Data!J$6,F_Inputs!$A$4:$A$381&amp;F_Inputs!$B$4:$B$381,0),MATCH(Data!$C143,F_Inputs!$G$2:$T$2,0))</f>
        <v>0</v>
      </c>
      <c r="K143" s="139">
        <f t="array" ref="K143">INDEX(F_Inputs!$G$4:$T$381,MATCH(Data!$B143&amp;Data!K$6,F_Inputs!$A$4:$A$381&amp;F_Inputs!$B$4:$B$381,0),MATCH(Data!$C143,F_Inputs!$G$2:$T$2,0))</f>
        <v>0</v>
      </c>
      <c r="L143" s="139">
        <f t="array" ref="L143">INDEX(F_Inputs!$G$4:$T$381,MATCH(Data!$B143&amp;Data!L$6,F_Inputs!$A$4:$A$381&amp;F_Inputs!$B$4:$B$381,0),MATCH(Data!$C143,F_Inputs!$G$2:$T$2,0))</f>
        <v>0</v>
      </c>
      <c r="N143" s="139">
        <f t="array" ref="N143">INDEX(F_Inputs!$G$4:$T$381,MATCH(Data!$B143&amp;Data!N$6,F_Inputs!$A$4:$A$381&amp;F_Inputs!$B$4:$B$381,0),MATCH(Data!$C143,F_Inputs!$G$2:$T$2,0))</f>
        <v>390.80341904622702</v>
      </c>
      <c r="O143" s="144"/>
      <c r="P143" s="139">
        <f t="array" ref="P143">INDEX(F_Inputs!$G$4:$T$381,MATCH(Data!$B143&amp;Data!P$6,F_Inputs!$A$4:$A$381&amp;F_Inputs!$B$4:$B$381,0),MATCH(Data!$C143,F_Inputs!$G$2:$T$2,0))</f>
        <v>0</v>
      </c>
      <c r="Q143" s="139">
        <f t="array" ref="Q143">INDEX(F_Inputs!$G$4:$T$381,MATCH(Data!$B143&amp;Data!Q$6,F_Inputs!$A$4:$A$381&amp;F_Inputs!$B$4:$B$381,0),MATCH(Data!$C143,F_Inputs!$G$2:$T$2,0))</f>
        <v>0</v>
      </c>
      <c r="R143" s="139">
        <f t="array" ref="R143">INDEX(F_Inputs!$G$4:$T$381,MATCH(Data!$B143&amp;Data!R$6,F_Inputs!$A$4:$A$381&amp;F_Inputs!$B$4:$B$381,0),MATCH(Data!$C143,F_Inputs!$G$2:$T$2,0))</f>
        <v>0</v>
      </c>
      <c r="S143" s="139">
        <f t="array" ref="S143">INDEX(F_Inputs!$G$4:$T$381,MATCH(Data!$B143&amp;Data!S$6,F_Inputs!$A$4:$A$381&amp;F_Inputs!$B$4:$B$381,0),MATCH(Data!$C143,F_Inputs!$G$2:$T$2,0))</f>
        <v>0</v>
      </c>
      <c r="U143" s="139">
        <f t="array" ref="U143">INDEX(F_Inputs!$G$4:$T$381,MATCH(Data!$B143&amp;Data!U$6,F_Inputs!$A$4:$A$381&amp;F_Inputs!$B$4:$B$381,0),MATCH(Data!$C143,F_Inputs!$G$2:$T$2,0))</f>
        <v>0</v>
      </c>
      <c r="V143" s="139">
        <f t="array" ref="V143">INDEX(F_Inputs!$G$4:$T$381,MATCH(Data!$B143&amp;Data!V$6,F_Inputs!$A$4:$A$381&amp;F_Inputs!$B$4:$B$381,0),MATCH(Data!$C143,F_Inputs!$G$2:$T$2,0))</f>
        <v>0</v>
      </c>
      <c r="W143" s="139">
        <f t="array" ref="W143">INDEX(F_Inputs!$G$4:$T$381,MATCH(Data!$B143&amp;Data!W$6,F_Inputs!$A$4:$A$381&amp;F_Inputs!$B$4:$B$381,0),MATCH(Data!$C143,F_Inputs!$G$2:$T$2,0))</f>
        <v>0</v>
      </c>
    </row>
    <row r="144" spans="1:23" x14ac:dyDescent="0.2">
      <c r="A144" s="138" t="str">
        <f>B144&amp;RIGHT(C144,2)</f>
        <v>YKY13</v>
      </c>
      <c r="B144" s="19" t="s">
        <v>34</v>
      </c>
      <c r="C144" s="143" t="s">
        <v>65</v>
      </c>
      <c r="D144" s="139">
        <f t="array" ref="D144">INDEX(F_Inputs!$G$4:$T$381,MATCH(Data!$B144&amp;Data!D$6,F_Inputs!$A$4:$A$381&amp;F_Inputs!$B$4:$B$381,0),MATCH(Data!$C144,F_Inputs!$G$2:$T$2,0))</f>
        <v>0</v>
      </c>
      <c r="E144" s="139">
        <f t="array" ref="E144">INDEX(F_Inputs!$G$4:$T$381,MATCH(Data!$B144&amp;Data!E$6,F_Inputs!$A$4:$A$381&amp;F_Inputs!$B$4:$B$381,0),MATCH(Data!$C144,F_Inputs!$G$2:$T$2,0))</f>
        <v>0</v>
      </c>
      <c r="F144" s="139">
        <f t="array" ref="F144">INDEX(F_Inputs!$G$4:$T$381,MATCH(Data!$B144&amp;Data!F$6,F_Inputs!$A$4:$A$381&amp;F_Inputs!$B$4:$B$381,0),MATCH(Data!$C144,F_Inputs!$G$2:$T$2,0))</f>
        <v>0</v>
      </c>
      <c r="G144" s="139">
        <f t="array" ref="G144">INDEX(F_Inputs!$G$4:$T$381,MATCH(Data!$B144&amp;Data!G$6,F_Inputs!$A$4:$A$381&amp;F_Inputs!$B$4:$B$381,0),MATCH(Data!$C144,F_Inputs!$G$2:$T$2,0))</f>
        <v>0</v>
      </c>
      <c r="I144" s="139">
        <f t="array" ref="I144">INDEX(F_Inputs!$G$4:$T$381,MATCH(Data!$B144&amp;Data!I$6,F_Inputs!$A$4:$A$381&amp;F_Inputs!$B$4:$B$381,0),MATCH(Data!$C144,F_Inputs!$G$2:$T$2,0))</f>
        <v>0</v>
      </c>
      <c r="J144" s="139">
        <f t="array" ref="J144">INDEX(F_Inputs!$G$4:$T$381,MATCH(Data!$B144&amp;Data!J$6,F_Inputs!$A$4:$A$381&amp;F_Inputs!$B$4:$B$381,0),MATCH(Data!$C144,F_Inputs!$G$2:$T$2,0))</f>
        <v>0</v>
      </c>
      <c r="K144" s="139">
        <f t="array" ref="K144">INDEX(F_Inputs!$G$4:$T$381,MATCH(Data!$B144&amp;Data!K$6,F_Inputs!$A$4:$A$381&amp;F_Inputs!$B$4:$B$381,0),MATCH(Data!$C144,F_Inputs!$G$2:$T$2,0))</f>
        <v>0</v>
      </c>
      <c r="L144" s="139">
        <f t="array" ref="L144">INDEX(F_Inputs!$G$4:$T$381,MATCH(Data!$B144&amp;Data!L$6,F_Inputs!$A$4:$A$381&amp;F_Inputs!$B$4:$B$381,0),MATCH(Data!$C144,F_Inputs!$G$2:$T$2,0))</f>
        <v>0</v>
      </c>
      <c r="N144" s="139">
        <f t="array" ref="N144">INDEX(F_Inputs!$G$4:$T$381,MATCH(Data!$B144&amp;Data!N$6,F_Inputs!$A$4:$A$381&amp;F_Inputs!$B$4:$B$381,0),MATCH(Data!$C144,F_Inputs!$G$2:$T$2,0))</f>
        <v>309.47344511474898</v>
      </c>
      <c r="O144" s="144"/>
      <c r="P144" s="139">
        <f t="array" ref="P144">INDEX(F_Inputs!$G$4:$T$381,MATCH(Data!$B144&amp;Data!P$6,F_Inputs!$A$4:$A$381&amp;F_Inputs!$B$4:$B$381,0),MATCH(Data!$C144,F_Inputs!$G$2:$T$2,0))</f>
        <v>0</v>
      </c>
      <c r="Q144" s="139">
        <f t="array" ref="Q144">INDEX(F_Inputs!$G$4:$T$381,MATCH(Data!$B144&amp;Data!Q$6,F_Inputs!$A$4:$A$381&amp;F_Inputs!$B$4:$B$381,0),MATCH(Data!$C144,F_Inputs!$G$2:$T$2,0))</f>
        <v>0</v>
      </c>
      <c r="R144" s="139">
        <f t="array" ref="R144">INDEX(F_Inputs!$G$4:$T$381,MATCH(Data!$B144&amp;Data!R$6,F_Inputs!$A$4:$A$381&amp;F_Inputs!$B$4:$B$381,0),MATCH(Data!$C144,F_Inputs!$G$2:$T$2,0))</f>
        <v>0</v>
      </c>
      <c r="S144" s="139">
        <f t="array" ref="S144">INDEX(F_Inputs!$G$4:$T$381,MATCH(Data!$B144&amp;Data!S$6,F_Inputs!$A$4:$A$381&amp;F_Inputs!$B$4:$B$381,0),MATCH(Data!$C144,F_Inputs!$G$2:$T$2,0))</f>
        <v>0</v>
      </c>
      <c r="U144" s="139">
        <f t="array" ref="U144">INDEX(F_Inputs!$G$4:$T$381,MATCH(Data!$B144&amp;Data!U$6,F_Inputs!$A$4:$A$381&amp;F_Inputs!$B$4:$B$381,0),MATCH(Data!$C144,F_Inputs!$G$2:$T$2,0))</f>
        <v>0</v>
      </c>
      <c r="V144" s="139">
        <f t="array" ref="V144">INDEX(F_Inputs!$G$4:$T$381,MATCH(Data!$B144&amp;Data!V$6,F_Inputs!$A$4:$A$381&amp;F_Inputs!$B$4:$B$381,0),MATCH(Data!$C144,F_Inputs!$G$2:$T$2,0))</f>
        <v>0</v>
      </c>
      <c r="W144" s="139">
        <f t="array" ref="W144">INDEX(F_Inputs!$G$4:$T$381,MATCH(Data!$B144&amp;Data!W$6,F_Inputs!$A$4:$A$381&amp;F_Inputs!$B$4:$B$381,0),MATCH(Data!$C144,F_Inputs!$G$2:$T$2,0))</f>
        <v>0</v>
      </c>
    </row>
    <row r="145" spans="1:23" x14ac:dyDescent="0.2">
      <c r="A145" s="138" t="str">
        <f>B145&amp;RIGHT(C145,2)</f>
        <v>YKY14</v>
      </c>
      <c r="B145" s="19" t="s">
        <v>34</v>
      </c>
      <c r="C145" s="143" t="s">
        <v>66</v>
      </c>
      <c r="D145" s="139">
        <f t="array" ref="D145">INDEX(F_Inputs!$G$4:$T$381,MATCH(Data!$B145&amp;Data!D$6,F_Inputs!$A$4:$A$381&amp;F_Inputs!$B$4:$B$381,0),MATCH(Data!$C145,F_Inputs!$G$2:$T$2,0))</f>
        <v>0</v>
      </c>
      <c r="E145" s="139">
        <f t="array" ref="E145">INDEX(F_Inputs!$G$4:$T$381,MATCH(Data!$B145&amp;Data!E$6,F_Inputs!$A$4:$A$381&amp;F_Inputs!$B$4:$B$381,0),MATCH(Data!$C145,F_Inputs!$G$2:$T$2,0))</f>
        <v>0</v>
      </c>
      <c r="F145" s="139">
        <f t="array" ref="F145">INDEX(F_Inputs!$G$4:$T$381,MATCH(Data!$B145&amp;Data!F$6,F_Inputs!$A$4:$A$381&amp;F_Inputs!$B$4:$B$381,0),MATCH(Data!$C145,F_Inputs!$G$2:$T$2,0))</f>
        <v>0</v>
      </c>
      <c r="G145" s="139">
        <f t="array" ref="G145">INDEX(F_Inputs!$G$4:$T$381,MATCH(Data!$B145&amp;Data!G$6,F_Inputs!$A$4:$A$381&amp;F_Inputs!$B$4:$B$381,0),MATCH(Data!$C145,F_Inputs!$G$2:$T$2,0))</f>
        <v>0</v>
      </c>
      <c r="I145" s="139">
        <f t="array" ref="I145">INDEX(F_Inputs!$G$4:$T$381,MATCH(Data!$B145&amp;Data!I$6,F_Inputs!$A$4:$A$381&amp;F_Inputs!$B$4:$B$381,0),MATCH(Data!$C145,F_Inputs!$G$2:$T$2,0))</f>
        <v>0</v>
      </c>
      <c r="J145" s="139">
        <f t="array" ref="J145">INDEX(F_Inputs!$G$4:$T$381,MATCH(Data!$B145&amp;Data!J$6,F_Inputs!$A$4:$A$381&amp;F_Inputs!$B$4:$B$381,0),MATCH(Data!$C145,F_Inputs!$G$2:$T$2,0))</f>
        <v>0</v>
      </c>
      <c r="K145" s="139">
        <f t="array" ref="K145">INDEX(F_Inputs!$G$4:$T$381,MATCH(Data!$B145&amp;Data!K$6,F_Inputs!$A$4:$A$381&amp;F_Inputs!$B$4:$B$381,0),MATCH(Data!$C145,F_Inputs!$G$2:$T$2,0))</f>
        <v>0</v>
      </c>
      <c r="L145" s="139">
        <f t="array" ref="L145">INDEX(F_Inputs!$G$4:$T$381,MATCH(Data!$B145&amp;Data!L$6,F_Inputs!$A$4:$A$381&amp;F_Inputs!$B$4:$B$381,0),MATCH(Data!$C145,F_Inputs!$G$2:$T$2,0))</f>
        <v>0</v>
      </c>
      <c r="N145" s="139">
        <f t="array" ref="N145">INDEX(F_Inputs!$G$4:$T$381,MATCH(Data!$B145&amp;Data!N$6,F_Inputs!$A$4:$A$381&amp;F_Inputs!$B$4:$B$381,0),MATCH(Data!$C145,F_Inputs!$G$2:$T$2,0))</f>
        <v>263.59925564048802</v>
      </c>
      <c r="O145" s="144"/>
      <c r="P145" s="139">
        <f t="array" ref="P145">INDEX(F_Inputs!$G$4:$T$381,MATCH(Data!$B145&amp;Data!P$6,F_Inputs!$A$4:$A$381&amp;F_Inputs!$B$4:$B$381,0),MATCH(Data!$C145,F_Inputs!$G$2:$T$2,0))</f>
        <v>0</v>
      </c>
      <c r="Q145" s="139">
        <f t="array" ref="Q145">INDEX(F_Inputs!$G$4:$T$381,MATCH(Data!$B145&amp;Data!Q$6,F_Inputs!$A$4:$A$381&amp;F_Inputs!$B$4:$B$381,0),MATCH(Data!$C145,F_Inputs!$G$2:$T$2,0))</f>
        <v>0</v>
      </c>
      <c r="R145" s="139">
        <f t="array" ref="R145">INDEX(F_Inputs!$G$4:$T$381,MATCH(Data!$B145&amp;Data!R$6,F_Inputs!$A$4:$A$381&amp;F_Inputs!$B$4:$B$381,0),MATCH(Data!$C145,F_Inputs!$G$2:$T$2,0))</f>
        <v>0</v>
      </c>
      <c r="S145" s="139">
        <f t="array" ref="S145">INDEX(F_Inputs!$G$4:$T$381,MATCH(Data!$B145&amp;Data!S$6,F_Inputs!$A$4:$A$381&amp;F_Inputs!$B$4:$B$381,0),MATCH(Data!$C145,F_Inputs!$G$2:$T$2,0))</f>
        <v>0</v>
      </c>
      <c r="U145" s="139">
        <f t="array" ref="U145">INDEX(F_Inputs!$G$4:$T$381,MATCH(Data!$B145&amp;Data!U$6,F_Inputs!$A$4:$A$381&amp;F_Inputs!$B$4:$B$381,0),MATCH(Data!$C145,F_Inputs!$G$2:$T$2,0))</f>
        <v>0</v>
      </c>
      <c r="V145" s="139">
        <f t="array" ref="V145">INDEX(F_Inputs!$G$4:$T$381,MATCH(Data!$B145&amp;Data!V$6,F_Inputs!$A$4:$A$381&amp;F_Inputs!$B$4:$B$381,0),MATCH(Data!$C145,F_Inputs!$G$2:$T$2,0))</f>
        <v>0</v>
      </c>
      <c r="W145" s="139">
        <f t="array" ref="W145">INDEX(F_Inputs!$G$4:$T$381,MATCH(Data!$B145&amp;Data!W$6,F_Inputs!$A$4:$A$381&amp;F_Inputs!$B$4:$B$381,0),MATCH(Data!$C145,F_Inputs!$G$2:$T$2,0))</f>
        <v>0</v>
      </c>
    </row>
    <row r="146" spans="1:23" x14ac:dyDescent="0.2">
      <c r="A146" s="138" t="str">
        <f>B146&amp;RIGHT(C146,2)</f>
        <v>YKY15</v>
      </c>
      <c r="B146" s="19" t="s">
        <v>34</v>
      </c>
      <c r="C146" s="143" t="s">
        <v>67</v>
      </c>
      <c r="D146" s="139">
        <f t="array" ref="D146">INDEX(F_Inputs!$G$4:$T$381,MATCH(Data!$B146&amp;Data!D$6,F_Inputs!$A$4:$A$381&amp;F_Inputs!$B$4:$B$381,0),MATCH(Data!$C146,F_Inputs!$G$2:$T$2,0))</f>
        <v>0</v>
      </c>
      <c r="E146" s="139">
        <f t="array" ref="E146">INDEX(F_Inputs!$G$4:$T$381,MATCH(Data!$B146&amp;Data!E$6,F_Inputs!$A$4:$A$381&amp;F_Inputs!$B$4:$B$381,0),MATCH(Data!$C146,F_Inputs!$G$2:$T$2,0))</f>
        <v>0</v>
      </c>
      <c r="F146" s="139">
        <f t="array" ref="F146">INDEX(F_Inputs!$G$4:$T$381,MATCH(Data!$B146&amp;Data!F$6,F_Inputs!$A$4:$A$381&amp;F_Inputs!$B$4:$B$381,0),MATCH(Data!$C146,F_Inputs!$G$2:$T$2,0))</f>
        <v>0</v>
      </c>
      <c r="G146" s="139">
        <f t="array" ref="G146">INDEX(F_Inputs!$G$4:$T$381,MATCH(Data!$B146&amp;Data!G$6,F_Inputs!$A$4:$A$381&amp;F_Inputs!$B$4:$B$381,0),MATCH(Data!$C146,F_Inputs!$G$2:$T$2,0))</f>
        <v>0</v>
      </c>
      <c r="I146" s="139">
        <f t="array" ref="I146">INDEX(F_Inputs!$G$4:$T$381,MATCH(Data!$B146&amp;Data!I$6,F_Inputs!$A$4:$A$381&amp;F_Inputs!$B$4:$B$381,0),MATCH(Data!$C146,F_Inputs!$G$2:$T$2,0))</f>
        <v>0</v>
      </c>
      <c r="J146" s="139">
        <f t="array" ref="J146">INDEX(F_Inputs!$G$4:$T$381,MATCH(Data!$B146&amp;Data!J$6,F_Inputs!$A$4:$A$381&amp;F_Inputs!$B$4:$B$381,0),MATCH(Data!$C146,F_Inputs!$G$2:$T$2,0))</f>
        <v>0</v>
      </c>
      <c r="K146" s="139">
        <f t="array" ref="K146">INDEX(F_Inputs!$G$4:$T$381,MATCH(Data!$B146&amp;Data!K$6,F_Inputs!$A$4:$A$381&amp;F_Inputs!$B$4:$B$381,0),MATCH(Data!$C146,F_Inputs!$G$2:$T$2,0))</f>
        <v>0</v>
      </c>
      <c r="L146" s="139">
        <f t="array" ref="L146">INDEX(F_Inputs!$G$4:$T$381,MATCH(Data!$B146&amp;Data!L$6,F_Inputs!$A$4:$A$381&amp;F_Inputs!$B$4:$B$381,0),MATCH(Data!$C146,F_Inputs!$G$2:$T$2,0))</f>
        <v>0</v>
      </c>
      <c r="N146" s="139">
        <f t="array" ref="N146">INDEX(F_Inputs!$G$4:$T$381,MATCH(Data!$B146&amp;Data!N$6,F_Inputs!$A$4:$A$381&amp;F_Inputs!$B$4:$B$381,0),MATCH(Data!$C146,F_Inputs!$G$2:$T$2,0))</f>
        <v>271.31832507556197</v>
      </c>
      <c r="O146" s="144"/>
      <c r="P146" s="139">
        <f t="array" ref="P146">INDEX(F_Inputs!$G$4:$T$381,MATCH(Data!$B146&amp;Data!P$6,F_Inputs!$A$4:$A$381&amp;F_Inputs!$B$4:$B$381,0),MATCH(Data!$C146,F_Inputs!$G$2:$T$2,0))</f>
        <v>0</v>
      </c>
      <c r="Q146" s="139">
        <f t="array" ref="Q146">INDEX(F_Inputs!$G$4:$T$381,MATCH(Data!$B146&amp;Data!Q$6,F_Inputs!$A$4:$A$381&amp;F_Inputs!$B$4:$B$381,0),MATCH(Data!$C146,F_Inputs!$G$2:$T$2,0))</f>
        <v>0</v>
      </c>
      <c r="R146" s="139">
        <f t="array" ref="R146">INDEX(F_Inputs!$G$4:$T$381,MATCH(Data!$B146&amp;Data!R$6,F_Inputs!$A$4:$A$381&amp;F_Inputs!$B$4:$B$381,0),MATCH(Data!$C146,F_Inputs!$G$2:$T$2,0))</f>
        <v>0</v>
      </c>
      <c r="S146" s="139">
        <f t="array" ref="S146">INDEX(F_Inputs!$G$4:$T$381,MATCH(Data!$B146&amp;Data!S$6,F_Inputs!$A$4:$A$381&amp;F_Inputs!$B$4:$B$381,0),MATCH(Data!$C146,F_Inputs!$G$2:$T$2,0))</f>
        <v>0</v>
      </c>
      <c r="U146" s="139">
        <f t="array" ref="U146">INDEX(F_Inputs!$G$4:$T$381,MATCH(Data!$B146&amp;Data!U$6,F_Inputs!$A$4:$A$381&amp;F_Inputs!$B$4:$B$381,0),MATCH(Data!$C146,F_Inputs!$G$2:$T$2,0))</f>
        <v>0</v>
      </c>
      <c r="V146" s="139">
        <f t="array" ref="V146">INDEX(F_Inputs!$G$4:$T$381,MATCH(Data!$B146&amp;Data!V$6,F_Inputs!$A$4:$A$381&amp;F_Inputs!$B$4:$B$381,0),MATCH(Data!$C146,F_Inputs!$G$2:$T$2,0))</f>
        <v>0</v>
      </c>
      <c r="W146" s="139">
        <f t="array" ref="W146">INDEX(F_Inputs!$G$4:$T$381,MATCH(Data!$B146&amp;Data!W$6,F_Inputs!$A$4:$A$381&amp;F_Inputs!$B$4:$B$381,0),MATCH(Data!$C146,F_Inputs!$G$2:$T$2,0))</f>
        <v>0</v>
      </c>
    </row>
    <row r="147" spans="1:23" x14ac:dyDescent="0.2">
      <c r="A147" s="138" t="str">
        <f>B147&amp;RIGHT(C147,2)</f>
        <v>YKY16</v>
      </c>
      <c r="B147" s="19" t="s">
        <v>34</v>
      </c>
      <c r="C147" s="143" t="s">
        <v>68</v>
      </c>
      <c r="D147" s="139">
        <f t="array" ref="D147">INDEX(F_Inputs!$G$4:$T$381,MATCH(Data!$B147&amp;Data!D$6,F_Inputs!$A$4:$A$381&amp;F_Inputs!$B$4:$B$381,0),MATCH(Data!$C147,F_Inputs!$G$2:$T$2,0))</f>
        <v>0</v>
      </c>
      <c r="E147" s="139">
        <f t="array" ref="E147">INDEX(F_Inputs!$G$4:$T$381,MATCH(Data!$B147&amp;Data!E$6,F_Inputs!$A$4:$A$381&amp;F_Inputs!$B$4:$B$381,0),MATCH(Data!$C147,F_Inputs!$G$2:$T$2,0))</f>
        <v>0</v>
      </c>
      <c r="F147" s="139">
        <f t="array" ref="F147">INDEX(F_Inputs!$G$4:$T$381,MATCH(Data!$B147&amp;Data!F$6,F_Inputs!$A$4:$A$381&amp;F_Inputs!$B$4:$B$381,0),MATCH(Data!$C147,F_Inputs!$G$2:$T$2,0))</f>
        <v>0</v>
      </c>
      <c r="G147" s="139">
        <f t="array" ref="G147">INDEX(F_Inputs!$G$4:$T$381,MATCH(Data!$B147&amp;Data!G$6,F_Inputs!$A$4:$A$381&amp;F_Inputs!$B$4:$B$381,0),MATCH(Data!$C147,F_Inputs!$G$2:$T$2,0))</f>
        <v>0</v>
      </c>
      <c r="I147" s="139">
        <f t="array" ref="I147">INDEX(F_Inputs!$G$4:$T$381,MATCH(Data!$B147&amp;Data!I$6,F_Inputs!$A$4:$A$381&amp;F_Inputs!$B$4:$B$381,0),MATCH(Data!$C147,F_Inputs!$G$2:$T$2,0))</f>
        <v>0</v>
      </c>
      <c r="J147" s="139">
        <f t="array" ref="J147">INDEX(F_Inputs!$G$4:$T$381,MATCH(Data!$B147&amp;Data!J$6,F_Inputs!$A$4:$A$381&amp;F_Inputs!$B$4:$B$381,0),MATCH(Data!$C147,F_Inputs!$G$2:$T$2,0))</f>
        <v>0</v>
      </c>
      <c r="K147" s="139">
        <f t="array" ref="K147">INDEX(F_Inputs!$G$4:$T$381,MATCH(Data!$B147&amp;Data!K$6,F_Inputs!$A$4:$A$381&amp;F_Inputs!$B$4:$B$381,0),MATCH(Data!$C147,F_Inputs!$G$2:$T$2,0))</f>
        <v>0</v>
      </c>
      <c r="L147" s="139">
        <f t="array" ref="L147">INDEX(F_Inputs!$G$4:$T$381,MATCH(Data!$B147&amp;Data!L$6,F_Inputs!$A$4:$A$381&amp;F_Inputs!$B$4:$B$381,0),MATCH(Data!$C147,F_Inputs!$G$2:$T$2,0))</f>
        <v>0</v>
      </c>
      <c r="N147" s="139">
        <f t="array" ref="N147">INDEX(F_Inputs!$G$4:$T$381,MATCH(Data!$B147&amp;Data!N$6,F_Inputs!$A$4:$A$381&amp;F_Inputs!$B$4:$B$381,0),MATCH(Data!$C147,F_Inputs!$G$2:$T$2,0))</f>
        <v>295.50844004160803</v>
      </c>
      <c r="O147" s="144"/>
      <c r="P147" s="139">
        <f t="array" ref="P147">INDEX(F_Inputs!$G$4:$T$381,MATCH(Data!$B147&amp;Data!P$6,F_Inputs!$A$4:$A$381&amp;F_Inputs!$B$4:$B$381,0),MATCH(Data!$C147,F_Inputs!$G$2:$T$2,0))</f>
        <v>0</v>
      </c>
      <c r="Q147" s="139">
        <f t="array" ref="Q147">INDEX(F_Inputs!$G$4:$T$381,MATCH(Data!$B147&amp;Data!Q$6,F_Inputs!$A$4:$A$381&amp;F_Inputs!$B$4:$B$381,0),MATCH(Data!$C147,F_Inputs!$G$2:$T$2,0))</f>
        <v>0</v>
      </c>
      <c r="R147" s="139">
        <f t="array" ref="R147">INDEX(F_Inputs!$G$4:$T$381,MATCH(Data!$B147&amp;Data!R$6,F_Inputs!$A$4:$A$381&amp;F_Inputs!$B$4:$B$381,0),MATCH(Data!$C147,F_Inputs!$G$2:$T$2,0))</f>
        <v>0</v>
      </c>
      <c r="S147" s="139">
        <f t="array" ref="S147">INDEX(F_Inputs!$G$4:$T$381,MATCH(Data!$B147&amp;Data!S$6,F_Inputs!$A$4:$A$381&amp;F_Inputs!$B$4:$B$381,0),MATCH(Data!$C147,F_Inputs!$G$2:$T$2,0))</f>
        <v>0</v>
      </c>
      <c r="U147" s="139">
        <f t="array" ref="U147">INDEX(F_Inputs!$G$4:$T$381,MATCH(Data!$B147&amp;Data!U$6,F_Inputs!$A$4:$A$381&amp;F_Inputs!$B$4:$B$381,0),MATCH(Data!$C147,F_Inputs!$G$2:$T$2,0))</f>
        <v>0</v>
      </c>
      <c r="V147" s="139">
        <f t="array" ref="V147">INDEX(F_Inputs!$G$4:$T$381,MATCH(Data!$B147&amp;Data!V$6,F_Inputs!$A$4:$A$381&amp;F_Inputs!$B$4:$B$381,0),MATCH(Data!$C147,F_Inputs!$G$2:$T$2,0))</f>
        <v>0</v>
      </c>
      <c r="W147" s="139">
        <f t="array" ref="W147">INDEX(F_Inputs!$G$4:$T$381,MATCH(Data!$B147&amp;Data!W$6,F_Inputs!$A$4:$A$381&amp;F_Inputs!$B$4:$B$381,0),MATCH(Data!$C147,F_Inputs!$G$2:$T$2,0))</f>
        <v>0</v>
      </c>
    </row>
    <row r="148" spans="1:23" x14ac:dyDescent="0.2">
      <c r="A148" s="138" t="str">
        <f>B148&amp;RIGHT(C148,2)</f>
        <v>YKY17</v>
      </c>
      <c r="B148" s="19" t="s">
        <v>34</v>
      </c>
      <c r="C148" s="143" t="s">
        <v>69</v>
      </c>
      <c r="D148" s="139">
        <f t="array" ref="D148">INDEX(F_Inputs!$G$4:$T$381,MATCH(Data!$B148&amp;Data!D$6,F_Inputs!$A$4:$A$381&amp;F_Inputs!$B$4:$B$381,0),MATCH(Data!$C148,F_Inputs!$G$2:$T$2,0))</f>
        <v>0</v>
      </c>
      <c r="E148" s="139">
        <f t="array" ref="E148">INDEX(F_Inputs!$G$4:$T$381,MATCH(Data!$B148&amp;Data!E$6,F_Inputs!$A$4:$A$381&amp;F_Inputs!$B$4:$B$381,0),MATCH(Data!$C148,F_Inputs!$G$2:$T$2,0))</f>
        <v>0</v>
      </c>
      <c r="F148" s="139">
        <f t="array" ref="F148">INDEX(F_Inputs!$G$4:$T$381,MATCH(Data!$B148&amp;Data!F$6,F_Inputs!$A$4:$A$381&amp;F_Inputs!$B$4:$B$381,0),MATCH(Data!$C148,F_Inputs!$G$2:$T$2,0))</f>
        <v>0</v>
      </c>
      <c r="G148" s="139">
        <f t="array" ref="G148">INDEX(F_Inputs!$G$4:$T$381,MATCH(Data!$B148&amp;Data!G$6,F_Inputs!$A$4:$A$381&amp;F_Inputs!$B$4:$B$381,0),MATCH(Data!$C148,F_Inputs!$G$2:$T$2,0))</f>
        <v>0</v>
      </c>
      <c r="I148" s="139">
        <f t="array" ref="I148">INDEX(F_Inputs!$G$4:$T$381,MATCH(Data!$B148&amp;Data!I$6,F_Inputs!$A$4:$A$381&amp;F_Inputs!$B$4:$B$381,0),MATCH(Data!$C148,F_Inputs!$G$2:$T$2,0))</f>
        <v>0</v>
      </c>
      <c r="J148" s="139">
        <f t="array" ref="J148">INDEX(F_Inputs!$G$4:$T$381,MATCH(Data!$B148&amp;Data!J$6,F_Inputs!$A$4:$A$381&amp;F_Inputs!$B$4:$B$381,0),MATCH(Data!$C148,F_Inputs!$G$2:$T$2,0))</f>
        <v>0</v>
      </c>
      <c r="K148" s="139">
        <f t="array" ref="K148">INDEX(F_Inputs!$G$4:$T$381,MATCH(Data!$B148&amp;Data!K$6,F_Inputs!$A$4:$A$381&amp;F_Inputs!$B$4:$B$381,0),MATCH(Data!$C148,F_Inputs!$G$2:$T$2,0))</f>
        <v>0</v>
      </c>
      <c r="L148" s="139">
        <f t="array" ref="L148">INDEX(F_Inputs!$G$4:$T$381,MATCH(Data!$B148&amp;Data!L$6,F_Inputs!$A$4:$A$381&amp;F_Inputs!$B$4:$B$381,0),MATCH(Data!$C148,F_Inputs!$G$2:$T$2,0))</f>
        <v>0</v>
      </c>
      <c r="N148" s="139">
        <f t="array" ref="N148">INDEX(F_Inputs!$G$4:$T$381,MATCH(Data!$B148&amp;Data!N$6,F_Inputs!$A$4:$A$381&amp;F_Inputs!$B$4:$B$381,0),MATCH(Data!$C148,F_Inputs!$G$2:$T$2,0))</f>
        <v>337.30845683780501</v>
      </c>
      <c r="O148" s="144"/>
      <c r="P148" s="139">
        <f t="array" ref="P148">INDEX(F_Inputs!$G$4:$T$381,MATCH(Data!$B148&amp;Data!P$6,F_Inputs!$A$4:$A$381&amp;F_Inputs!$B$4:$B$381,0),MATCH(Data!$C148,F_Inputs!$G$2:$T$2,0))</f>
        <v>0</v>
      </c>
      <c r="Q148" s="139">
        <f t="array" ref="Q148">INDEX(F_Inputs!$G$4:$T$381,MATCH(Data!$B148&amp;Data!Q$6,F_Inputs!$A$4:$A$381&amp;F_Inputs!$B$4:$B$381,0),MATCH(Data!$C148,F_Inputs!$G$2:$T$2,0))</f>
        <v>0</v>
      </c>
      <c r="R148" s="139">
        <f t="array" ref="R148">INDEX(F_Inputs!$G$4:$T$381,MATCH(Data!$B148&amp;Data!R$6,F_Inputs!$A$4:$A$381&amp;F_Inputs!$B$4:$B$381,0),MATCH(Data!$C148,F_Inputs!$G$2:$T$2,0))</f>
        <v>0</v>
      </c>
      <c r="S148" s="139">
        <f t="array" ref="S148">INDEX(F_Inputs!$G$4:$T$381,MATCH(Data!$B148&amp;Data!S$6,F_Inputs!$A$4:$A$381&amp;F_Inputs!$B$4:$B$381,0),MATCH(Data!$C148,F_Inputs!$G$2:$T$2,0))</f>
        <v>0</v>
      </c>
      <c r="U148" s="139">
        <f t="array" ref="U148">INDEX(F_Inputs!$G$4:$T$381,MATCH(Data!$B148&amp;Data!U$6,F_Inputs!$A$4:$A$381&amp;F_Inputs!$B$4:$B$381,0),MATCH(Data!$C148,F_Inputs!$G$2:$T$2,0))</f>
        <v>0</v>
      </c>
      <c r="V148" s="139">
        <f t="array" ref="V148">INDEX(F_Inputs!$G$4:$T$381,MATCH(Data!$B148&amp;Data!V$6,F_Inputs!$A$4:$A$381&amp;F_Inputs!$B$4:$B$381,0),MATCH(Data!$C148,F_Inputs!$G$2:$T$2,0))</f>
        <v>0</v>
      </c>
      <c r="W148" s="139">
        <f t="array" ref="W148">INDEX(F_Inputs!$G$4:$T$381,MATCH(Data!$B148&amp;Data!W$6,F_Inputs!$A$4:$A$381&amp;F_Inputs!$B$4:$B$381,0),MATCH(Data!$C148,F_Inputs!$G$2:$T$2,0))</f>
        <v>0</v>
      </c>
    </row>
    <row r="149" spans="1:23" x14ac:dyDescent="0.2">
      <c r="A149" s="141" t="s">
        <v>214</v>
      </c>
      <c r="B149" s="142" t="s">
        <v>34</v>
      </c>
      <c r="C149" s="142" t="s">
        <v>70</v>
      </c>
      <c r="D149" s="139">
        <f t="array" ref="D149">INDEX(F_Inputs!$G$4:$T$381,MATCH(Data!$B149&amp;Data!D$6,F_Inputs!$A$4:$A$381&amp;F_Inputs!$B$4:$B$381,0),MATCH(Data!$C149,F_Inputs!$G$2:$T$2,0))</f>
        <v>0</v>
      </c>
      <c r="E149" s="139">
        <f t="array" ref="E149">INDEX(F_Inputs!$G$4:$T$381,MATCH(Data!$B149&amp;Data!E$6,F_Inputs!$A$4:$A$381&amp;F_Inputs!$B$4:$B$381,0),MATCH(Data!$C149,F_Inputs!$G$2:$T$2,0))</f>
        <v>0</v>
      </c>
      <c r="F149" s="139">
        <f t="array" ref="F149">INDEX(F_Inputs!$G$4:$T$381,MATCH(Data!$B149&amp;Data!F$6,F_Inputs!$A$4:$A$381&amp;F_Inputs!$B$4:$B$381,0),MATCH(Data!$C149,F_Inputs!$G$2:$T$2,0))</f>
        <v>0</v>
      </c>
      <c r="G149" s="139">
        <f t="array" ref="G149">INDEX(F_Inputs!$G$4:$T$381,MATCH(Data!$B149&amp;Data!G$6,F_Inputs!$A$4:$A$381&amp;F_Inputs!$B$4:$B$381,0),MATCH(Data!$C149,F_Inputs!$G$2:$T$2,0))</f>
        <v>0</v>
      </c>
      <c r="I149" s="139">
        <f t="array" ref="I149">INDEX(F_Inputs!$G$4:$T$381,MATCH(Data!$B149&amp;Data!I$6,F_Inputs!$A$4:$A$381&amp;F_Inputs!$B$4:$B$381,0),MATCH(Data!$C149,F_Inputs!$G$2:$T$2,0))</f>
        <v>0</v>
      </c>
      <c r="J149" s="139">
        <f t="array" ref="J149">INDEX(F_Inputs!$G$4:$T$381,MATCH(Data!$B149&amp;Data!J$6,F_Inputs!$A$4:$A$381&amp;F_Inputs!$B$4:$B$381,0),MATCH(Data!$C149,F_Inputs!$G$2:$T$2,0))</f>
        <v>0</v>
      </c>
      <c r="K149" s="139">
        <f t="array" ref="K149">INDEX(F_Inputs!$G$4:$T$381,MATCH(Data!$B149&amp;Data!K$6,F_Inputs!$A$4:$A$381&amp;F_Inputs!$B$4:$B$381,0),MATCH(Data!$C149,F_Inputs!$G$2:$T$2,0))</f>
        <v>0</v>
      </c>
      <c r="L149" s="139">
        <f t="array" ref="L149">INDEX(F_Inputs!$G$4:$T$381,MATCH(Data!$B149&amp;Data!L$6,F_Inputs!$A$4:$A$381&amp;F_Inputs!$B$4:$B$381,0),MATCH(Data!$C149,F_Inputs!$G$2:$T$2,0))</f>
        <v>0</v>
      </c>
      <c r="N149" s="139">
        <f t="array" ref="N149">INDEX(F_Inputs!$G$4:$T$381,MATCH(Data!$B149&amp;Data!N$6,F_Inputs!$A$4:$A$381&amp;F_Inputs!$B$4:$B$381,0),MATCH(Data!$C149,F_Inputs!$G$2:$T$2,0))</f>
        <v>369.59500000000003</v>
      </c>
      <c r="O149" s="144"/>
      <c r="P149" s="139">
        <f t="array" ref="P149">INDEX(F_Inputs!$G$4:$T$381,MATCH(Data!$B149&amp;Data!P$6,F_Inputs!$A$4:$A$381&amp;F_Inputs!$B$4:$B$381,0),MATCH(Data!$C149,F_Inputs!$G$2:$T$2,0))</f>
        <v>0</v>
      </c>
      <c r="Q149" s="139">
        <f t="array" ref="Q149">INDEX(F_Inputs!$G$4:$T$381,MATCH(Data!$B149&amp;Data!Q$6,F_Inputs!$A$4:$A$381&amp;F_Inputs!$B$4:$B$381,0),MATCH(Data!$C149,F_Inputs!$G$2:$T$2,0))</f>
        <v>0</v>
      </c>
      <c r="R149" s="139">
        <f t="array" ref="R149">INDEX(F_Inputs!$G$4:$T$381,MATCH(Data!$B149&amp;Data!R$6,F_Inputs!$A$4:$A$381&amp;F_Inputs!$B$4:$B$381,0),MATCH(Data!$C149,F_Inputs!$G$2:$T$2,0))</f>
        <v>0</v>
      </c>
      <c r="S149" s="139">
        <f t="array" ref="S149">INDEX(F_Inputs!$G$4:$T$381,MATCH(Data!$B149&amp;Data!S$6,F_Inputs!$A$4:$A$381&amp;F_Inputs!$B$4:$B$381,0),MATCH(Data!$C149,F_Inputs!$G$2:$T$2,0))</f>
        <v>0</v>
      </c>
      <c r="U149" s="139">
        <f t="array" ref="U149">INDEX(F_Inputs!$G$4:$T$381,MATCH(Data!$B149&amp;Data!U$6,F_Inputs!$A$4:$A$381&amp;F_Inputs!$B$4:$B$381,0),MATCH(Data!$C149,F_Inputs!$G$2:$T$2,0))</f>
        <v>300.27999999999997</v>
      </c>
      <c r="V149" s="139">
        <f t="array" ref="V149">INDEX(F_Inputs!$G$4:$T$381,MATCH(Data!$B149&amp;Data!V$6,F_Inputs!$A$4:$A$381&amp;F_Inputs!$B$4:$B$381,0),MATCH(Data!$C149,F_Inputs!$G$2:$T$2,0))</f>
        <v>31693</v>
      </c>
      <c r="W149" s="139">
        <f t="array" ref="W149">INDEX(F_Inputs!$G$4:$T$381,MATCH(Data!$B149&amp;Data!W$6,F_Inputs!$A$4:$A$381&amp;F_Inputs!$B$4:$B$381,0),MATCH(Data!$C149,F_Inputs!$G$2:$T$2,0))</f>
        <v>2305.3180000000002</v>
      </c>
    </row>
    <row r="150" spans="1:23" x14ac:dyDescent="0.2">
      <c r="A150" s="141" t="s">
        <v>215</v>
      </c>
      <c r="B150" s="142" t="s">
        <v>34</v>
      </c>
      <c r="C150" s="142" t="s">
        <v>71</v>
      </c>
      <c r="D150" s="139">
        <f t="array" ref="D150">INDEX(F_Inputs!$G$4:$T$381,MATCH(Data!$B150&amp;Data!D$6,F_Inputs!$A$4:$A$381&amp;F_Inputs!$B$4:$B$381,0),MATCH(Data!$C150,F_Inputs!$G$2:$T$2,0))</f>
        <v>0</v>
      </c>
      <c r="E150" s="139">
        <f t="array" ref="E150">INDEX(F_Inputs!$G$4:$T$381,MATCH(Data!$B150&amp;Data!E$6,F_Inputs!$A$4:$A$381&amp;F_Inputs!$B$4:$B$381,0),MATCH(Data!$C150,F_Inputs!$G$2:$T$2,0))</f>
        <v>0</v>
      </c>
      <c r="F150" s="139">
        <f t="array" ref="F150">INDEX(F_Inputs!$G$4:$T$381,MATCH(Data!$B150&amp;Data!F$6,F_Inputs!$A$4:$A$381&amp;F_Inputs!$B$4:$B$381,0),MATCH(Data!$C150,F_Inputs!$G$2:$T$2,0))</f>
        <v>0</v>
      </c>
      <c r="G150" s="139">
        <f t="array" ref="G150">INDEX(F_Inputs!$G$4:$T$381,MATCH(Data!$B150&amp;Data!G$6,F_Inputs!$A$4:$A$381&amp;F_Inputs!$B$4:$B$381,0),MATCH(Data!$C150,F_Inputs!$G$2:$T$2,0))</f>
        <v>0</v>
      </c>
      <c r="I150" s="139">
        <f t="array" ref="I150">INDEX(F_Inputs!$G$4:$T$381,MATCH(Data!$B150&amp;Data!I$6,F_Inputs!$A$4:$A$381&amp;F_Inputs!$B$4:$B$381,0),MATCH(Data!$C150,F_Inputs!$G$2:$T$2,0))</f>
        <v>0</v>
      </c>
      <c r="J150" s="139">
        <f t="array" ref="J150">INDEX(F_Inputs!$G$4:$T$381,MATCH(Data!$B150&amp;Data!J$6,F_Inputs!$A$4:$A$381&amp;F_Inputs!$B$4:$B$381,0),MATCH(Data!$C150,F_Inputs!$G$2:$T$2,0))</f>
        <v>0</v>
      </c>
      <c r="K150" s="139">
        <f t="array" ref="K150">INDEX(F_Inputs!$G$4:$T$381,MATCH(Data!$B150&amp;Data!K$6,F_Inputs!$A$4:$A$381&amp;F_Inputs!$B$4:$B$381,0),MATCH(Data!$C150,F_Inputs!$G$2:$T$2,0))</f>
        <v>0</v>
      </c>
      <c r="L150" s="139">
        <f t="array" ref="L150">INDEX(F_Inputs!$G$4:$T$381,MATCH(Data!$B150&amp;Data!L$6,F_Inputs!$A$4:$A$381&amp;F_Inputs!$B$4:$B$381,0),MATCH(Data!$C150,F_Inputs!$G$2:$T$2,0))</f>
        <v>0</v>
      </c>
      <c r="N150" s="139">
        <f t="array" ref="N150">INDEX(F_Inputs!$G$4:$T$381,MATCH(Data!$B150&amp;Data!N$6,F_Inputs!$A$4:$A$381&amp;F_Inputs!$B$4:$B$381,0),MATCH(Data!$C150,F_Inputs!$G$2:$T$2,0))</f>
        <v>414.49795085420197</v>
      </c>
      <c r="O150" s="144"/>
      <c r="P150" s="139">
        <f t="array" ref="P150">INDEX(F_Inputs!$G$4:$T$381,MATCH(Data!$B150&amp;Data!P$6,F_Inputs!$A$4:$A$381&amp;F_Inputs!$B$4:$B$381,0),MATCH(Data!$C150,F_Inputs!$G$2:$T$2,0))</f>
        <v>0</v>
      </c>
      <c r="Q150" s="139">
        <f t="array" ref="Q150">INDEX(F_Inputs!$G$4:$T$381,MATCH(Data!$B150&amp;Data!Q$6,F_Inputs!$A$4:$A$381&amp;F_Inputs!$B$4:$B$381,0),MATCH(Data!$C150,F_Inputs!$G$2:$T$2,0))</f>
        <v>0</v>
      </c>
      <c r="R150" s="139">
        <f t="array" ref="R150">INDEX(F_Inputs!$G$4:$T$381,MATCH(Data!$B150&amp;Data!R$6,F_Inputs!$A$4:$A$381&amp;F_Inputs!$B$4:$B$381,0),MATCH(Data!$C150,F_Inputs!$G$2:$T$2,0))</f>
        <v>0</v>
      </c>
      <c r="S150" s="139">
        <f t="array" ref="S150">INDEX(F_Inputs!$G$4:$T$381,MATCH(Data!$B150&amp;Data!S$6,F_Inputs!$A$4:$A$381&amp;F_Inputs!$B$4:$B$381,0),MATCH(Data!$C150,F_Inputs!$G$2:$T$2,0))</f>
        <v>0</v>
      </c>
      <c r="U150" s="139">
        <f t="array" ref="U150">INDEX(F_Inputs!$G$4:$T$381,MATCH(Data!$B150&amp;Data!U$6,F_Inputs!$A$4:$A$381&amp;F_Inputs!$B$4:$B$381,0),MATCH(Data!$C150,F_Inputs!$G$2:$T$2,0))</f>
        <v>297</v>
      </c>
      <c r="V150" s="139">
        <f t="array" ref="V150">INDEX(F_Inputs!$G$4:$T$381,MATCH(Data!$B150&amp;Data!V$6,F_Inputs!$A$4:$A$381&amp;F_Inputs!$B$4:$B$381,0),MATCH(Data!$C150,F_Inputs!$G$2:$T$2,0))</f>
        <v>31793</v>
      </c>
      <c r="W150" s="139">
        <f t="array" ref="W150">INDEX(F_Inputs!$G$4:$T$381,MATCH(Data!$B150&amp;Data!W$6,F_Inputs!$A$4:$A$381&amp;F_Inputs!$B$4:$B$381,0),MATCH(Data!$C150,F_Inputs!$G$2:$T$2,0))</f>
        <v>2311.35228615813</v>
      </c>
    </row>
    <row r="151" spans="1:23" x14ac:dyDescent="0.2">
      <c r="A151" s="141" t="s">
        <v>216</v>
      </c>
      <c r="B151" s="142" t="s">
        <v>34</v>
      </c>
      <c r="C151" s="142" t="s">
        <v>72</v>
      </c>
      <c r="D151" s="139">
        <f t="array" ref="D151">INDEX(F_Inputs!$G$4:$T$381,MATCH(Data!$B151&amp;Data!D$6,F_Inputs!$A$4:$A$381&amp;F_Inputs!$B$4:$B$381,0),MATCH(Data!$C151,F_Inputs!$G$2:$T$2,0))</f>
        <v>0</v>
      </c>
      <c r="E151" s="139">
        <f t="array" ref="E151">INDEX(F_Inputs!$G$4:$T$381,MATCH(Data!$B151&amp;Data!E$6,F_Inputs!$A$4:$A$381&amp;F_Inputs!$B$4:$B$381,0),MATCH(Data!$C151,F_Inputs!$G$2:$T$2,0))</f>
        <v>0</v>
      </c>
      <c r="F151" s="139">
        <f t="array" ref="F151">INDEX(F_Inputs!$G$4:$T$381,MATCH(Data!$B151&amp;Data!F$6,F_Inputs!$A$4:$A$381&amp;F_Inputs!$B$4:$B$381,0),MATCH(Data!$C151,F_Inputs!$G$2:$T$2,0))</f>
        <v>0</v>
      </c>
      <c r="G151" s="139">
        <f t="array" ref="G151">INDEX(F_Inputs!$G$4:$T$381,MATCH(Data!$B151&amp;Data!G$6,F_Inputs!$A$4:$A$381&amp;F_Inputs!$B$4:$B$381,0),MATCH(Data!$C151,F_Inputs!$G$2:$T$2,0))</f>
        <v>0</v>
      </c>
      <c r="I151" s="139">
        <f t="array" ref="I151">INDEX(F_Inputs!$G$4:$T$381,MATCH(Data!$B151&amp;Data!I$6,F_Inputs!$A$4:$A$381&amp;F_Inputs!$B$4:$B$381,0),MATCH(Data!$C151,F_Inputs!$G$2:$T$2,0))</f>
        <v>0</v>
      </c>
      <c r="J151" s="139">
        <f t="array" ref="J151">INDEX(F_Inputs!$G$4:$T$381,MATCH(Data!$B151&amp;Data!J$6,F_Inputs!$A$4:$A$381&amp;F_Inputs!$B$4:$B$381,0),MATCH(Data!$C151,F_Inputs!$G$2:$T$2,0))</f>
        <v>0</v>
      </c>
      <c r="K151" s="139">
        <f t="array" ref="K151">INDEX(F_Inputs!$G$4:$T$381,MATCH(Data!$B151&amp;Data!K$6,F_Inputs!$A$4:$A$381&amp;F_Inputs!$B$4:$B$381,0),MATCH(Data!$C151,F_Inputs!$G$2:$T$2,0))</f>
        <v>0</v>
      </c>
      <c r="L151" s="139">
        <f t="array" ref="L151">INDEX(F_Inputs!$G$4:$T$381,MATCH(Data!$B151&amp;Data!L$6,F_Inputs!$A$4:$A$381&amp;F_Inputs!$B$4:$B$381,0),MATCH(Data!$C151,F_Inputs!$G$2:$T$2,0))</f>
        <v>0</v>
      </c>
      <c r="N151" s="139">
        <f t="array" ref="N151">INDEX(F_Inputs!$G$4:$T$381,MATCH(Data!$B151&amp;Data!N$6,F_Inputs!$A$4:$A$381&amp;F_Inputs!$B$4:$B$381,0),MATCH(Data!$C151,F_Inputs!$G$2:$T$2,0))</f>
        <v>394.01108206733602</v>
      </c>
      <c r="O151" s="144"/>
      <c r="P151" s="139">
        <f t="array" ref="P151">INDEX(F_Inputs!$G$4:$T$381,MATCH(Data!$B151&amp;Data!P$6,F_Inputs!$A$4:$A$381&amp;F_Inputs!$B$4:$B$381,0),MATCH(Data!$C151,F_Inputs!$G$2:$T$2,0))</f>
        <v>0</v>
      </c>
      <c r="Q151" s="139">
        <f t="array" ref="Q151">INDEX(F_Inputs!$G$4:$T$381,MATCH(Data!$B151&amp;Data!Q$6,F_Inputs!$A$4:$A$381&amp;F_Inputs!$B$4:$B$381,0),MATCH(Data!$C151,F_Inputs!$G$2:$T$2,0))</f>
        <v>0</v>
      </c>
      <c r="R151" s="139">
        <f t="array" ref="R151">INDEX(F_Inputs!$G$4:$T$381,MATCH(Data!$B151&amp;Data!R$6,F_Inputs!$A$4:$A$381&amp;F_Inputs!$B$4:$B$381,0),MATCH(Data!$C151,F_Inputs!$G$2:$T$2,0))</f>
        <v>0</v>
      </c>
      <c r="S151" s="139">
        <f t="array" ref="S151">INDEX(F_Inputs!$G$4:$T$381,MATCH(Data!$B151&amp;Data!S$6,F_Inputs!$A$4:$A$381&amp;F_Inputs!$B$4:$B$381,0),MATCH(Data!$C151,F_Inputs!$G$2:$T$2,0))</f>
        <v>28</v>
      </c>
      <c r="U151" s="139">
        <f t="array" ref="U151">INDEX(F_Inputs!$G$4:$T$381,MATCH(Data!$B151&amp;Data!U$6,F_Inputs!$A$4:$A$381&amp;F_Inputs!$B$4:$B$381,0),MATCH(Data!$C151,F_Inputs!$G$2:$T$2,0))</f>
        <v>269</v>
      </c>
      <c r="V151" s="139">
        <f t="array" ref="V151">INDEX(F_Inputs!$G$4:$T$381,MATCH(Data!$B151&amp;Data!V$6,F_Inputs!$A$4:$A$381&amp;F_Inputs!$B$4:$B$381,0),MATCH(Data!$C151,F_Inputs!$G$2:$T$2,0))</f>
        <v>31893</v>
      </c>
      <c r="W151" s="139">
        <f t="array" ref="W151">INDEX(F_Inputs!$G$4:$T$381,MATCH(Data!$B151&amp;Data!W$6,F_Inputs!$A$4:$A$381&amp;F_Inputs!$B$4:$B$381,0),MATCH(Data!$C151,F_Inputs!$G$2:$T$2,0))</f>
        <v>2325.4213540903602</v>
      </c>
    </row>
    <row r="152" spans="1:23" x14ac:dyDescent="0.2">
      <c r="A152" s="141" t="s">
        <v>217</v>
      </c>
      <c r="B152" s="142" t="s">
        <v>34</v>
      </c>
      <c r="C152" s="142" t="s">
        <v>73</v>
      </c>
      <c r="D152" s="139">
        <f t="array" ref="D152">INDEX(F_Inputs!$G$4:$T$381,MATCH(Data!$B152&amp;Data!D$6,F_Inputs!$A$4:$A$381&amp;F_Inputs!$B$4:$B$381,0),MATCH(Data!$C152,F_Inputs!$G$2:$T$2,0))</f>
        <v>0</v>
      </c>
      <c r="E152" s="139">
        <f t="array" ref="E152">INDEX(F_Inputs!$G$4:$T$381,MATCH(Data!$B152&amp;Data!E$6,F_Inputs!$A$4:$A$381&amp;F_Inputs!$B$4:$B$381,0),MATCH(Data!$C152,F_Inputs!$G$2:$T$2,0))</f>
        <v>0.112</v>
      </c>
      <c r="F152" s="139">
        <f t="array" ref="F152">INDEX(F_Inputs!$G$4:$T$381,MATCH(Data!$B152&amp;Data!F$6,F_Inputs!$A$4:$A$381&amp;F_Inputs!$B$4:$B$381,0),MATCH(Data!$C152,F_Inputs!$G$2:$T$2,0))</f>
        <v>0</v>
      </c>
      <c r="G152" s="139">
        <f t="array" ref="G152">INDEX(F_Inputs!$G$4:$T$381,MATCH(Data!$B152&amp;Data!G$6,F_Inputs!$A$4:$A$381&amp;F_Inputs!$B$4:$B$381,0),MATCH(Data!$C152,F_Inputs!$G$2:$T$2,0))</f>
        <v>0</v>
      </c>
      <c r="I152" s="139">
        <f t="array" ref="I152">INDEX(F_Inputs!$G$4:$T$381,MATCH(Data!$B152&amp;Data!I$6,F_Inputs!$A$4:$A$381&amp;F_Inputs!$B$4:$B$381,0),MATCH(Data!$C152,F_Inputs!$G$2:$T$2,0))</f>
        <v>0</v>
      </c>
      <c r="J152" s="139">
        <f t="array" ref="J152">INDEX(F_Inputs!$G$4:$T$381,MATCH(Data!$B152&amp;Data!J$6,F_Inputs!$A$4:$A$381&amp;F_Inputs!$B$4:$B$381,0),MATCH(Data!$C152,F_Inputs!$G$2:$T$2,0))</f>
        <v>0</v>
      </c>
      <c r="K152" s="139">
        <f t="array" ref="K152">INDEX(F_Inputs!$G$4:$T$381,MATCH(Data!$B152&amp;Data!K$6,F_Inputs!$A$4:$A$381&amp;F_Inputs!$B$4:$B$381,0),MATCH(Data!$C152,F_Inputs!$G$2:$T$2,0))</f>
        <v>0</v>
      </c>
      <c r="L152" s="139">
        <f t="array" ref="L152">INDEX(F_Inputs!$G$4:$T$381,MATCH(Data!$B152&amp;Data!L$6,F_Inputs!$A$4:$A$381&amp;F_Inputs!$B$4:$B$381,0),MATCH(Data!$C152,F_Inputs!$G$2:$T$2,0))</f>
        <v>0</v>
      </c>
      <c r="N152" s="139">
        <f t="array" ref="N152">INDEX(F_Inputs!$G$4:$T$381,MATCH(Data!$B152&amp;Data!N$6,F_Inputs!$A$4:$A$381&amp;F_Inputs!$B$4:$B$381,0),MATCH(Data!$C152,F_Inputs!$G$2:$T$2,0))</f>
        <v>385.79700000000003</v>
      </c>
      <c r="O152" s="144"/>
      <c r="P152" s="139">
        <f t="array" ref="P152">INDEX(F_Inputs!$G$4:$T$381,MATCH(Data!$B152&amp;Data!P$6,F_Inputs!$A$4:$A$381&amp;F_Inputs!$B$4:$B$381,0),MATCH(Data!$C152,F_Inputs!$G$2:$T$2,0))</f>
        <v>0</v>
      </c>
      <c r="Q152" s="139">
        <f t="array" ref="Q152">INDEX(F_Inputs!$G$4:$T$381,MATCH(Data!$B152&amp;Data!Q$6,F_Inputs!$A$4:$A$381&amp;F_Inputs!$B$4:$B$381,0),MATCH(Data!$C152,F_Inputs!$G$2:$T$2,0))</f>
        <v>0</v>
      </c>
      <c r="R152" s="139">
        <f t="array" ref="R152">INDEX(F_Inputs!$G$4:$T$381,MATCH(Data!$B152&amp;Data!R$6,F_Inputs!$A$4:$A$381&amp;F_Inputs!$B$4:$B$381,0),MATCH(Data!$C152,F_Inputs!$G$2:$T$2,0))</f>
        <v>0</v>
      </c>
      <c r="S152" s="139">
        <f t="array" ref="S152">INDEX(F_Inputs!$G$4:$T$381,MATCH(Data!$B152&amp;Data!S$6,F_Inputs!$A$4:$A$381&amp;F_Inputs!$B$4:$B$381,0),MATCH(Data!$C152,F_Inputs!$G$2:$T$2,0))</f>
        <v>13.45</v>
      </c>
      <c r="U152" s="139">
        <f t="array" ref="U152">INDEX(F_Inputs!$G$4:$T$381,MATCH(Data!$B152&amp;Data!U$6,F_Inputs!$A$4:$A$381&amp;F_Inputs!$B$4:$B$381,0),MATCH(Data!$C152,F_Inputs!$G$2:$T$2,0))</f>
        <v>255.55</v>
      </c>
      <c r="V152" s="139">
        <f t="array" ref="V152">INDEX(F_Inputs!$G$4:$T$381,MATCH(Data!$B152&amp;Data!V$6,F_Inputs!$A$4:$A$381&amp;F_Inputs!$B$4:$B$381,0),MATCH(Data!$C152,F_Inputs!$G$2:$T$2,0))</f>
        <v>32002</v>
      </c>
      <c r="W152" s="139">
        <f t="array" ref="W152">INDEX(F_Inputs!$G$4:$T$381,MATCH(Data!$B152&amp;Data!W$6,F_Inputs!$A$4:$A$381&amp;F_Inputs!$B$4:$B$381,0),MATCH(Data!$C152,F_Inputs!$G$2:$T$2,0))</f>
        <v>2347.4077730576801</v>
      </c>
    </row>
    <row r="153" spans="1:23" x14ac:dyDescent="0.2">
      <c r="A153" s="141" t="s">
        <v>218</v>
      </c>
      <c r="B153" s="142" t="s">
        <v>34</v>
      </c>
      <c r="C153" s="142" t="s">
        <v>74</v>
      </c>
      <c r="D153" s="139">
        <f t="array" ref="D153">INDEX(F_Inputs!$G$4:$T$381,MATCH(Data!$B153&amp;Data!D$6,F_Inputs!$A$4:$A$381&amp;F_Inputs!$B$4:$B$381,0),MATCH(Data!$C153,F_Inputs!$G$2:$T$2,0))</f>
        <v>0</v>
      </c>
      <c r="E153" s="139">
        <f t="array" ref="E153">INDEX(F_Inputs!$G$4:$T$381,MATCH(Data!$B153&amp;Data!E$6,F_Inputs!$A$4:$A$381&amp;F_Inputs!$B$4:$B$381,0),MATCH(Data!$C153,F_Inputs!$G$2:$T$2,0))</f>
        <v>9.7000000000000003E-2</v>
      </c>
      <c r="F153" s="139">
        <f t="array" ref="F153">INDEX(F_Inputs!$G$4:$T$381,MATCH(Data!$B153&amp;Data!F$6,F_Inputs!$A$4:$A$381&amp;F_Inputs!$B$4:$B$381,0),MATCH(Data!$C153,F_Inputs!$G$2:$T$2,0))</f>
        <v>0</v>
      </c>
      <c r="G153" s="139">
        <f t="array" ref="G153">INDEX(F_Inputs!$G$4:$T$381,MATCH(Data!$B153&amp;Data!G$6,F_Inputs!$A$4:$A$381&amp;F_Inputs!$B$4:$B$381,0),MATCH(Data!$C153,F_Inputs!$G$2:$T$2,0))</f>
        <v>0</v>
      </c>
      <c r="I153" s="139">
        <f t="array" ref="I153">INDEX(F_Inputs!$G$4:$T$381,MATCH(Data!$B153&amp;Data!I$6,F_Inputs!$A$4:$A$381&amp;F_Inputs!$B$4:$B$381,0),MATCH(Data!$C153,F_Inputs!$G$2:$T$2,0))</f>
        <v>0</v>
      </c>
      <c r="J153" s="139">
        <f t="array" ref="J153">INDEX(F_Inputs!$G$4:$T$381,MATCH(Data!$B153&amp;Data!J$6,F_Inputs!$A$4:$A$381&amp;F_Inputs!$B$4:$B$381,0),MATCH(Data!$C153,F_Inputs!$G$2:$T$2,0))</f>
        <v>0</v>
      </c>
      <c r="K153" s="139">
        <f t="array" ref="K153">INDEX(F_Inputs!$G$4:$T$381,MATCH(Data!$B153&amp;Data!K$6,F_Inputs!$A$4:$A$381&amp;F_Inputs!$B$4:$B$381,0),MATCH(Data!$C153,F_Inputs!$G$2:$T$2,0))</f>
        <v>0</v>
      </c>
      <c r="L153" s="139">
        <f t="array" ref="L153">INDEX(F_Inputs!$G$4:$T$381,MATCH(Data!$B153&amp;Data!L$6,F_Inputs!$A$4:$A$381&amp;F_Inputs!$B$4:$B$381,0),MATCH(Data!$C153,F_Inputs!$G$2:$T$2,0))</f>
        <v>0</v>
      </c>
      <c r="N153" s="139">
        <f t="array" ref="N153">INDEX(F_Inputs!$G$4:$T$381,MATCH(Data!$B153&amp;Data!N$6,F_Inputs!$A$4:$A$381&amp;F_Inputs!$B$4:$B$381,0),MATCH(Data!$C153,F_Inputs!$G$2:$T$2,0))</f>
        <v>385.065</v>
      </c>
      <c r="O153" s="144"/>
      <c r="P153" s="139">
        <f t="array" ref="P153">INDEX(F_Inputs!$G$4:$T$381,MATCH(Data!$B153&amp;Data!P$6,F_Inputs!$A$4:$A$381&amp;F_Inputs!$B$4:$B$381,0),MATCH(Data!$C153,F_Inputs!$G$2:$T$2,0))</f>
        <v>0</v>
      </c>
      <c r="Q153" s="139">
        <f t="array" ref="Q153">INDEX(F_Inputs!$G$4:$T$381,MATCH(Data!$B153&amp;Data!Q$6,F_Inputs!$A$4:$A$381&amp;F_Inputs!$B$4:$B$381,0),MATCH(Data!$C153,F_Inputs!$G$2:$T$2,0))</f>
        <v>0</v>
      </c>
      <c r="R153" s="139">
        <f t="array" ref="R153">INDEX(F_Inputs!$G$4:$T$381,MATCH(Data!$B153&amp;Data!R$6,F_Inputs!$A$4:$A$381&amp;F_Inputs!$B$4:$B$381,0),MATCH(Data!$C153,F_Inputs!$G$2:$T$2,0))</f>
        <v>0</v>
      </c>
      <c r="S153" s="139">
        <f t="array" ref="S153">INDEX(F_Inputs!$G$4:$T$381,MATCH(Data!$B153&amp;Data!S$6,F_Inputs!$A$4:$A$381&amp;F_Inputs!$B$4:$B$381,0),MATCH(Data!$C153,F_Inputs!$G$2:$T$2,0))</f>
        <v>13.45</v>
      </c>
      <c r="U153" s="139">
        <f t="array" ref="U153">INDEX(F_Inputs!$G$4:$T$381,MATCH(Data!$B153&amp;Data!U$6,F_Inputs!$A$4:$A$381&amp;F_Inputs!$B$4:$B$381,0),MATCH(Data!$C153,F_Inputs!$G$2:$T$2,0))</f>
        <v>242.1</v>
      </c>
      <c r="V153" s="139">
        <f t="array" ref="V153">INDEX(F_Inputs!$G$4:$T$381,MATCH(Data!$B153&amp;Data!V$6,F_Inputs!$A$4:$A$381&amp;F_Inputs!$B$4:$B$381,0),MATCH(Data!$C153,F_Inputs!$G$2:$T$2,0))</f>
        <v>32111</v>
      </c>
      <c r="W153" s="139">
        <f t="array" ref="W153">INDEX(F_Inputs!$G$4:$T$381,MATCH(Data!$B153&amp;Data!W$6,F_Inputs!$A$4:$A$381&amp;F_Inputs!$B$4:$B$381,0),MATCH(Data!$C153,F_Inputs!$G$2:$T$2,0))</f>
        <v>2367.7925834623502</v>
      </c>
    </row>
    <row r="154" spans="1:23" x14ac:dyDescent="0.2">
      <c r="A154" s="141" t="s">
        <v>219</v>
      </c>
      <c r="B154" s="142" t="s">
        <v>34</v>
      </c>
      <c r="C154" s="142" t="s">
        <v>75</v>
      </c>
      <c r="D154" s="139">
        <f t="array" ref="D154">INDEX(F_Inputs!$G$4:$T$381,MATCH(Data!$B154&amp;Data!D$6,F_Inputs!$A$4:$A$381&amp;F_Inputs!$B$4:$B$381,0),MATCH(Data!$C154,F_Inputs!$G$2:$T$2,0))</f>
        <v>0</v>
      </c>
      <c r="E154" s="139">
        <f t="array" ref="E154">INDEX(F_Inputs!$G$4:$T$381,MATCH(Data!$B154&amp;Data!E$6,F_Inputs!$A$4:$A$381&amp;F_Inputs!$B$4:$B$381,0),MATCH(Data!$C154,F_Inputs!$G$2:$T$2,0))</f>
        <v>6.3E-2</v>
      </c>
      <c r="F154" s="139">
        <f t="array" ref="F154">INDEX(F_Inputs!$G$4:$T$381,MATCH(Data!$B154&amp;Data!F$6,F_Inputs!$A$4:$A$381&amp;F_Inputs!$B$4:$B$381,0),MATCH(Data!$C154,F_Inputs!$G$2:$T$2,0))</f>
        <v>0</v>
      </c>
      <c r="G154" s="139">
        <f t="array" ref="G154">INDEX(F_Inputs!$G$4:$T$381,MATCH(Data!$B154&amp;Data!G$6,F_Inputs!$A$4:$A$381&amp;F_Inputs!$B$4:$B$381,0),MATCH(Data!$C154,F_Inputs!$G$2:$T$2,0))</f>
        <v>0</v>
      </c>
      <c r="I154" s="139">
        <f t="array" ref="I154">INDEX(F_Inputs!$G$4:$T$381,MATCH(Data!$B154&amp;Data!I$6,F_Inputs!$A$4:$A$381&amp;F_Inputs!$B$4:$B$381,0),MATCH(Data!$C154,F_Inputs!$G$2:$T$2,0))</f>
        <v>0</v>
      </c>
      <c r="J154" s="139">
        <f t="array" ref="J154">INDEX(F_Inputs!$G$4:$T$381,MATCH(Data!$B154&amp;Data!J$6,F_Inputs!$A$4:$A$381&amp;F_Inputs!$B$4:$B$381,0),MATCH(Data!$C154,F_Inputs!$G$2:$T$2,0))</f>
        <v>0</v>
      </c>
      <c r="K154" s="139">
        <f t="array" ref="K154">INDEX(F_Inputs!$G$4:$T$381,MATCH(Data!$B154&amp;Data!K$6,F_Inputs!$A$4:$A$381&amp;F_Inputs!$B$4:$B$381,0),MATCH(Data!$C154,F_Inputs!$G$2:$T$2,0))</f>
        <v>0</v>
      </c>
      <c r="L154" s="139">
        <f t="array" ref="L154">INDEX(F_Inputs!$G$4:$T$381,MATCH(Data!$B154&amp;Data!L$6,F_Inputs!$A$4:$A$381&amp;F_Inputs!$B$4:$B$381,0),MATCH(Data!$C154,F_Inputs!$G$2:$T$2,0))</f>
        <v>0</v>
      </c>
      <c r="N154" s="139">
        <f t="array" ref="N154">INDEX(F_Inputs!$G$4:$T$381,MATCH(Data!$B154&amp;Data!N$6,F_Inputs!$A$4:$A$381&amp;F_Inputs!$B$4:$B$381,0),MATCH(Data!$C154,F_Inputs!$G$2:$T$2,0))</f>
        <v>393.66</v>
      </c>
      <c r="O154" s="144"/>
      <c r="P154" s="139">
        <f t="array" ref="P154">INDEX(F_Inputs!$G$4:$T$381,MATCH(Data!$B154&amp;Data!P$6,F_Inputs!$A$4:$A$381&amp;F_Inputs!$B$4:$B$381,0),MATCH(Data!$C154,F_Inputs!$G$2:$T$2,0))</f>
        <v>0</v>
      </c>
      <c r="Q154" s="139">
        <f t="array" ref="Q154">INDEX(F_Inputs!$G$4:$T$381,MATCH(Data!$B154&amp;Data!Q$6,F_Inputs!$A$4:$A$381&amp;F_Inputs!$B$4:$B$381,0),MATCH(Data!$C154,F_Inputs!$G$2:$T$2,0))</f>
        <v>2</v>
      </c>
      <c r="R154" s="139">
        <f t="array" ref="R154">INDEX(F_Inputs!$G$4:$T$381,MATCH(Data!$B154&amp;Data!R$6,F_Inputs!$A$4:$A$381&amp;F_Inputs!$B$4:$B$381,0),MATCH(Data!$C154,F_Inputs!$G$2:$T$2,0))</f>
        <v>0</v>
      </c>
      <c r="S154" s="139">
        <f t="array" ref="S154">INDEX(F_Inputs!$G$4:$T$381,MATCH(Data!$B154&amp;Data!S$6,F_Inputs!$A$4:$A$381&amp;F_Inputs!$B$4:$B$381,0),MATCH(Data!$C154,F_Inputs!$G$2:$T$2,0))</f>
        <v>13.45</v>
      </c>
      <c r="U154" s="139">
        <f t="array" ref="U154">INDEX(F_Inputs!$G$4:$T$381,MATCH(Data!$B154&amp;Data!U$6,F_Inputs!$A$4:$A$381&amp;F_Inputs!$B$4:$B$381,0),MATCH(Data!$C154,F_Inputs!$G$2:$T$2,0))</f>
        <v>228.65</v>
      </c>
      <c r="V154" s="139">
        <f t="array" ref="V154">INDEX(F_Inputs!$G$4:$T$381,MATCH(Data!$B154&amp;Data!V$6,F_Inputs!$A$4:$A$381&amp;F_Inputs!$B$4:$B$381,0),MATCH(Data!$C154,F_Inputs!$G$2:$T$2,0))</f>
        <v>32219</v>
      </c>
      <c r="W154" s="139">
        <f t="array" ref="W154">INDEX(F_Inputs!$G$4:$T$381,MATCH(Data!$B154&amp;Data!W$6,F_Inputs!$A$4:$A$381&amp;F_Inputs!$B$4:$B$381,0),MATCH(Data!$C154,F_Inputs!$G$2:$T$2,0))</f>
        <v>2388.2779908109001</v>
      </c>
    </row>
    <row r="155" spans="1:23" x14ac:dyDescent="0.2">
      <c r="A155" s="141" t="s">
        <v>220</v>
      </c>
      <c r="B155" s="142" t="s">
        <v>34</v>
      </c>
      <c r="C155" s="142" t="s">
        <v>76</v>
      </c>
      <c r="D155" s="139">
        <f t="array" ref="D155">INDEX(F_Inputs!$G$4:$T$381,MATCH(Data!$B155&amp;Data!D$6,F_Inputs!$A$4:$A$381&amp;F_Inputs!$B$4:$B$381,0),MATCH(Data!$C155,F_Inputs!$G$2:$T$2,0))</f>
        <v>0</v>
      </c>
      <c r="E155" s="139">
        <f t="array" ref="E155">INDEX(F_Inputs!$G$4:$T$381,MATCH(Data!$B155&amp;Data!E$6,F_Inputs!$A$4:$A$381&amp;F_Inputs!$B$4:$B$381,0),MATCH(Data!$C155,F_Inputs!$G$2:$T$2,0))</f>
        <v>4.7E-2</v>
      </c>
      <c r="F155" s="139">
        <f t="array" ref="F155">INDEX(F_Inputs!$G$4:$T$381,MATCH(Data!$B155&amp;Data!F$6,F_Inputs!$A$4:$A$381&amp;F_Inputs!$B$4:$B$381,0),MATCH(Data!$C155,F_Inputs!$G$2:$T$2,0))</f>
        <v>0</v>
      </c>
      <c r="G155" s="139">
        <f t="array" ref="G155">INDEX(F_Inputs!$G$4:$T$381,MATCH(Data!$B155&amp;Data!G$6,F_Inputs!$A$4:$A$381&amp;F_Inputs!$B$4:$B$381,0),MATCH(Data!$C155,F_Inputs!$G$2:$T$2,0))</f>
        <v>0</v>
      </c>
      <c r="I155" s="139">
        <f t="array" ref="I155">INDEX(F_Inputs!$G$4:$T$381,MATCH(Data!$B155&amp;Data!I$6,F_Inputs!$A$4:$A$381&amp;F_Inputs!$B$4:$B$381,0),MATCH(Data!$C155,F_Inputs!$G$2:$T$2,0))</f>
        <v>0</v>
      </c>
      <c r="J155" s="139">
        <f t="array" ref="J155">INDEX(F_Inputs!$G$4:$T$381,MATCH(Data!$B155&amp;Data!J$6,F_Inputs!$A$4:$A$381&amp;F_Inputs!$B$4:$B$381,0),MATCH(Data!$C155,F_Inputs!$G$2:$T$2,0))</f>
        <v>0</v>
      </c>
      <c r="K155" s="139">
        <f t="array" ref="K155">INDEX(F_Inputs!$G$4:$T$381,MATCH(Data!$B155&amp;Data!K$6,F_Inputs!$A$4:$A$381&amp;F_Inputs!$B$4:$B$381,0),MATCH(Data!$C155,F_Inputs!$G$2:$T$2,0))</f>
        <v>0</v>
      </c>
      <c r="L155" s="139">
        <f t="array" ref="L155">INDEX(F_Inputs!$G$4:$T$381,MATCH(Data!$B155&amp;Data!L$6,F_Inputs!$A$4:$A$381&amp;F_Inputs!$B$4:$B$381,0),MATCH(Data!$C155,F_Inputs!$G$2:$T$2,0))</f>
        <v>0</v>
      </c>
      <c r="N155" s="139">
        <f t="array" ref="N155">INDEX(F_Inputs!$G$4:$T$381,MATCH(Data!$B155&amp;Data!N$6,F_Inputs!$A$4:$A$381&amp;F_Inputs!$B$4:$B$381,0),MATCH(Data!$C155,F_Inputs!$G$2:$T$2,0))</f>
        <v>376.67899999999997</v>
      </c>
      <c r="O155" s="144"/>
      <c r="P155" s="139">
        <f t="array" ref="P155">INDEX(F_Inputs!$G$4:$T$381,MATCH(Data!$B155&amp;Data!P$6,F_Inputs!$A$4:$A$381&amp;F_Inputs!$B$4:$B$381,0),MATCH(Data!$C155,F_Inputs!$G$2:$T$2,0))</f>
        <v>0</v>
      </c>
      <c r="Q155" s="139">
        <f t="array" ref="Q155">INDEX(F_Inputs!$G$4:$T$381,MATCH(Data!$B155&amp;Data!Q$6,F_Inputs!$A$4:$A$381&amp;F_Inputs!$B$4:$B$381,0),MATCH(Data!$C155,F_Inputs!$G$2:$T$2,0))</f>
        <v>0</v>
      </c>
      <c r="R155" s="139">
        <f t="array" ref="R155">INDEX(F_Inputs!$G$4:$T$381,MATCH(Data!$B155&amp;Data!R$6,F_Inputs!$A$4:$A$381&amp;F_Inputs!$B$4:$B$381,0),MATCH(Data!$C155,F_Inputs!$G$2:$T$2,0))</f>
        <v>0</v>
      </c>
      <c r="S155" s="139">
        <f t="array" ref="S155">INDEX(F_Inputs!$G$4:$T$381,MATCH(Data!$B155&amp;Data!S$6,F_Inputs!$A$4:$A$381&amp;F_Inputs!$B$4:$B$381,0),MATCH(Data!$C155,F_Inputs!$G$2:$T$2,0))</f>
        <v>13.45</v>
      </c>
      <c r="U155" s="139">
        <f t="array" ref="U155">INDEX(F_Inputs!$G$4:$T$381,MATCH(Data!$B155&amp;Data!U$6,F_Inputs!$A$4:$A$381&amp;F_Inputs!$B$4:$B$381,0),MATCH(Data!$C155,F_Inputs!$G$2:$T$2,0))</f>
        <v>215.2</v>
      </c>
      <c r="V155" s="139">
        <f t="array" ref="V155">INDEX(F_Inputs!$G$4:$T$381,MATCH(Data!$B155&amp;Data!V$6,F_Inputs!$A$4:$A$381&amp;F_Inputs!$B$4:$B$381,0),MATCH(Data!$C155,F_Inputs!$G$2:$T$2,0))</f>
        <v>32328</v>
      </c>
      <c r="W155" s="139">
        <f t="array" ref="W155">INDEX(F_Inputs!$G$4:$T$381,MATCH(Data!$B155&amp;Data!W$6,F_Inputs!$A$4:$A$381&amp;F_Inputs!$B$4:$B$381,0),MATCH(Data!$C155,F_Inputs!$G$2:$T$2,0))</f>
        <v>2408.72737654704</v>
      </c>
    </row>
    <row r="156" spans="1:23" x14ac:dyDescent="0.2">
      <c r="A156" s="141" t="s">
        <v>221</v>
      </c>
      <c r="B156" s="142" t="s">
        <v>34</v>
      </c>
      <c r="C156" s="142" t="s">
        <v>24</v>
      </c>
      <c r="D156" s="139">
        <f t="array" ref="D156">INDEX(F_Inputs!$G$4:$T$381,MATCH(Data!$B156&amp;Data!D$6,F_Inputs!$A$4:$A$381&amp;F_Inputs!$B$4:$B$381,0),MATCH(Data!$C156,F_Inputs!$G$2:$T$2,0))</f>
        <v>0</v>
      </c>
      <c r="E156" s="139">
        <f t="array" ref="E156">INDEX(F_Inputs!$G$4:$T$381,MATCH(Data!$B156&amp;Data!E$6,F_Inputs!$A$4:$A$381&amp;F_Inputs!$B$4:$B$381,0),MATCH(Data!$C156,F_Inputs!$G$2:$T$2,0))</f>
        <v>2.1999999999999999E-2</v>
      </c>
      <c r="F156" s="139">
        <f t="array" ref="F156">INDEX(F_Inputs!$G$4:$T$381,MATCH(Data!$B156&amp;Data!F$6,F_Inputs!$A$4:$A$381&amp;F_Inputs!$B$4:$B$381,0),MATCH(Data!$C156,F_Inputs!$G$2:$T$2,0))</f>
        <v>0</v>
      </c>
      <c r="G156" s="139">
        <f t="array" ref="G156">INDEX(F_Inputs!$G$4:$T$381,MATCH(Data!$B156&amp;Data!G$6,F_Inputs!$A$4:$A$381&amp;F_Inputs!$B$4:$B$381,0),MATCH(Data!$C156,F_Inputs!$G$2:$T$2,0))</f>
        <v>0</v>
      </c>
      <c r="I156" s="139">
        <f t="array" ref="I156">INDEX(F_Inputs!$G$4:$T$381,MATCH(Data!$B156&amp;Data!I$6,F_Inputs!$A$4:$A$381&amp;F_Inputs!$B$4:$B$381,0),MATCH(Data!$C156,F_Inputs!$G$2:$T$2,0))</f>
        <v>0</v>
      </c>
      <c r="J156" s="139">
        <f t="array" ref="J156">INDEX(F_Inputs!$G$4:$T$381,MATCH(Data!$B156&amp;Data!J$6,F_Inputs!$A$4:$A$381&amp;F_Inputs!$B$4:$B$381,0),MATCH(Data!$C156,F_Inputs!$G$2:$T$2,0))</f>
        <v>0</v>
      </c>
      <c r="K156" s="139">
        <f t="array" ref="K156">INDEX(F_Inputs!$G$4:$T$381,MATCH(Data!$B156&amp;Data!K$6,F_Inputs!$A$4:$A$381&amp;F_Inputs!$B$4:$B$381,0),MATCH(Data!$C156,F_Inputs!$G$2:$T$2,0))</f>
        <v>0</v>
      </c>
      <c r="L156" s="139">
        <f t="array" ref="L156">INDEX(F_Inputs!$G$4:$T$381,MATCH(Data!$B156&amp;Data!L$6,F_Inputs!$A$4:$A$381&amp;F_Inputs!$B$4:$B$381,0),MATCH(Data!$C156,F_Inputs!$G$2:$T$2,0))</f>
        <v>0</v>
      </c>
      <c r="N156" s="139">
        <f t="array" ref="N156">INDEX(F_Inputs!$G$4:$T$381,MATCH(Data!$B156&amp;Data!N$6,F_Inputs!$A$4:$A$381&amp;F_Inputs!$B$4:$B$381,0),MATCH(Data!$C156,F_Inputs!$G$2:$T$2,0))</f>
        <v>345.66399999999999</v>
      </c>
      <c r="O156" s="144"/>
      <c r="P156" s="139">
        <f t="array" ref="P156">INDEX(F_Inputs!$G$4:$T$381,MATCH(Data!$B156&amp;Data!P$6,F_Inputs!$A$4:$A$381&amp;F_Inputs!$B$4:$B$381,0),MATCH(Data!$C156,F_Inputs!$G$2:$T$2,0))</f>
        <v>0</v>
      </c>
      <c r="Q156" s="139">
        <f t="array" ref="Q156">INDEX(F_Inputs!$G$4:$T$381,MATCH(Data!$B156&amp;Data!Q$6,F_Inputs!$A$4:$A$381&amp;F_Inputs!$B$4:$B$381,0),MATCH(Data!$C156,F_Inputs!$G$2:$T$2,0))</f>
        <v>0</v>
      </c>
      <c r="R156" s="139">
        <f t="array" ref="R156">INDEX(F_Inputs!$G$4:$T$381,MATCH(Data!$B156&amp;Data!R$6,F_Inputs!$A$4:$A$381&amp;F_Inputs!$B$4:$B$381,0),MATCH(Data!$C156,F_Inputs!$G$2:$T$2,0))</f>
        <v>0</v>
      </c>
      <c r="S156" s="139">
        <f t="array" ref="S156">INDEX(F_Inputs!$G$4:$T$381,MATCH(Data!$B156&amp;Data!S$6,F_Inputs!$A$4:$A$381&amp;F_Inputs!$B$4:$B$381,0),MATCH(Data!$C156,F_Inputs!$G$2:$T$2,0))</f>
        <v>13.45</v>
      </c>
      <c r="U156" s="139">
        <f t="array" ref="U156">INDEX(F_Inputs!$G$4:$T$381,MATCH(Data!$B156&amp;Data!U$6,F_Inputs!$A$4:$A$381&amp;F_Inputs!$B$4:$B$381,0),MATCH(Data!$C156,F_Inputs!$G$2:$T$2,0))</f>
        <v>201.75</v>
      </c>
      <c r="V156" s="139">
        <f t="array" ref="V156">INDEX(F_Inputs!$G$4:$T$381,MATCH(Data!$B156&amp;Data!V$6,F_Inputs!$A$4:$A$381&amp;F_Inputs!$B$4:$B$381,0),MATCH(Data!$C156,F_Inputs!$G$2:$T$2,0))</f>
        <v>32436</v>
      </c>
      <c r="W156" s="139">
        <f t="array" ref="W156">INDEX(F_Inputs!$G$4:$T$381,MATCH(Data!$B156&amp;Data!W$6,F_Inputs!$A$4:$A$381&amp;F_Inputs!$B$4:$B$381,0),MATCH(Data!$C156,F_Inputs!$G$2:$T$2,0))</f>
        <v>2429.2194492581002</v>
      </c>
    </row>
    <row r="157" spans="1:23" x14ac:dyDescent="0.2">
      <c r="A157" s="138" t="str">
        <f t="shared" ref="A157" si="8">B157&amp;RIGHT(C157,2)</f>
        <v>AFW12</v>
      </c>
      <c r="B157" s="19" t="s">
        <v>35</v>
      </c>
      <c r="C157" s="143" t="s">
        <v>64</v>
      </c>
      <c r="D157" s="139">
        <f t="array" ref="D157">INDEX(F_Inputs!$G$4:$T$381,MATCH(Data!$B157&amp;Data!D$6,F_Inputs!$A$4:$A$381&amp;F_Inputs!$B$4:$B$381,0),MATCH(Data!$C157,F_Inputs!$G$2:$T$2,0))</f>
        <v>0</v>
      </c>
      <c r="E157" s="139">
        <f t="array" ref="E157">INDEX(F_Inputs!$G$4:$T$381,MATCH(Data!$B157&amp;Data!E$6,F_Inputs!$A$4:$A$381&amp;F_Inputs!$B$4:$B$381,0),MATCH(Data!$C157,F_Inputs!$G$2:$T$2,0))</f>
        <v>0</v>
      </c>
      <c r="F157" s="139">
        <f t="array" ref="F157">INDEX(F_Inputs!$G$4:$T$381,MATCH(Data!$B157&amp;Data!F$6,F_Inputs!$A$4:$A$381&amp;F_Inputs!$B$4:$B$381,0),MATCH(Data!$C157,F_Inputs!$G$2:$T$2,0))</f>
        <v>0</v>
      </c>
      <c r="G157" s="139">
        <f t="array" ref="G157">INDEX(F_Inputs!$G$4:$T$381,MATCH(Data!$B157&amp;Data!G$6,F_Inputs!$A$4:$A$381&amp;F_Inputs!$B$4:$B$381,0),MATCH(Data!$C157,F_Inputs!$G$2:$T$2,0))</f>
        <v>0</v>
      </c>
      <c r="I157" s="139">
        <f t="array" ref="I157">INDEX(F_Inputs!$G$4:$T$381,MATCH(Data!$B157&amp;Data!I$6,F_Inputs!$A$4:$A$381&amp;F_Inputs!$B$4:$B$381,0),MATCH(Data!$C157,F_Inputs!$G$2:$T$2,0))</f>
        <v>0</v>
      </c>
      <c r="J157" s="139">
        <f t="array" ref="J157">INDEX(F_Inputs!$G$4:$T$381,MATCH(Data!$B157&amp;Data!J$6,F_Inputs!$A$4:$A$381&amp;F_Inputs!$B$4:$B$381,0),MATCH(Data!$C157,F_Inputs!$G$2:$T$2,0))</f>
        <v>0</v>
      </c>
      <c r="K157" s="139">
        <f t="array" ref="K157">INDEX(F_Inputs!$G$4:$T$381,MATCH(Data!$B157&amp;Data!K$6,F_Inputs!$A$4:$A$381&amp;F_Inputs!$B$4:$B$381,0),MATCH(Data!$C157,F_Inputs!$G$2:$T$2,0))</f>
        <v>0</v>
      </c>
      <c r="L157" s="139">
        <f t="array" ref="L157">INDEX(F_Inputs!$G$4:$T$381,MATCH(Data!$B157&amp;Data!L$6,F_Inputs!$A$4:$A$381&amp;F_Inputs!$B$4:$B$381,0),MATCH(Data!$C157,F_Inputs!$G$2:$T$2,0))</f>
        <v>0</v>
      </c>
      <c r="N157" s="139">
        <f t="array" ref="N157">INDEX(F_Inputs!$G$4:$T$381,MATCH(Data!$B157&amp;Data!N$6,F_Inputs!$A$4:$A$381&amp;F_Inputs!$B$4:$B$381,0),MATCH(Data!$C157,F_Inputs!$G$2:$T$2,0))</f>
        <v>212.92467844835201</v>
      </c>
      <c r="O157" s="144"/>
      <c r="P157" s="139">
        <f t="array" ref="P157">INDEX(F_Inputs!$G$4:$T$381,MATCH(Data!$B157&amp;Data!P$6,F_Inputs!$A$4:$A$381&amp;F_Inputs!$B$4:$B$381,0),MATCH(Data!$C157,F_Inputs!$G$2:$T$2,0))</f>
        <v>0</v>
      </c>
      <c r="Q157" s="139">
        <f t="array" ref="Q157">INDEX(F_Inputs!$G$4:$T$381,MATCH(Data!$B157&amp;Data!Q$6,F_Inputs!$A$4:$A$381&amp;F_Inputs!$B$4:$B$381,0),MATCH(Data!$C157,F_Inputs!$G$2:$T$2,0))</f>
        <v>0</v>
      </c>
      <c r="R157" s="139">
        <f t="array" ref="R157">INDEX(F_Inputs!$G$4:$T$381,MATCH(Data!$B157&amp;Data!R$6,F_Inputs!$A$4:$A$381&amp;F_Inputs!$B$4:$B$381,0),MATCH(Data!$C157,F_Inputs!$G$2:$T$2,0))</f>
        <v>0</v>
      </c>
      <c r="S157" s="139">
        <f t="array" ref="S157">INDEX(F_Inputs!$G$4:$T$381,MATCH(Data!$B157&amp;Data!S$6,F_Inputs!$A$4:$A$381&amp;F_Inputs!$B$4:$B$381,0),MATCH(Data!$C157,F_Inputs!$G$2:$T$2,0))</f>
        <v>0</v>
      </c>
      <c r="U157" s="139">
        <f t="array" ref="U157">INDEX(F_Inputs!$G$4:$T$381,MATCH(Data!$B157&amp;Data!U$6,F_Inputs!$A$4:$A$381&amp;F_Inputs!$B$4:$B$381,0),MATCH(Data!$C157,F_Inputs!$G$2:$T$2,0))</f>
        <v>0</v>
      </c>
      <c r="V157" s="139">
        <f t="array" ref="V157">INDEX(F_Inputs!$G$4:$T$381,MATCH(Data!$B157&amp;Data!V$6,F_Inputs!$A$4:$A$381&amp;F_Inputs!$B$4:$B$381,0),MATCH(Data!$C157,F_Inputs!$G$2:$T$2,0))</f>
        <v>0</v>
      </c>
      <c r="W157" s="139">
        <f t="array" ref="W157">INDEX(F_Inputs!$G$4:$T$381,MATCH(Data!$B157&amp;Data!W$6,F_Inputs!$A$4:$A$381&amp;F_Inputs!$B$4:$B$381,0),MATCH(Data!$C157,F_Inputs!$G$2:$T$2,0))</f>
        <v>0</v>
      </c>
    </row>
    <row r="158" spans="1:23" x14ac:dyDescent="0.2">
      <c r="A158" s="138" t="str">
        <f>B158&amp;RIGHT(C158,2)</f>
        <v>AFW13</v>
      </c>
      <c r="B158" s="19" t="s">
        <v>35</v>
      </c>
      <c r="C158" s="143" t="s">
        <v>65</v>
      </c>
      <c r="D158" s="139">
        <f t="array" ref="D158">INDEX(F_Inputs!$G$4:$T$381,MATCH(Data!$B158&amp;Data!D$6,F_Inputs!$A$4:$A$381&amp;F_Inputs!$B$4:$B$381,0),MATCH(Data!$C158,F_Inputs!$G$2:$T$2,0))</f>
        <v>0</v>
      </c>
      <c r="E158" s="139">
        <f t="array" ref="E158">INDEX(F_Inputs!$G$4:$T$381,MATCH(Data!$B158&amp;Data!E$6,F_Inputs!$A$4:$A$381&amp;F_Inputs!$B$4:$B$381,0),MATCH(Data!$C158,F_Inputs!$G$2:$T$2,0))</f>
        <v>0</v>
      </c>
      <c r="F158" s="139">
        <f t="array" ref="F158">INDEX(F_Inputs!$G$4:$T$381,MATCH(Data!$B158&amp;Data!F$6,F_Inputs!$A$4:$A$381&amp;F_Inputs!$B$4:$B$381,0),MATCH(Data!$C158,F_Inputs!$G$2:$T$2,0))</f>
        <v>0</v>
      </c>
      <c r="G158" s="139">
        <f t="array" ref="G158">INDEX(F_Inputs!$G$4:$T$381,MATCH(Data!$B158&amp;Data!G$6,F_Inputs!$A$4:$A$381&amp;F_Inputs!$B$4:$B$381,0),MATCH(Data!$C158,F_Inputs!$G$2:$T$2,0))</f>
        <v>5.8375720448662598</v>
      </c>
      <c r="I158" s="139">
        <f t="array" ref="I158">INDEX(F_Inputs!$G$4:$T$381,MATCH(Data!$B158&amp;Data!I$6,F_Inputs!$A$4:$A$381&amp;F_Inputs!$B$4:$B$381,0),MATCH(Data!$C158,F_Inputs!$G$2:$T$2,0))</f>
        <v>0</v>
      </c>
      <c r="J158" s="139">
        <f t="array" ref="J158">INDEX(F_Inputs!$G$4:$T$381,MATCH(Data!$B158&amp;Data!J$6,F_Inputs!$A$4:$A$381&amp;F_Inputs!$B$4:$B$381,0),MATCH(Data!$C158,F_Inputs!$G$2:$T$2,0))</f>
        <v>0</v>
      </c>
      <c r="K158" s="139">
        <f t="array" ref="K158">INDEX(F_Inputs!$G$4:$T$381,MATCH(Data!$B158&amp;Data!K$6,F_Inputs!$A$4:$A$381&amp;F_Inputs!$B$4:$B$381,0),MATCH(Data!$C158,F_Inputs!$G$2:$T$2,0))</f>
        <v>0</v>
      </c>
      <c r="L158" s="139">
        <f t="array" ref="L158">INDEX(F_Inputs!$G$4:$T$381,MATCH(Data!$B158&amp;Data!L$6,F_Inputs!$A$4:$A$381&amp;F_Inputs!$B$4:$B$381,0),MATCH(Data!$C158,F_Inputs!$G$2:$T$2,0))</f>
        <v>0</v>
      </c>
      <c r="N158" s="139">
        <f t="array" ref="N158">INDEX(F_Inputs!$G$4:$T$381,MATCH(Data!$B158&amp;Data!N$6,F_Inputs!$A$4:$A$381&amp;F_Inputs!$B$4:$B$381,0),MATCH(Data!$C158,F_Inputs!$G$2:$T$2,0))</f>
        <v>219.303877998274</v>
      </c>
      <c r="O158" s="144"/>
      <c r="P158" s="139">
        <f t="array" ref="P158">INDEX(F_Inputs!$G$4:$T$381,MATCH(Data!$B158&amp;Data!P$6,F_Inputs!$A$4:$A$381&amp;F_Inputs!$B$4:$B$381,0),MATCH(Data!$C158,F_Inputs!$G$2:$T$2,0))</f>
        <v>0</v>
      </c>
      <c r="Q158" s="139">
        <f t="array" ref="Q158">INDEX(F_Inputs!$G$4:$T$381,MATCH(Data!$B158&amp;Data!Q$6,F_Inputs!$A$4:$A$381&amp;F_Inputs!$B$4:$B$381,0),MATCH(Data!$C158,F_Inputs!$G$2:$T$2,0))</f>
        <v>0</v>
      </c>
      <c r="R158" s="139">
        <f t="array" ref="R158">INDEX(F_Inputs!$G$4:$T$381,MATCH(Data!$B158&amp;Data!R$6,F_Inputs!$A$4:$A$381&amp;F_Inputs!$B$4:$B$381,0),MATCH(Data!$C158,F_Inputs!$G$2:$T$2,0))</f>
        <v>0</v>
      </c>
      <c r="S158" s="139">
        <f t="array" ref="S158">INDEX(F_Inputs!$G$4:$T$381,MATCH(Data!$B158&amp;Data!S$6,F_Inputs!$A$4:$A$381&amp;F_Inputs!$B$4:$B$381,0),MATCH(Data!$C158,F_Inputs!$G$2:$T$2,0))</f>
        <v>0</v>
      </c>
      <c r="U158" s="139">
        <f t="array" ref="U158">INDEX(F_Inputs!$G$4:$T$381,MATCH(Data!$B158&amp;Data!U$6,F_Inputs!$A$4:$A$381&amp;F_Inputs!$B$4:$B$381,0),MATCH(Data!$C158,F_Inputs!$G$2:$T$2,0))</f>
        <v>0</v>
      </c>
      <c r="V158" s="139">
        <f t="array" ref="V158">INDEX(F_Inputs!$G$4:$T$381,MATCH(Data!$B158&amp;Data!V$6,F_Inputs!$A$4:$A$381&amp;F_Inputs!$B$4:$B$381,0),MATCH(Data!$C158,F_Inputs!$G$2:$T$2,0))</f>
        <v>0</v>
      </c>
      <c r="W158" s="139">
        <f t="array" ref="W158">INDEX(F_Inputs!$G$4:$T$381,MATCH(Data!$B158&amp;Data!W$6,F_Inputs!$A$4:$A$381&amp;F_Inputs!$B$4:$B$381,0),MATCH(Data!$C158,F_Inputs!$G$2:$T$2,0))</f>
        <v>0</v>
      </c>
    </row>
    <row r="159" spans="1:23" x14ac:dyDescent="0.2">
      <c r="A159" s="138" t="str">
        <f>B159&amp;RIGHT(C159,2)</f>
        <v>AFW14</v>
      </c>
      <c r="B159" s="19" t="s">
        <v>35</v>
      </c>
      <c r="C159" s="143" t="s">
        <v>66</v>
      </c>
      <c r="D159" s="139">
        <f t="array" ref="D159">INDEX(F_Inputs!$G$4:$T$381,MATCH(Data!$B159&amp;Data!D$6,F_Inputs!$A$4:$A$381&amp;F_Inputs!$B$4:$B$381,0),MATCH(Data!$C159,F_Inputs!$G$2:$T$2,0))</f>
        <v>0</v>
      </c>
      <c r="E159" s="139">
        <f t="array" ref="E159">INDEX(F_Inputs!$G$4:$T$381,MATCH(Data!$B159&amp;Data!E$6,F_Inputs!$A$4:$A$381&amp;F_Inputs!$B$4:$B$381,0),MATCH(Data!$C159,F_Inputs!$G$2:$T$2,0))</f>
        <v>0</v>
      </c>
      <c r="F159" s="139">
        <f t="array" ref="F159">INDEX(F_Inputs!$G$4:$T$381,MATCH(Data!$B159&amp;Data!F$6,F_Inputs!$A$4:$A$381&amp;F_Inputs!$B$4:$B$381,0),MATCH(Data!$C159,F_Inputs!$G$2:$T$2,0))</f>
        <v>0</v>
      </c>
      <c r="G159" s="139">
        <f t="array" ref="G159">INDEX(F_Inputs!$G$4:$T$381,MATCH(Data!$B159&amp;Data!G$6,F_Inputs!$A$4:$A$381&amp;F_Inputs!$B$4:$B$381,0),MATCH(Data!$C159,F_Inputs!$G$2:$T$2,0))</f>
        <v>4.5396610885733599</v>
      </c>
      <c r="I159" s="139">
        <f t="array" ref="I159">INDEX(F_Inputs!$G$4:$T$381,MATCH(Data!$B159&amp;Data!I$6,F_Inputs!$A$4:$A$381&amp;F_Inputs!$B$4:$B$381,0),MATCH(Data!$C159,F_Inputs!$G$2:$T$2,0))</f>
        <v>0</v>
      </c>
      <c r="J159" s="139">
        <f t="array" ref="J159">INDEX(F_Inputs!$G$4:$T$381,MATCH(Data!$B159&amp;Data!J$6,F_Inputs!$A$4:$A$381&amp;F_Inputs!$B$4:$B$381,0),MATCH(Data!$C159,F_Inputs!$G$2:$T$2,0))</f>
        <v>0</v>
      </c>
      <c r="K159" s="139">
        <f t="array" ref="K159">INDEX(F_Inputs!$G$4:$T$381,MATCH(Data!$B159&amp;Data!K$6,F_Inputs!$A$4:$A$381&amp;F_Inputs!$B$4:$B$381,0),MATCH(Data!$C159,F_Inputs!$G$2:$T$2,0))</f>
        <v>0</v>
      </c>
      <c r="L159" s="139">
        <f t="array" ref="L159">INDEX(F_Inputs!$G$4:$T$381,MATCH(Data!$B159&amp;Data!L$6,F_Inputs!$A$4:$A$381&amp;F_Inputs!$B$4:$B$381,0),MATCH(Data!$C159,F_Inputs!$G$2:$T$2,0))</f>
        <v>0</v>
      </c>
      <c r="N159" s="139">
        <f t="array" ref="N159">INDEX(F_Inputs!$G$4:$T$381,MATCH(Data!$B159&amp;Data!N$6,F_Inputs!$A$4:$A$381&amp;F_Inputs!$B$4:$B$381,0),MATCH(Data!$C159,F_Inputs!$G$2:$T$2,0))</f>
        <v>224.10494100743699</v>
      </c>
      <c r="O159" s="144"/>
      <c r="P159" s="139">
        <f t="array" ref="P159">INDEX(F_Inputs!$G$4:$T$381,MATCH(Data!$B159&amp;Data!P$6,F_Inputs!$A$4:$A$381&amp;F_Inputs!$B$4:$B$381,0),MATCH(Data!$C159,F_Inputs!$G$2:$T$2,0))</f>
        <v>0</v>
      </c>
      <c r="Q159" s="139">
        <f t="array" ref="Q159">INDEX(F_Inputs!$G$4:$T$381,MATCH(Data!$B159&amp;Data!Q$6,F_Inputs!$A$4:$A$381&amp;F_Inputs!$B$4:$B$381,0),MATCH(Data!$C159,F_Inputs!$G$2:$T$2,0))</f>
        <v>0</v>
      </c>
      <c r="R159" s="139">
        <f t="array" ref="R159">INDEX(F_Inputs!$G$4:$T$381,MATCH(Data!$B159&amp;Data!R$6,F_Inputs!$A$4:$A$381&amp;F_Inputs!$B$4:$B$381,0),MATCH(Data!$C159,F_Inputs!$G$2:$T$2,0))</f>
        <v>0</v>
      </c>
      <c r="S159" s="139">
        <f t="array" ref="S159">INDEX(F_Inputs!$G$4:$T$381,MATCH(Data!$B159&amp;Data!S$6,F_Inputs!$A$4:$A$381&amp;F_Inputs!$B$4:$B$381,0),MATCH(Data!$C159,F_Inputs!$G$2:$T$2,0))</f>
        <v>0</v>
      </c>
      <c r="U159" s="139">
        <f t="array" ref="U159">INDEX(F_Inputs!$G$4:$T$381,MATCH(Data!$B159&amp;Data!U$6,F_Inputs!$A$4:$A$381&amp;F_Inputs!$B$4:$B$381,0),MATCH(Data!$C159,F_Inputs!$G$2:$T$2,0))</f>
        <v>0</v>
      </c>
      <c r="V159" s="139">
        <f t="array" ref="V159">INDEX(F_Inputs!$G$4:$T$381,MATCH(Data!$B159&amp;Data!V$6,F_Inputs!$A$4:$A$381&amp;F_Inputs!$B$4:$B$381,0),MATCH(Data!$C159,F_Inputs!$G$2:$T$2,0))</f>
        <v>0</v>
      </c>
      <c r="W159" s="139">
        <f t="array" ref="W159">INDEX(F_Inputs!$G$4:$T$381,MATCH(Data!$B159&amp;Data!W$6,F_Inputs!$A$4:$A$381&amp;F_Inputs!$B$4:$B$381,0),MATCH(Data!$C159,F_Inputs!$G$2:$T$2,0))</f>
        <v>0</v>
      </c>
    </row>
    <row r="160" spans="1:23" x14ac:dyDescent="0.2">
      <c r="A160" s="138" t="str">
        <f>B160&amp;RIGHT(C160,2)</f>
        <v>AFW15</v>
      </c>
      <c r="B160" s="19" t="s">
        <v>35</v>
      </c>
      <c r="C160" s="143" t="s">
        <v>67</v>
      </c>
      <c r="D160" s="139">
        <f t="array" ref="D160">INDEX(F_Inputs!$G$4:$T$381,MATCH(Data!$B160&amp;Data!D$6,F_Inputs!$A$4:$A$381&amp;F_Inputs!$B$4:$B$381,0),MATCH(Data!$C160,F_Inputs!$G$2:$T$2,0))</f>
        <v>0</v>
      </c>
      <c r="E160" s="139">
        <f t="array" ref="E160">INDEX(F_Inputs!$G$4:$T$381,MATCH(Data!$B160&amp;Data!E$6,F_Inputs!$A$4:$A$381&amp;F_Inputs!$B$4:$B$381,0),MATCH(Data!$C160,F_Inputs!$G$2:$T$2,0))</f>
        <v>0</v>
      </c>
      <c r="F160" s="139">
        <f t="array" ref="F160">INDEX(F_Inputs!$G$4:$T$381,MATCH(Data!$B160&amp;Data!F$6,F_Inputs!$A$4:$A$381&amp;F_Inputs!$B$4:$B$381,0),MATCH(Data!$C160,F_Inputs!$G$2:$T$2,0))</f>
        <v>0</v>
      </c>
      <c r="G160" s="139">
        <f t="array" ref="G160">INDEX(F_Inputs!$G$4:$T$381,MATCH(Data!$B160&amp;Data!G$6,F_Inputs!$A$4:$A$381&amp;F_Inputs!$B$4:$B$381,0),MATCH(Data!$C160,F_Inputs!$G$2:$T$2,0))</f>
        <v>2.0900810562379898E-2</v>
      </c>
      <c r="I160" s="139">
        <f t="array" ref="I160">INDEX(F_Inputs!$G$4:$T$381,MATCH(Data!$B160&amp;Data!I$6,F_Inputs!$A$4:$A$381&amp;F_Inputs!$B$4:$B$381,0),MATCH(Data!$C160,F_Inputs!$G$2:$T$2,0))</f>
        <v>0</v>
      </c>
      <c r="J160" s="139">
        <f t="array" ref="J160">INDEX(F_Inputs!$G$4:$T$381,MATCH(Data!$B160&amp;Data!J$6,F_Inputs!$A$4:$A$381&amp;F_Inputs!$B$4:$B$381,0),MATCH(Data!$C160,F_Inputs!$G$2:$T$2,0))</f>
        <v>0</v>
      </c>
      <c r="K160" s="139">
        <f t="array" ref="K160">INDEX(F_Inputs!$G$4:$T$381,MATCH(Data!$B160&amp;Data!K$6,F_Inputs!$A$4:$A$381&amp;F_Inputs!$B$4:$B$381,0),MATCH(Data!$C160,F_Inputs!$G$2:$T$2,0))</f>
        <v>0</v>
      </c>
      <c r="L160" s="139">
        <f t="array" ref="L160">INDEX(F_Inputs!$G$4:$T$381,MATCH(Data!$B160&amp;Data!L$6,F_Inputs!$A$4:$A$381&amp;F_Inputs!$B$4:$B$381,0),MATCH(Data!$C160,F_Inputs!$G$2:$T$2,0))</f>
        <v>0</v>
      </c>
      <c r="N160" s="139">
        <f t="array" ref="N160">INDEX(F_Inputs!$G$4:$T$381,MATCH(Data!$B160&amp;Data!N$6,F_Inputs!$A$4:$A$381&amp;F_Inputs!$B$4:$B$381,0),MATCH(Data!$C160,F_Inputs!$G$2:$T$2,0))</f>
        <v>216.45192930559</v>
      </c>
      <c r="O160" s="144"/>
      <c r="P160" s="139">
        <f t="array" ref="P160">INDEX(F_Inputs!$G$4:$T$381,MATCH(Data!$B160&amp;Data!P$6,F_Inputs!$A$4:$A$381&amp;F_Inputs!$B$4:$B$381,0),MATCH(Data!$C160,F_Inputs!$G$2:$T$2,0))</f>
        <v>0</v>
      </c>
      <c r="Q160" s="139">
        <f t="array" ref="Q160">INDEX(F_Inputs!$G$4:$T$381,MATCH(Data!$B160&amp;Data!Q$6,F_Inputs!$A$4:$A$381&amp;F_Inputs!$B$4:$B$381,0),MATCH(Data!$C160,F_Inputs!$G$2:$T$2,0))</f>
        <v>0</v>
      </c>
      <c r="R160" s="139">
        <f t="array" ref="R160">INDEX(F_Inputs!$G$4:$T$381,MATCH(Data!$B160&amp;Data!R$6,F_Inputs!$A$4:$A$381&amp;F_Inputs!$B$4:$B$381,0),MATCH(Data!$C160,F_Inputs!$G$2:$T$2,0))</f>
        <v>0</v>
      </c>
      <c r="S160" s="139">
        <f t="array" ref="S160">INDEX(F_Inputs!$G$4:$T$381,MATCH(Data!$B160&amp;Data!S$6,F_Inputs!$A$4:$A$381&amp;F_Inputs!$B$4:$B$381,0),MATCH(Data!$C160,F_Inputs!$G$2:$T$2,0))</f>
        <v>0</v>
      </c>
      <c r="U160" s="139">
        <f t="array" ref="U160">INDEX(F_Inputs!$G$4:$T$381,MATCH(Data!$B160&amp;Data!U$6,F_Inputs!$A$4:$A$381&amp;F_Inputs!$B$4:$B$381,0),MATCH(Data!$C160,F_Inputs!$G$2:$T$2,0))</f>
        <v>0</v>
      </c>
      <c r="V160" s="139">
        <f t="array" ref="V160">INDEX(F_Inputs!$G$4:$T$381,MATCH(Data!$B160&amp;Data!V$6,F_Inputs!$A$4:$A$381&amp;F_Inputs!$B$4:$B$381,0),MATCH(Data!$C160,F_Inputs!$G$2:$T$2,0))</f>
        <v>0</v>
      </c>
      <c r="W160" s="139">
        <f t="array" ref="W160">INDEX(F_Inputs!$G$4:$T$381,MATCH(Data!$B160&amp;Data!W$6,F_Inputs!$A$4:$A$381&amp;F_Inputs!$B$4:$B$381,0),MATCH(Data!$C160,F_Inputs!$G$2:$T$2,0))</f>
        <v>0</v>
      </c>
    </row>
    <row r="161" spans="1:23" x14ac:dyDescent="0.2">
      <c r="A161" s="138" t="str">
        <f>B161&amp;RIGHT(C161,2)</f>
        <v>AFW16</v>
      </c>
      <c r="B161" s="19" t="s">
        <v>35</v>
      </c>
      <c r="C161" s="143" t="s">
        <v>68</v>
      </c>
      <c r="D161" s="139">
        <f t="array" ref="D161">INDEX(F_Inputs!$G$4:$T$381,MATCH(Data!$B161&amp;Data!D$6,F_Inputs!$A$4:$A$381&amp;F_Inputs!$B$4:$B$381,0),MATCH(Data!$C161,F_Inputs!$G$2:$T$2,0))</f>
        <v>0</v>
      </c>
      <c r="E161" s="139">
        <f t="array" ref="E161">INDEX(F_Inputs!$G$4:$T$381,MATCH(Data!$B161&amp;Data!E$6,F_Inputs!$A$4:$A$381&amp;F_Inputs!$B$4:$B$381,0),MATCH(Data!$C161,F_Inputs!$G$2:$T$2,0))</f>
        <v>0</v>
      </c>
      <c r="F161" s="139">
        <f t="array" ref="F161">INDEX(F_Inputs!$G$4:$T$381,MATCH(Data!$B161&amp;Data!F$6,F_Inputs!$A$4:$A$381&amp;F_Inputs!$B$4:$B$381,0),MATCH(Data!$C161,F_Inputs!$G$2:$T$2,0))</f>
        <v>0</v>
      </c>
      <c r="G161" s="139">
        <f t="array" ref="G161">INDEX(F_Inputs!$G$4:$T$381,MATCH(Data!$B161&amp;Data!G$6,F_Inputs!$A$4:$A$381&amp;F_Inputs!$B$4:$B$381,0),MATCH(Data!$C161,F_Inputs!$G$2:$T$2,0))</f>
        <v>3.9526034941763601</v>
      </c>
      <c r="I161" s="139">
        <f t="array" ref="I161">INDEX(F_Inputs!$G$4:$T$381,MATCH(Data!$B161&amp;Data!I$6,F_Inputs!$A$4:$A$381&amp;F_Inputs!$B$4:$B$381,0),MATCH(Data!$C161,F_Inputs!$G$2:$T$2,0))</f>
        <v>0</v>
      </c>
      <c r="J161" s="139">
        <f t="array" ref="J161">INDEX(F_Inputs!$G$4:$T$381,MATCH(Data!$B161&amp;Data!J$6,F_Inputs!$A$4:$A$381&amp;F_Inputs!$B$4:$B$381,0),MATCH(Data!$C161,F_Inputs!$G$2:$T$2,0))</f>
        <v>0</v>
      </c>
      <c r="K161" s="139">
        <f t="array" ref="K161">INDEX(F_Inputs!$G$4:$T$381,MATCH(Data!$B161&amp;Data!K$6,F_Inputs!$A$4:$A$381&amp;F_Inputs!$B$4:$B$381,0),MATCH(Data!$C161,F_Inputs!$G$2:$T$2,0))</f>
        <v>0</v>
      </c>
      <c r="L161" s="139">
        <f t="array" ref="L161">INDEX(F_Inputs!$G$4:$T$381,MATCH(Data!$B161&amp;Data!L$6,F_Inputs!$A$4:$A$381&amp;F_Inputs!$B$4:$B$381,0),MATCH(Data!$C161,F_Inputs!$G$2:$T$2,0))</f>
        <v>0</v>
      </c>
      <c r="N161" s="139">
        <f t="array" ref="N161">INDEX(F_Inputs!$G$4:$T$381,MATCH(Data!$B161&amp;Data!N$6,F_Inputs!$A$4:$A$381&amp;F_Inputs!$B$4:$B$381,0),MATCH(Data!$C161,F_Inputs!$G$2:$T$2,0))</f>
        <v>237.34660881863601</v>
      </c>
      <c r="O161" s="144"/>
      <c r="P161" s="139">
        <f t="array" ref="P161">INDEX(F_Inputs!$G$4:$T$381,MATCH(Data!$B161&amp;Data!P$6,F_Inputs!$A$4:$A$381&amp;F_Inputs!$B$4:$B$381,0),MATCH(Data!$C161,F_Inputs!$G$2:$T$2,0))</f>
        <v>0</v>
      </c>
      <c r="Q161" s="139">
        <f t="array" ref="Q161">INDEX(F_Inputs!$G$4:$T$381,MATCH(Data!$B161&amp;Data!Q$6,F_Inputs!$A$4:$A$381&amp;F_Inputs!$B$4:$B$381,0),MATCH(Data!$C161,F_Inputs!$G$2:$T$2,0))</f>
        <v>0</v>
      </c>
      <c r="R161" s="139">
        <f t="array" ref="R161">INDEX(F_Inputs!$G$4:$T$381,MATCH(Data!$B161&amp;Data!R$6,F_Inputs!$A$4:$A$381&amp;F_Inputs!$B$4:$B$381,0),MATCH(Data!$C161,F_Inputs!$G$2:$T$2,0))</f>
        <v>0</v>
      </c>
      <c r="S161" s="139">
        <f t="array" ref="S161">INDEX(F_Inputs!$G$4:$T$381,MATCH(Data!$B161&amp;Data!S$6,F_Inputs!$A$4:$A$381&amp;F_Inputs!$B$4:$B$381,0),MATCH(Data!$C161,F_Inputs!$G$2:$T$2,0))</f>
        <v>0</v>
      </c>
      <c r="U161" s="139">
        <f t="array" ref="U161">INDEX(F_Inputs!$G$4:$T$381,MATCH(Data!$B161&amp;Data!U$6,F_Inputs!$A$4:$A$381&amp;F_Inputs!$B$4:$B$381,0),MATCH(Data!$C161,F_Inputs!$G$2:$T$2,0))</f>
        <v>0</v>
      </c>
      <c r="V161" s="139">
        <f t="array" ref="V161">INDEX(F_Inputs!$G$4:$T$381,MATCH(Data!$B161&amp;Data!V$6,F_Inputs!$A$4:$A$381&amp;F_Inputs!$B$4:$B$381,0),MATCH(Data!$C161,F_Inputs!$G$2:$T$2,0))</f>
        <v>0</v>
      </c>
      <c r="W161" s="139">
        <f t="array" ref="W161">INDEX(F_Inputs!$G$4:$T$381,MATCH(Data!$B161&amp;Data!W$6,F_Inputs!$A$4:$A$381&amp;F_Inputs!$B$4:$B$381,0),MATCH(Data!$C161,F_Inputs!$G$2:$T$2,0))</f>
        <v>0</v>
      </c>
    </row>
    <row r="162" spans="1:23" x14ac:dyDescent="0.2">
      <c r="A162" s="138" t="str">
        <f>B162&amp;RIGHT(C162,2)</f>
        <v>AFW17</v>
      </c>
      <c r="B162" s="19" t="s">
        <v>35</v>
      </c>
      <c r="C162" s="143" t="s">
        <v>69</v>
      </c>
      <c r="D162" s="139">
        <f t="array" ref="D162">INDEX(F_Inputs!$G$4:$T$381,MATCH(Data!$B162&amp;Data!D$6,F_Inputs!$A$4:$A$381&amp;F_Inputs!$B$4:$B$381,0),MATCH(Data!$C162,F_Inputs!$G$2:$T$2,0))</f>
        <v>0</v>
      </c>
      <c r="E162" s="139">
        <f t="array" ref="E162">INDEX(F_Inputs!$G$4:$T$381,MATCH(Data!$B162&amp;Data!E$6,F_Inputs!$A$4:$A$381&amp;F_Inputs!$B$4:$B$381,0),MATCH(Data!$C162,F_Inputs!$G$2:$T$2,0))</f>
        <v>0</v>
      </c>
      <c r="F162" s="139">
        <f t="array" ref="F162">INDEX(F_Inputs!$G$4:$T$381,MATCH(Data!$B162&amp;Data!F$6,F_Inputs!$A$4:$A$381&amp;F_Inputs!$B$4:$B$381,0),MATCH(Data!$C162,F_Inputs!$G$2:$T$2,0))</f>
        <v>1.52514698399672</v>
      </c>
      <c r="G162" s="139">
        <f t="array" ref="G162">INDEX(F_Inputs!$G$4:$T$381,MATCH(Data!$B162&amp;Data!G$6,F_Inputs!$A$4:$A$381&amp;F_Inputs!$B$4:$B$381,0),MATCH(Data!$C162,F_Inputs!$G$2:$T$2,0))</f>
        <v>2.12863717685679</v>
      </c>
      <c r="I162" s="139">
        <f t="array" ref="I162">INDEX(F_Inputs!$G$4:$T$381,MATCH(Data!$B162&amp;Data!I$6,F_Inputs!$A$4:$A$381&amp;F_Inputs!$B$4:$B$381,0),MATCH(Data!$C162,F_Inputs!$G$2:$T$2,0))</f>
        <v>0</v>
      </c>
      <c r="J162" s="139">
        <f t="array" ref="J162">INDEX(F_Inputs!$G$4:$T$381,MATCH(Data!$B162&amp;Data!J$6,F_Inputs!$A$4:$A$381&amp;F_Inputs!$B$4:$B$381,0),MATCH(Data!$C162,F_Inputs!$G$2:$T$2,0))</f>
        <v>0</v>
      </c>
      <c r="K162" s="139">
        <f t="array" ref="K162">INDEX(F_Inputs!$G$4:$T$381,MATCH(Data!$B162&amp;Data!K$6,F_Inputs!$A$4:$A$381&amp;F_Inputs!$B$4:$B$381,0),MATCH(Data!$C162,F_Inputs!$G$2:$T$2,0))</f>
        <v>0</v>
      </c>
      <c r="L162" s="139">
        <f t="array" ref="L162">INDEX(F_Inputs!$G$4:$T$381,MATCH(Data!$B162&amp;Data!L$6,F_Inputs!$A$4:$A$381&amp;F_Inputs!$B$4:$B$381,0),MATCH(Data!$C162,F_Inputs!$G$2:$T$2,0))</f>
        <v>0</v>
      </c>
      <c r="N162" s="139">
        <f t="array" ref="N162">INDEX(F_Inputs!$G$4:$T$381,MATCH(Data!$B162&amp;Data!N$6,F_Inputs!$A$4:$A$381&amp;F_Inputs!$B$4:$B$381,0),MATCH(Data!$C162,F_Inputs!$G$2:$T$2,0))</f>
        <v>275.80733426343897</v>
      </c>
      <c r="O162" s="144"/>
      <c r="P162" s="139">
        <f t="array" ref="P162">INDEX(F_Inputs!$G$4:$T$381,MATCH(Data!$B162&amp;Data!P$6,F_Inputs!$A$4:$A$381&amp;F_Inputs!$B$4:$B$381,0),MATCH(Data!$C162,F_Inputs!$G$2:$T$2,0))</f>
        <v>0</v>
      </c>
      <c r="Q162" s="139">
        <f t="array" ref="Q162">INDEX(F_Inputs!$G$4:$T$381,MATCH(Data!$B162&amp;Data!Q$6,F_Inputs!$A$4:$A$381&amp;F_Inputs!$B$4:$B$381,0),MATCH(Data!$C162,F_Inputs!$G$2:$T$2,0))</f>
        <v>0</v>
      </c>
      <c r="R162" s="139">
        <f t="array" ref="R162">INDEX(F_Inputs!$G$4:$T$381,MATCH(Data!$B162&amp;Data!R$6,F_Inputs!$A$4:$A$381&amp;F_Inputs!$B$4:$B$381,0),MATCH(Data!$C162,F_Inputs!$G$2:$T$2,0))</f>
        <v>0</v>
      </c>
      <c r="S162" s="139">
        <f t="array" ref="S162">INDEX(F_Inputs!$G$4:$T$381,MATCH(Data!$B162&amp;Data!S$6,F_Inputs!$A$4:$A$381&amp;F_Inputs!$B$4:$B$381,0),MATCH(Data!$C162,F_Inputs!$G$2:$T$2,0))</f>
        <v>0</v>
      </c>
      <c r="U162" s="139">
        <f t="array" ref="U162">INDEX(F_Inputs!$G$4:$T$381,MATCH(Data!$B162&amp;Data!U$6,F_Inputs!$A$4:$A$381&amp;F_Inputs!$B$4:$B$381,0),MATCH(Data!$C162,F_Inputs!$G$2:$T$2,0))</f>
        <v>0</v>
      </c>
      <c r="V162" s="139">
        <f t="array" ref="V162">INDEX(F_Inputs!$G$4:$T$381,MATCH(Data!$B162&amp;Data!V$6,F_Inputs!$A$4:$A$381&amp;F_Inputs!$B$4:$B$381,0),MATCH(Data!$C162,F_Inputs!$G$2:$T$2,0))</f>
        <v>0</v>
      </c>
      <c r="W162" s="139">
        <f t="array" ref="W162">INDEX(F_Inputs!$G$4:$T$381,MATCH(Data!$B162&amp;Data!W$6,F_Inputs!$A$4:$A$381&amp;F_Inputs!$B$4:$B$381,0),MATCH(Data!$C162,F_Inputs!$G$2:$T$2,0))</f>
        <v>0</v>
      </c>
    </row>
    <row r="163" spans="1:23" x14ac:dyDescent="0.2">
      <c r="A163" s="141" t="s">
        <v>222</v>
      </c>
      <c r="B163" s="142" t="s">
        <v>35</v>
      </c>
      <c r="C163" s="142" t="s">
        <v>70</v>
      </c>
      <c r="D163" s="139">
        <f t="array" ref="D163">INDEX(F_Inputs!$G$4:$T$381,MATCH(Data!$B163&amp;Data!D$6,F_Inputs!$A$4:$A$381&amp;F_Inputs!$B$4:$B$381,0),MATCH(Data!$C163,F_Inputs!$G$2:$T$2,0))</f>
        <v>1.1950000000000001</v>
      </c>
      <c r="E163" s="139">
        <f t="array" ref="E163">INDEX(F_Inputs!$G$4:$T$381,MATCH(Data!$B163&amp;Data!E$6,F_Inputs!$A$4:$A$381&amp;F_Inputs!$B$4:$B$381,0),MATCH(Data!$C163,F_Inputs!$G$2:$T$2,0))</f>
        <v>0.72199999999999998</v>
      </c>
      <c r="F163" s="139">
        <f t="array" ref="F163">INDEX(F_Inputs!$G$4:$T$381,MATCH(Data!$B163&amp;Data!F$6,F_Inputs!$A$4:$A$381&amp;F_Inputs!$B$4:$B$381,0),MATCH(Data!$C163,F_Inputs!$G$2:$T$2,0))</f>
        <v>0</v>
      </c>
      <c r="G163" s="139">
        <f t="array" ref="G163">INDEX(F_Inputs!$G$4:$T$381,MATCH(Data!$B163&amp;Data!G$6,F_Inputs!$A$4:$A$381&amp;F_Inputs!$B$4:$B$381,0),MATCH(Data!$C163,F_Inputs!$G$2:$T$2,0))</f>
        <v>0</v>
      </c>
      <c r="I163" s="139">
        <f t="array" ref="I163">INDEX(F_Inputs!$G$4:$T$381,MATCH(Data!$B163&amp;Data!I$6,F_Inputs!$A$4:$A$381&amp;F_Inputs!$B$4:$B$381,0),MATCH(Data!$C163,F_Inputs!$G$2:$T$2,0))</f>
        <v>0</v>
      </c>
      <c r="J163" s="139">
        <f t="array" ref="J163">INDEX(F_Inputs!$G$4:$T$381,MATCH(Data!$B163&amp;Data!J$6,F_Inputs!$A$4:$A$381&amp;F_Inputs!$B$4:$B$381,0),MATCH(Data!$C163,F_Inputs!$G$2:$T$2,0))</f>
        <v>0</v>
      </c>
      <c r="K163" s="139">
        <f t="array" ref="K163">INDEX(F_Inputs!$G$4:$T$381,MATCH(Data!$B163&amp;Data!K$6,F_Inputs!$A$4:$A$381&amp;F_Inputs!$B$4:$B$381,0),MATCH(Data!$C163,F_Inputs!$G$2:$T$2,0))</f>
        <v>0</v>
      </c>
      <c r="L163" s="139">
        <f t="array" ref="L163">INDEX(F_Inputs!$G$4:$T$381,MATCH(Data!$B163&amp;Data!L$6,F_Inputs!$A$4:$A$381&amp;F_Inputs!$B$4:$B$381,0),MATCH(Data!$C163,F_Inputs!$G$2:$T$2,0))</f>
        <v>4.6479999999999997</v>
      </c>
      <c r="N163" s="139">
        <f t="array" ref="N163">INDEX(F_Inputs!$G$4:$T$381,MATCH(Data!$B163&amp;Data!N$6,F_Inputs!$A$4:$A$381&amp;F_Inputs!$B$4:$B$381,0),MATCH(Data!$C163,F_Inputs!$G$2:$T$2,0))</f>
        <v>255.57824310006501</v>
      </c>
      <c r="O163" s="144"/>
      <c r="P163" s="139">
        <f t="array" ref="P163">INDEX(F_Inputs!$G$4:$T$381,MATCH(Data!$B163&amp;Data!P$6,F_Inputs!$A$4:$A$381&amp;F_Inputs!$B$4:$B$381,0),MATCH(Data!$C163,F_Inputs!$G$2:$T$2,0))</f>
        <v>5</v>
      </c>
      <c r="Q163" s="139">
        <f t="array" ref="Q163">INDEX(F_Inputs!$G$4:$T$381,MATCH(Data!$B163&amp;Data!Q$6,F_Inputs!$A$4:$A$381&amp;F_Inputs!$B$4:$B$381,0),MATCH(Data!$C163,F_Inputs!$G$2:$T$2,0))</f>
        <v>5</v>
      </c>
      <c r="R163" s="139">
        <f t="array" ref="R163">INDEX(F_Inputs!$G$4:$T$381,MATCH(Data!$B163&amp;Data!R$6,F_Inputs!$A$4:$A$381&amp;F_Inputs!$B$4:$B$381,0),MATCH(Data!$C163,F_Inputs!$G$2:$T$2,0))</f>
        <v>29.643767700386501</v>
      </c>
      <c r="S163" s="139">
        <f t="array" ref="S163">INDEX(F_Inputs!$G$4:$T$381,MATCH(Data!$B163&amp;Data!S$6,F_Inputs!$A$4:$A$381&amp;F_Inputs!$B$4:$B$381,0),MATCH(Data!$C163,F_Inputs!$G$2:$T$2,0))</f>
        <v>29.643767700386501</v>
      </c>
      <c r="U163" s="139">
        <f t="array" ref="U163">INDEX(F_Inputs!$G$4:$T$381,MATCH(Data!$B163&amp;Data!U$6,F_Inputs!$A$4:$A$381&amp;F_Inputs!$B$4:$B$381,0),MATCH(Data!$C163,F_Inputs!$G$2:$T$2,0))</f>
        <v>172.67</v>
      </c>
      <c r="V163" s="139">
        <f t="array" ref="V163">INDEX(F_Inputs!$G$4:$T$381,MATCH(Data!$B163&amp;Data!V$6,F_Inputs!$A$4:$A$381&amp;F_Inputs!$B$4:$B$381,0),MATCH(Data!$C163,F_Inputs!$G$2:$T$2,0))</f>
        <v>16682.8</v>
      </c>
      <c r="W163" s="139">
        <f t="array" ref="W163">INDEX(F_Inputs!$G$4:$T$381,MATCH(Data!$B163&amp;Data!W$6,F_Inputs!$A$4:$A$381&amp;F_Inputs!$B$4:$B$381,0),MATCH(Data!$C163,F_Inputs!$G$2:$T$2,0))</f>
        <v>1500.1959999999999</v>
      </c>
    </row>
    <row r="164" spans="1:23" x14ac:dyDescent="0.2">
      <c r="A164" s="141" t="s">
        <v>223</v>
      </c>
      <c r="B164" s="142" t="s">
        <v>35</v>
      </c>
      <c r="C164" s="142" t="s">
        <v>71</v>
      </c>
      <c r="D164" s="139">
        <f t="array" ref="D164">INDEX(F_Inputs!$G$4:$T$381,MATCH(Data!$B164&amp;Data!D$6,F_Inputs!$A$4:$A$381&amp;F_Inputs!$B$4:$B$381,0),MATCH(Data!$C164,F_Inputs!$G$2:$T$2,0))</f>
        <v>0</v>
      </c>
      <c r="E164" s="139">
        <f t="array" ref="E164">INDEX(F_Inputs!$G$4:$T$381,MATCH(Data!$B164&amp;Data!E$6,F_Inputs!$A$4:$A$381&amp;F_Inputs!$B$4:$B$381,0),MATCH(Data!$C164,F_Inputs!$G$2:$T$2,0))</f>
        <v>0</v>
      </c>
      <c r="F164" s="139">
        <f t="array" ref="F164">INDEX(F_Inputs!$G$4:$T$381,MATCH(Data!$B164&amp;Data!F$6,F_Inputs!$A$4:$A$381&amp;F_Inputs!$B$4:$B$381,0),MATCH(Data!$C164,F_Inputs!$G$2:$T$2,0))</f>
        <v>0</v>
      </c>
      <c r="G164" s="139">
        <f t="array" ref="G164">INDEX(F_Inputs!$G$4:$T$381,MATCH(Data!$B164&amp;Data!G$6,F_Inputs!$A$4:$A$381&amp;F_Inputs!$B$4:$B$381,0),MATCH(Data!$C164,F_Inputs!$G$2:$T$2,0))</f>
        <v>0</v>
      </c>
      <c r="I164" s="139">
        <f t="array" ref="I164">INDEX(F_Inputs!$G$4:$T$381,MATCH(Data!$B164&amp;Data!I$6,F_Inputs!$A$4:$A$381&amp;F_Inputs!$B$4:$B$381,0),MATCH(Data!$C164,F_Inputs!$G$2:$T$2,0))</f>
        <v>0</v>
      </c>
      <c r="J164" s="139">
        <f t="array" ref="J164">INDEX(F_Inputs!$G$4:$T$381,MATCH(Data!$B164&amp;Data!J$6,F_Inputs!$A$4:$A$381&amp;F_Inputs!$B$4:$B$381,0),MATCH(Data!$C164,F_Inputs!$G$2:$T$2,0))</f>
        <v>0</v>
      </c>
      <c r="K164" s="139">
        <f t="array" ref="K164">INDEX(F_Inputs!$G$4:$T$381,MATCH(Data!$B164&amp;Data!K$6,F_Inputs!$A$4:$A$381&amp;F_Inputs!$B$4:$B$381,0),MATCH(Data!$C164,F_Inputs!$G$2:$T$2,0))</f>
        <v>0</v>
      </c>
      <c r="L164" s="139">
        <f t="array" ref="L164">INDEX(F_Inputs!$G$4:$T$381,MATCH(Data!$B164&amp;Data!L$6,F_Inputs!$A$4:$A$381&amp;F_Inputs!$B$4:$B$381,0),MATCH(Data!$C164,F_Inputs!$G$2:$T$2,0))</f>
        <v>3.1840000000000002</v>
      </c>
      <c r="N164" s="139">
        <f t="array" ref="N164">INDEX(F_Inputs!$G$4:$T$381,MATCH(Data!$B164&amp;Data!N$6,F_Inputs!$A$4:$A$381&amp;F_Inputs!$B$4:$B$381,0),MATCH(Data!$C164,F_Inputs!$G$2:$T$2,0))</f>
        <v>240.09070357975099</v>
      </c>
      <c r="O164" s="144"/>
      <c r="P164" s="139">
        <f t="array" ref="P164">INDEX(F_Inputs!$G$4:$T$381,MATCH(Data!$B164&amp;Data!P$6,F_Inputs!$A$4:$A$381&amp;F_Inputs!$B$4:$B$381,0),MATCH(Data!$C164,F_Inputs!$G$2:$T$2,0))</f>
        <v>8.6300000000000008</v>
      </c>
      <c r="Q164" s="139">
        <f t="array" ref="Q164">INDEX(F_Inputs!$G$4:$T$381,MATCH(Data!$B164&amp;Data!Q$6,F_Inputs!$A$4:$A$381&amp;F_Inputs!$B$4:$B$381,0),MATCH(Data!$C164,F_Inputs!$G$2:$T$2,0))</f>
        <v>1.97</v>
      </c>
      <c r="R164" s="139">
        <f t="array" ref="R164">INDEX(F_Inputs!$G$4:$T$381,MATCH(Data!$B164&amp;Data!R$6,F_Inputs!$A$4:$A$381&amp;F_Inputs!$B$4:$B$381,0),MATCH(Data!$C164,F_Inputs!$G$2:$T$2,0))</f>
        <v>15.6794494719</v>
      </c>
      <c r="S164" s="139">
        <f t="array" ref="S164">INDEX(F_Inputs!$G$4:$T$381,MATCH(Data!$B164&amp;Data!S$6,F_Inputs!$A$4:$A$381&amp;F_Inputs!$B$4:$B$381,0),MATCH(Data!$C164,F_Inputs!$G$2:$T$2,0))</f>
        <v>15.6794494719</v>
      </c>
      <c r="U164" s="139">
        <f t="array" ref="U164">INDEX(F_Inputs!$G$4:$T$381,MATCH(Data!$B164&amp;Data!U$6,F_Inputs!$A$4:$A$381&amp;F_Inputs!$B$4:$B$381,0),MATCH(Data!$C164,F_Inputs!$G$2:$T$2,0))</f>
        <v>200.61</v>
      </c>
      <c r="V164" s="139">
        <f t="array" ref="V164">INDEX(F_Inputs!$G$4:$T$381,MATCH(Data!$B164&amp;Data!V$6,F_Inputs!$A$4:$A$381&amp;F_Inputs!$B$4:$B$381,0),MATCH(Data!$C164,F_Inputs!$G$2:$T$2,0))</f>
        <v>16729.8</v>
      </c>
      <c r="W164" s="139">
        <f t="array" ref="W164">INDEX(F_Inputs!$G$4:$T$381,MATCH(Data!$B164&amp;Data!W$6,F_Inputs!$A$4:$A$381&amp;F_Inputs!$B$4:$B$381,0),MATCH(Data!$C164,F_Inputs!$G$2:$T$2,0))</f>
        <v>1517.019</v>
      </c>
    </row>
    <row r="165" spans="1:23" x14ac:dyDescent="0.2">
      <c r="A165" s="141" t="s">
        <v>224</v>
      </c>
      <c r="B165" s="142" t="s">
        <v>35</v>
      </c>
      <c r="C165" s="142" t="s">
        <v>72</v>
      </c>
      <c r="D165" s="139">
        <f t="array" ref="D165">INDEX(F_Inputs!$G$4:$T$381,MATCH(Data!$B165&amp;Data!D$6,F_Inputs!$A$4:$A$381&amp;F_Inputs!$B$4:$B$381,0),MATCH(Data!$C165,F_Inputs!$G$2:$T$2,0))</f>
        <v>0</v>
      </c>
      <c r="E165" s="139">
        <f t="array" ref="E165">INDEX(F_Inputs!$G$4:$T$381,MATCH(Data!$B165&amp;Data!E$6,F_Inputs!$A$4:$A$381&amp;F_Inputs!$B$4:$B$381,0),MATCH(Data!$C165,F_Inputs!$G$2:$T$2,0))</f>
        <v>0</v>
      </c>
      <c r="F165" s="139">
        <f t="array" ref="F165">INDEX(F_Inputs!$G$4:$T$381,MATCH(Data!$B165&amp;Data!F$6,F_Inputs!$A$4:$A$381&amp;F_Inputs!$B$4:$B$381,0),MATCH(Data!$C165,F_Inputs!$G$2:$T$2,0))</f>
        <v>0</v>
      </c>
      <c r="G165" s="139">
        <f t="array" ref="G165">INDEX(F_Inputs!$G$4:$T$381,MATCH(Data!$B165&amp;Data!G$6,F_Inputs!$A$4:$A$381&amp;F_Inputs!$B$4:$B$381,0),MATCH(Data!$C165,F_Inputs!$G$2:$T$2,0))</f>
        <v>0</v>
      </c>
      <c r="I165" s="139">
        <f t="array" ref="I165">INDEX(F_Inputs!$G$4:$T$381,MATCH(Data!$B165&amp;Data!I$6,F_Inputs!$A$4:$A$381&amp;F_Inputs!$B$4:$B$381,0),MATCH(Data!$C165,F_Inputs!$G$2:$T$2,0))</f>
        <v>0</v>
      </c>
      <c r="J165" s="139">
        <f t="array" ref="J165">INDEX(F_Inputs!$G$4:$T$381,MATCH(Data!$B165&amp;Data!J$6,F_Inputs!$A$4:$A$381&amp;F_Inputs!$B$4:$B$381,0),MATCH(Data!$C165,F_Inputs!$G$2:$T$2,0))</f>
        <v>0</v>
      </c>
      <c r="K165" s="139">
        <f t="array" ref="K165">INDEX(F_Inputs!$G$4:$T$381,MATCH(Data!$B165&amp;Data!K$6,F_Inputs!$A$4:$A$381&amp;F_Inputs!$B$4:$B$381,0),MATCH(Data!$C165,F_Inputs!$G$2:$T$2,0))</f>
        <v>0</v>
      </c>
      <c r="L165" s="139">
        <f t="array" ref="L165">INDEX(F_Inputs!$G$4:$T$381,MATCH(Data!$B165&amp;Data!L$6,F_Inputs!$A$4:$A$381&amp;F_Inputs!$B$4:$B$381,0),MATCH(Data!$C165,F_Inputs!$G$2:$T$2,0))</f>
        <v>2.879</v>
      </c>
      <c r="N165" s="139">
        <f t="array" ref="N165">INDEX(F_Inputs!$G$4:$T$381,MATCH(Data!$B165&amp;Data!N$6,F_Inputs!$A$4:$A$381&amp;F_Inputs!$B$4:$B$381,0),MATCH(Data!$C165,F_Inputs!$G$2:$T$2,0))</f>
        <v>226.31729095707001</v>
      </c>
      <c r="O165" s="144"/>
      <c r="P165" s="139">
        <f t="array" ref="P165">INDEX(F_Inputs!$G$4:$T$381,MATCH(Data!$B165&amp;Data!P$6,F_Inputs!$A$4:$A$381&amp;F_Inputs!$B$4:$B$381,0),MATCH(Data!$C165,F_Inputs!$G$2:$T$2,0))</f>
        <v>0</v>
      </c>
      <c r="Q165" s="139">
        <f t="array" ref="Q165">INDEX(F_Inputs!$G$4:$T$381,MATCH(Data!$B165&amp;Data!Q$6,F_Inputs!$A$4:$A$381&amp;F_Inputs!$B$4:$B$381,0),MATCH(Data!$C165,F_Inputs!$G$2:$T$2,0))</f>
        <v>0</v>
      </c>
      <c r="R165" s="139">
        <f t="array" ref="R165">INDEX(F_Inputs!$G$4:$T$381,MATCH(Data!$B165&amp;Data!R$6,F_Inputs!$A$4:$A$381&amp;F_Inputs!$B$4:$B$381,0),MATCH(Data!$C165,F_Inputs!$G$2:$T$2,0))</f>
        <v>12.3054314715</v>
      </c>
      <c r="S165" s="139">
        <f t="array" ref="S165">INDEX(F_Inputs!$G$4:$T$381,MATCH(Data!$B165&amp;Data!S$6,F_Inputs!$A$4:$A$381&amp;F_Inputs!$B$4:$B$381,0),MATCH(Data!$C165,F_Inputs!$G$2:$T$2,0))</f>
        <v>12.3054314715</v>
      </c>
      <c r="U165" s="139">
        <f t="array" ref="U165">INDEX(F_Inputs!$G$4:$T$381,MATCH(Data!$B165&amp;Data!U$6,F_Inputs!$A$4:$A$381&amp;F_Inputs!$B$4:$B$381,0),MATCH(Data!$C165,F_Inputs!$G$2:$T$2,0))</f>
        <v>158.08000000000001</v>
      </c>
      <c r="V165" s="139">
        <f t="array" ref="V165">INDEX(F_Inputs!$G$4:$T$381,MATCH(Data!$B165&amp;Data!V$6,F_Inputs!$A$4:$A$381&amp;F_Inputs!$B$4:$B$381,0),MATCH(Data!$C165,F_Inputs!$G$2:$T$2,0))</f>
        <v>16769.8</v>
      </c>
      <c r="W165" s="139">
        <f t="array" ref="W165">INDEX(F_Inputs!$G$4:$T$381,MATCH(Data!$B165&amp;Data!W$6,F_Inputs!$A$4:$A$381&amp;F_Inputs!$B$4:$B$381,0),MATCH(Data!$C165,F_Inputs!$G$2:$T$2,0))</f>
        <v>1526.126</v>
      </c>
    </row>
    <row r="166" spans="1:23" x14ac:dyDescent="0.2">
      <c r="A166" s="141" t="s">
        <v>225</v>
      </c>
      <c r="B166" s="142" t="s">
        <v>35</v>
      </c>
      <c r="C166" s="142" t="s">
        <v>73</v>
      </c>
      <c r="D166" s="139">
        <f t="array" ref="D166">INDEX(F_Inputs!$G$4:$T$381,MATCH(Data!$B166&amp;Data!D$6,F_Inputs!$A$4:$A$381&amp;F_Inputs!$B$4:$B$381,0),MATCH(Data!$C166,F_Inputs!$G$2:$T$2,0))</f>
        <v>0</v>
      </c>
      <c r="E166" s="139">
        <f t="array" ref="E166">INDEX(F_Inputs!$G$4:$T$381,MATCH(Data!$B166&amp;Data!E$6,F_Inputs!$A$4:$A$381&amp;F_Inputs!$B$4:$B$381,0),MATCH(Data!$C166,F_Inputs!$G$2:$T$2,0))</f>
        <v>12.7246502838666</v>
      </c>
      <c r="F166" s="139">
        <f t="array" ref="F166">INDEX(F_Inputs!$G$4:$T$381,MATCH(Data!$B166&amp;Data!F$6,F_Inputs!$A$4:$A$381&amp;F_Inputs!$B$4:$B$381,0),MATCH(Data!$C166,F_Inputs!$G$2:$T$2,0))</f>
        <v>0</v>
      </c>
      <c r="G166" s="139">
        <f t="array" ref="G166">INDEX(F_Inputs!$G$4:$T$381,MATCH(Data!$B166&amp;Data!G$6,F_Inputs!$A$4:$A$381&amp;F_Inputs!$B$4:$B$381,0),MATCH(Data!$C166,F_Inputs!$G$2:$T$2,0))</f>
        <v>9.08</v>
      </c>
      <c r="I166" s="139">
        <f t="array" ref="I166">INDEX(F_Inputs!$G$4:$T$381,MATCH(Data!$B166&amp;Data!I$6,F_Inputs!$A$4:$A$381&amp;F_Inputs!$B$4:$B$381,0),MATCH(Data!$C166,F_Inputs!$G$2:$T$2,0))</f>
        <v>0</v>
      </c>
      <c r="J166" s="139">
        <f t="array" ref="J166">INDEX(F_Inputs!$G$4:$T$381,MATCH(Data!$B166&amp;Data!J$6,F_Inputs!$A$4:$A$381&amp;F_Inputs!$B$4:$B$381,0),MATCH(Data!$C166,F_Inputs!$G$2:$T$2,0))</f>
        <v>0</v>
      </c>
      <c r="K166" s="139">
        <f t="array" ref="K166">INDEX(F_Inputs!$G$4:$T$381,MATCH(Data!$B166&amp;Data!K$6,F_Inputs!$A$4:$A$381&amp;F_Inputs!$B$4:$B$381,0),MATCH(Data!$C166,F_Inputs!$G$2:$T$2,0))</f>
        <v>0</v>
      </c>
      <c r="L166" s="139">
        <f t="array" ref="L166">INDEX(F_Inputs!$G$4:$T$381,MATCH(Data!$B166&amp;Data!L$6,F_Inputs!$A$4:$A$381&amp;F_Inputs!$B$4:$B$381,0),MATCH(Data!$C166,F_Inputs!$G$2:$T$2,0))</f>
        <v>10.337</v>
      </c>
      <c r="N166" s="139">
        <f t="array" ref="N166">INDEX(F_Inputs!$G$4:$T$381,MATCH(Data!$B166&amp;Data!N$6,F_Inputs!$A$4:$A$381&amp;F_Inputs!$B$4:$B$381,0),MATCH(Data!$C166,F_Inputs!$G$2:$T$2,0))</f>
        <v>287.60997389362899</v>
      </c>
      <c r="O166" s="144"/>
      <c r="P166" s="139">
        <f t="array" ref="P166">INDEX(F_Inputs!$G$4:$T$381,MATCH(Data!$B166&amp;Data!P$6,F_Inputs!$A$4:$A$381&amp;F_Inputs!$B$4:$B$381,0),MATCH(Data!$C166,F_Inputs!$G$2:$T$2,0))</f>
        <v>2.0699999999999998</v>
      </c>
      <c r="Q166" s="139">
        <f t="array" ref="Q166">INDEX(F_Inputs!$G$4:$T$381,MATCH(Data!$B166&amp;Data!Q$6,F_Inputs!$A$4:$A$381&amp;F_Inputs!$B$4:$B$381,0),MATCH(Data!$C166,F_Inputs!$G$2:$T$2,0))</f>
        <v>2.0699999999999998</v>
      </c>
      <c r="R166" s="139">
        <f t="array" ref="R166">INDEX(F_Inputs!$G$4:$T$381,MATCH(Data!$B166&amp;Data!R$6,F_Inputs!$A$4:$A$381&amp;F_Inputs!$B$4:$B$381,0),MATCH(Data!$C166,F_Inputs!$G$2:$T$2,0))</f>
        <v>11.979289041942099</v>
      </c>
      <c r="S166" s="139">
        <f t="array" ref="S166">INDEX(F_Inputs!$G$4:$T$381,MATCH(Data!$B166&amp;Data!S$6,F_Inputs!$A$4:$A$381&amp;F_Inputs!$B$4:$B$381,0),MATCH(Data!$C166,F_Inputs!$G$2:$T$2,0))</f>
        <v>11.979289041942099</v>
      </c>
      <c r="U166" s="139">
        <f t="array" ref="U166">INDEX(F_Inputs!$G$4:$T$381,MATCH(Data!$B166&amp;Data!U$6,F_Inputs!$A$4:$A$381&amp;F_Inputs!$B$4:$B$381,0),MATCH(Data!$C166,F_Inputs!$G$2:$T$2,0))</f>
        <v>150.91</v>
      </c>
      <c r="V166" s="139">
        <f t="array" ref="V166">INDEX(F_Inputs!$G$4:$T$381,MATCH(Data!$B166&amp;Data!V$6,F_Inputs!$A$4:$A$381&amp;F_Inputs!$B$4:$B$381,0),MATCH(Data!$C166,F_Inputs!$G$2:$T$2,0))</f>
        <v>16818.8</v>
      </c>
      <c r="W166" s="139">
        <f t="array" ref="W166">INDEX(F_Inputs!$G$4:$T$381,MATCH(Data!$B166&amp;Data!W$6,F_Inputs!$A$4:$A$381&amp;F_Inputs!$B$4:$B$381,0),MATCH(Data!$C166,F_Inputs!$G$2:$T$2,0))</f>
        <v>1546.7360000000001</v>
      </c>
    </row>
    <row r="167" spans="1:23" x14ac:dyDescent="0.2">
      <c r="A167" s="141" t="s">
        <v>226</v>
      </c>
      <c r="B167" s="142" t="s">
        <v>35</v>
      </c>
      <c r="C167" s="142" t="s">
        <v>74</v>
      </c>
      <c r="D167" s="139">
        <f t="array" ref="D167">INDEX(F_Inputs!$G$4:$T$381,MATCH(Data!$B167&amp;Data!D$6,F_Inputs!$A$4:$A$381&amp;F_Inputs!$B$4:$B$381,0),MATCH(Data!$C167,F_Inputs!$G$2:$T$2,0))</f>
        <v>0</v>
      </c>
      <c r="E167" s="139">
        <f t="array" ref="E167">INDEX(F_Inputs!$G$4:$T$381,MATCH(Data!$B167&amp;Data!E$6,F_Inputs!$A$4:$A$381&amp;F_Inputs!$B$4:$B$381,0),MATCH(Data!$C167,F_Inputs!$G$2:$T$2,0))</f>
        <v>15.209147751048301</v>
      </c>
      <c r="F167" s="139">
        <f t="array" ref="F167">INDEX(F_Inputs!$G$4:$T$381,MATCH(Data!$B167&amp;Data!F$6,F_Inputs!$A$4:$A$381&amp;F_Inputs!$B$4:$B$381,0),MATCH(Data!$C167,F_Inputs!$G$2:$T$2,0))</f>
        <v>0</v>
      </c>
      <c r="G167" s="139">
        <f t="array" ref="G167">INDEX(F_Inputs!$G$4:$T$381,MATCH(Data!$B167&amp;Data!G$6,F_Inputs!$A$4:$A$381&amp;F_Inputs!$B$4:$B$381,0),MATCH(Data!$C167,F_Inputs!$G$2:$T$2,0))</f>
        <v>9.08</v>
      </c>
      <c r="I167" s="139">
        <f t="array" ref="I167">INDEX(F_Inputs!$G$4:$T$381,MATCH(Data!$B167&amp;Data!I$6,F_Inputs!$A$4:$A$381&amp;F_Inputs!$B$4:$B$381,0),MATCH(Data!$C167,F_Inputs!$G$2:$T$2,0))</f>
        <v>0</v>
      </c>
      <c r="J167" s="139">
        <f t="array" ref="J167">INDEX(F_Inputs!$G$4:$T$381,MATCH(Data!$B167&amp;Data!J$6,F_Inputs!$A$4:$A$381&amp;F_Inputs!$B$4:$B$381,0),MATCH(Data!$C167,F_Inputs!$G$2:$T$2,0))</f>
        <v>0</v>
      </c>
      <c r="K167" s="139">
        <f t="array" ref="K167">INDEX(F_Inputs!$G$4:$T$381,MATCH(Data!$B167&amp;Data!K$6,F_Inputs!$A$4:$A$381&amp;F_Inputs!$B$4:$B$381,0),MATCH(Data!$C167,F_Inputs!$G$2:$T$2,0))</f>
        <v>0</v>
      </c>
      <c r="L167" s="139">
        <f t="array" ref="L167">INDEX(F_Inputs!$G$4:$T$381,MATCH(Data!$B167&amp;Data!L$6,F_Inputs!$A$4:$A$381&amp;F_Inputs!$B$4:$B$381,0),MATCH(Data!$C167,F_Inputs!$G$2:$T$2,0))</f>
        <v>10.337</v>
      </c>
      <c r="N167" s="139">
        <f t="array" ref="N167">INDEX(F_Inputs!$G$4:$T$381,MATCH(Data!$B167&amp;Data!N$6,F_Inputs!$A$4:$A$381&amp;F_Inputs!$B$4:$B$381,0),MATCH(Data!$C167,F_Inputs!$G$2:$T$2,0))</f>
        <v>290.69152534758302</v>
      </c>
      <c r="O167" s="144"/>
      <c r="P167" s="139">
        <f t="array" ref="P167">INDEX(F_Inputs!$G$4:$T$381,MATCH(Data!$B167&amp;Data!P$6,F_Inputs!$A$4:$A$381&amp;F_Inputs!$B$4:$B$381,0),MATCH(Data!$C167,F_Inputs!$G$2:$T$2,0))</f>
        <v>0.14000000000000001</v>
      </c>
      <c r="Q167" s="139">
        <f t="array" ref="Q167">INDEX(F_Inputs!$G$4:$T$381,MATCH(Data!$B167&amp;Data!Q$6,F_Inputs!$A$4:$A$381&amp;F_Inputs!$B$4:$B$381,0),MATCH(Data!$C167,F_Inputs!$G$2:$T$2,0))</f>
        <v>0.14000000000000001</v>
      </c>
      <c r="R167" s="139">
        <f t="array" ref="R167">INDEX(F_Inputs!$G$4:$T$381,MATCH(Data!$B167&amp;Data!R$6,F_Inputs!$A$4:$A$381&amp;F_Inputs!$B$4:$B$381,0),MATCH(Data!$C167,F_Inputs!$G$2:$T$2,0))</f>
        <v>11.3284683759421</v>
      </c>
      <c r="S167" s="139">
        <f t="array" ref="S167">INDEX(F_Inputs!$G$4:$T$381,MATCH(Data!$B167&amp;Data!S$6,F_Inputs!$A$4:$A$381&amp;F_Inputs!$B$4:$B$381,0),MATCH(Data!$C167,F_Inputs!$G$2:$T$2,0))</f>
        <v>11.3284683759421</v>
      </c>
      <c r="U167" s="139">
        <f t="array" ref="U167">INDEX(F_Inputs!$G$4:$T$381,MATCH(Data!$B167&amp;Data!U$6,F_Inputs!$A$4:$A$381&amp;F_Inputs!$B$4:$B$381,0),MATCH(Data!$C167,F_Inputs!$G$2:$T$2,0))</f>
        <v>146.47</v>
      </c>
      <c r="V167" s="139">
        <f t="array" ref="V167">INDEX(F_Inputs!$G$4:$T$381,MATCH(Data!$B167&amp;Data!V$6,F_Inputs!$A$4:$A$381&amp;F_Inputs!$B$4:$B$381,0),MATCH(Data!$C167,F_Inputs!$G$2:$T$2,0))</f>
        <v>16867.8</v>
      </c>
      <c r="W167" s="139">
        <f t="array" ref="W167">INDEX(F_Inputs!$G$4:$T$381,MATCH(Data!$B167&amp;Data!W$6,F_Inputs!$A$4:$A$381&amp;F_Inputs!$B$4:$B$381,0),MATCH(Data!$C167,F_Inputs!$G$2:$T$2,0))</f>
        <v>1563.1669999999999</v>
      </c>
    </row>
    <row r="168" spans="1:23" x14ac:dyDescent="0.2">
      <c r="A168" s="141" t="s">
        <v>227</v>
      </c>
      <c r="B168" s="142" t="s">
        <v>35</v>
      </c>
      <c r="C168" s="142" t="s">
        <v>75</v>
      </c>
      <c r="D168" s="139">
        <f t="array" ref="D168">INDEX(F_Inputs!$G$4:$T$381,MATCH(Data!$B168&amp;Data!D$6,F_Inputs!$A$4:$A$381&amp;F_Inputs!$B$4:$B$381,0),MATCH(Data!$C168,F_Inputs!$G$2:$T$2,0))</f>
        <v>0</v>
      </c>
      <c r="E168" s="139">
        <f t="array" ref="E168">INDEX(F_Inputs!$G$4:$T$381,MATCH(Data!$B168&amp;Data!E$6,F_Inputs!$A$4:$A$381&amp;F_Inputs!$B$4:$B$381,0),MATCH(Data!$C168,F_Inputs!$G$2:$T$2,0))</f>
        <v>7.3027462368216698</v>
      </c>
      <c r="F168" s="139">
        <f t="array" ref="F168">INDEX(F_Inputs!$G$4:$T$381,MATCH(Data!$B168&amp;Data!F$6,F_Inputs!$A$4:$A$381&amp;F_Inputs!$B$4:$B$381,0),MATCH(Data!$C168,F_Inputs!$G$2:$T$2,0))</f>
        <v>0</v>
      </c>
      <c r="G168" s="139">
        <f t="array" ref="G168">INDEX(F_Inputs!$G$4:$T$381,MATCH(Data!$B168&amp;Data!G$6,F_Inputs!$A$4:$A$381&amp;F_Inputs!$B$4:$B$381,0),MATCH(Data!$C168,F_Inputs!$G$2:$T$2,0))</f>
        <v>9.08</v>
      </c>
      <c r="I168" s="139">
        <f t="array" ref="I168">INDEX(F_Inputs!$G$4:$T$381,MATCH(Data!$B168&amp;Data!I$6,F_Inputs!$A$4:$A$381&amp;F_Inputs!$B$4:$B$381,0),MATCH(Data!$C168,F_Inputs!$G$2:$T$2,0))</f>
        <v>0</v>
      </c>
      <c r="J168" s="139">
        <f t="array" ref="J168">INDEX(F_Inputs!$G$4:$T$381,MATCH(Data!$B168&amp;Data!J$6,F_Inputs!$A$4:$A$381&amp;F_Inputs!$B$4:$B$381,0),MATCH(Data!$C168,F_Inputs!$G$2:$T$2,0))</f>
        <v>0</v>
      </c>
      <c r="K168" s="139">
        <f t="array" ref="K168">INDEX(F_Inputs!$G$4:$T$381,MATCH(Data!$B168&amp;Data!K$6,F_Inputs!$A$4:$A$381&amp;F_Inputs!$B$4:$B$381,0),MATCH(Data!$C168,F_Inputs!$G$2:$T$2,0))</f>
        <v>0</v>
      </c>
      <c r="L168" s="139">
        <f t="array" ref="L168">INDEX(F_Inputs!$G$4:$T$381,MATCH(Data!$B168&amp;Data!L$6,F_Inputs!$A$4:$A$381&amp;F_Inputs!$B$4:$B$381,0),MATCH(Data!$C168,F_Inputs!$G$2:$T$2,0))</f>
        <v>10.337</v>
      </c>
      <c r="N168" s="139">
        <f t="array" ref="N168">INDEX(F_Inputs!$G$4:$T$381,MATCH(Data!$B168&amp;Data!N$6,F_Inputs!$A$4:$A$381&amp;F_Inputs!$B$4:$B$381,0),MATCH(Data!$C168,F_Inputs!$G$2:$T$2,0))</f>
        <v>281.39118041484301</v>
      </c>
      <c r="O168" s="144"/>
      <c r="P168" s="139">
        <f t="array" ref="P168">INDEX(F_Inputs!$G$4:$T$381,MATCH(Data!$B168&amp;Data!P$6,F_Inputs!$A$4:$A$381&amp;F_Inputs!$B$4:$B$381,0),MATCH(Data!$C168,F_Inputs!$G$2:$T$2,0))</f>
        <v>1.32</v>
      </c>
      <c r="Q168" s="139">
        <f t="array" ref="Q168">INDEX(F_Inputs!$G$4:$T$381,MATCH(Data!$B168&amp;Data!Q$6,F_Inputs!$A$4:$A$381&amp;F_Inputs!$B$4:$B$381,0),MATCH(Data!$C168,F_Inputs!$G$2:$T$2,0))</f>
        <v>0.97</v>
      </c>
      <c r="R168" s="139">
        <f t="array" ref="R168">INDEX(F_Inputs!$G$4:$T$381,MATCH(Data!$B168&amp;Data!R$6,F_Inputs!$A$4:$A$381&amp;F_Inputs!$B$4:$B$381,0),MATCH(Data!$C168,F_Inputs!$G$2:$T$2,0))</f>
        <v>11.8766442319421</v>
      </c>
      <c r="S168" s="139">
        <f t="array" ref="S168">INDEX(F_Inputs!$G$4:$T$381,MATCH(Data!$B168&amp;Data!S$6,F_Inputs!$A$4:$A$381&amp;F_Inputs!$B$4:$B$381,0),MATCH(Data!$C168,F_Inputs!$G$2:$T$2,0))</f>
        <v>11.8766442319421</v>
      </c>
      <c r="U168" s="139">
        <f t="array" ref="U168">INDEX(F_Inputs!$G$4:$T$381,MATCH(Data!$B168&amp;Data!U$6,F_Inputs!$A$4:$A$381&amp;F_Inputs!$B$4:$B$381,0),MATCH(Data!$C168,F_Inputs!$G$2:$T$2,0))</f>
        <v>141.88999999999999</v>
      </c>
      <c r="V168" s="139">
        <f t="array" ref="V168">INDEX(F_Inputs!$G$4:$T$381,MATCH(Data!$B168&amp;Data!V$6,F_Inputs!$A$4:$A$381&amp;F_Inputs!$B$4:$B$381,0),MATCH(Data!$C168,F_Inputs!$G$2:$T$2,0))</f>
        <v>16916.8</v>
      </c>
      <c r="W168" s="139">
        <f t="array" ref="W168">INDEX(F_Inputs!$G$4:$T$381,MATCH(Data!$B168&amp;Data!W$6,F_Inputs!$A$4:$A$381&amp;F_Inputs!$B$4:$B$381,0),MATCH(Data!$C168,F_Inputs!$G$2:$T$2,0))</f>
        <v>1579.6089999999999</v>
      </c>
    </row>
    <row r="169" spans="1:23" x14ac:dyDescent="0.2">
      <c r="A169" s="141" t="s">
        <v>228</v>
      </c>
      <c r="B169" s="142" t="s">
        <v>35</v>
      </c>
      <c r="C169" s="142" t="s">
        <v>76</v>
      </c>
      <c r="D169" s="139">
        <f t="array" ref="D169">INDEX(F_Inputs!$G$4:$T$381,MATCH(Data!$B169&amp;Data!D$6,F_Inputs!$A$4:$A$381&amp;F_Inputs!$B$4:$B$381,0),MATCH(Data!$C169,F_Inputs!$G$2:$T$2,0))</f>
        <v>0</v>
      </c>
      <c r="E169" s="139">
        <f t="array" ref="E169">INDEX(F_Inputs!$G$4:$T$381,MATCH(Data!$B169&amp;Data!E$6,F_Inputs!$A$4:$A$381&amp;F_Inputs!$B$4:$B$381,0),MATCH(Data!$C169,F_Inputs!$G$2:$T$2,0))</f>
        <v>6.2594906781858102</v>
      </c>
      <c r="F169" s="139">
        <f t="array" ref="F169">INDEX(F_Inputs!$G$4:$T$381,MATCH(Data!$B169&amp;Data!F$6,F_Inputs!$A$4:$A$381&amp;F_Inputs!$B$4:$B$381,0),MATCH(Data!$C169,F_Inputs!$G$2:$T$2,0))</f>
        <v>0</v>
      </c>
      <c r="G169" s="139">
        <f t="array" ref="G169">INDEX(F_Inputs!$G$4:$T$381,MATCH(Data!$B169&amp;Data!G$6,F_Inputs!$A$4:$A$381&amp;F_Inputs!$B$4:$B$381,0),MATCH(Data!$C169,F_Inputs!$G$2:$T$2,0))</f>
        <v>9.08</v>
      </c>
      <c r="I169" s="139">
        <f t="array" ref="I169">INDEX(F_Inputs!$G$4:$T$381,MATCH(Data!$B169&amp;Data!I$6,F_Inputs!$A$4:$A$381&amp;F_Inputs!$B$4:$B$381,0),MATCH(Data!$C169,F_Inputs!$G$2:$T$2,0))</f>
        <v>0</v>
      </c>
      <c r="J169" s="139">
        <f t="array" ref="J169">INDEX(F_Inputs!$G$4:$T$381,MATCH(Data!$B169&amp;Data!J$6,F_Inputs!$A$4:$A$381&amp;F_Inputs!$B$4:$B$381,0),MATCH(Data!$C169,F_Inputs!$G$2:$T$2,0))</f>
        <v>0</v>
      </c>
      <c r="K169" s="139">
        <f t="array" ref="K169">INDEX(F_Inputs!$G$4:$T$381,MATCH(Data!$B169&amp;Data!K$6,F_Inputs!$A$4:$A$381&amp;F_Inputs!$B$4:$B$381,0),MATCH(Data!$C169,F_Inputs!$G$2:$T$2,0))</f>
        <v>0</v>
      </c>
      <c r="L169" s="139">
        <f t="array" ref="L169">INDEX(F_Inputs!$G$4:$T$381,MATCH(Data!$B169&amp;Data!L$6,F_Inputs!$A$4:$A$381&amp;F_Inputs!$B$4:$B$381,0),MATCH(Data!$C169,F_Inputs!$G$2:$T$2,0))</f>
        <v>10.337</v>
      </c>
      <c r="N169" s="139">
        <f t="array" ref="N169">INDEX(F_Inputs!$G$4:$T$381,MATCH(Data!$B169&amp;Data!N$6,F_Inputs!$A$4:$A$381&amp;F_Inputs!$B$4:$B$381,0),MATCH(Data!$C169,F_Inputs!$G$2:$T$2,0))</f>
        <v>264.45966385672398</v>
      </c>
      <c r="O169" s="144"/>
      <c r="P169" s="139">
        <f t="array" ref="P169">INDEX(F_Inputs!$G$4:$T$381,MATCH(Data!$B169&amp;Data!P$6,F_Inputs!$A$4:$A$381&amp;F_Inputs!$B$4:$B$381,0),MATCH(Data!$C169,F_Inputs!$G$2:$T$2,0))</f>
        <v>5</v>
      </c>
      <c r="Q169" s="139">
        <f t="array" ref="Q169">INDEX(F_Inputs!$G$4:$T$381,MATCH(Data!$B169&amp;Data!Q$6,F_Inputs!$A$4:$A$381&amp;F_Inputs!$B$4:$B$381,0),MATCH(Data!$C169,F_Inputs!$G$2:$T$2,0))</f>
        <v>5</v>
      </c>
      <c r="R169" s="139">
        <f t="array" ref="R169">INDEX(F_Inputs!$G$4:$T$381,MATCH(Data!$B169&amp;Data!R$6,F_Inputs!$A$4:$A$381&amp;F_Inputs!$B$4:$B$381,0),MATCH(Data!$C169,F_Inputs!$G$2:$T$2,0))</f>
        <v>14.029746141249699</v>
      </c>
      <c r="S169" s="139">
        <f t="array" ref="S169">INDEX(F_Inputs!$G$4:$T$381,MATCH(Data!$B169&amp;Data!S$6,F_Inputs!$A$4:$A$381&amp;F_Inputs!$B$4:$B$381,0),MATCH(Data!$C169,F_Inputs!$G$2:$T$2,0))</f>
        <v>14.029746141249699</v>
      </c>
      <c r="U169" s="139">
        <f t="array" ref="U169">INDEX(F_Inputs!$G$4:$T$381,MATCH(Data!$B169&amp;Data!U$6,F_Inputs!$A$4:$A$381&amp;F_Inputs!$B$4:$B$381,0),MATCH(Data!$C169,F_Inputs!$G$2:$T$2,0))</f>
        <v>135.38</v>
      </c>
      <c r="V169" s="139">
        <f t="array" ref="V169">INDEX(F_Inputs!$G$4:$T$381,MATCH(Data!$B169&amp;Data!V$6,F_Inputs!$A$4:$A$381&amp;F_Inputs!$B$4:$B$381,0),MATCH(Data!$C169,F_Inputs!$G$2:$T$2,0))</f>
        <v>16978.8</v>
      </c>
      <c r="W169" s="139">
        <f t="array" ref="W169">INDEX(F_Inputs!$G$4:$T$381,MATCH(Data!$B169&amp;Data!W$6,F_Inputs!$A$4:$A$381&amp;F_Inputs!$B$4:$B$381,0),MATCH(Data!$C169,F_Inputs!$G$2:$T$2,0))</f>
        <v>1596.059</v>
      </c>
    </row>
    <row r="170" spans="1:23" x14ac:dyDescent="0.2">
      <c r="A170" s="141" t="s">
        <v>229</v>
      </c>
      <c r="B170" s="142" t="s">
        <v>35</v>
      </c>
      <c r="C170" s="142" t="s">
        <v>24</v>
      </c>
      <c r="D170" s="139">
        <f t="array" ref="D170">INDEX(F_Inputs!$G$4:$T$381,MATCH(Data!$B170&amp;Data!D$6,F_Inputs!$A$4:$A$381&amp;F_Inputs!$B$4:$B$381,0),MATCH(Data!$C170,F_Inputs!$G$2:$T$2,0))</f>
        <v>0</v>
      </c>
      <c r="E170" s="139">
        <f t="array" ref="E170">INDEX(F_Inputs!$G$4:$T$381,MATCH(Data!$B170&amp;Data!E$6,F_Inputs!$A$4:$A$381&amp;F_Inputs!$B$4:$B$381,0),MATCH(Data!$C170,F_Inputs!$G$2:$T$2,0))</f>
        <v>0</v>
      </c>
      <c r="F170" s="139">
        <f t="array" ref="F170">INDEX(F_Inputs!$G$4:$T$381,MATCH(Data!$B170&amp;Data!F$6,F_Inputs!$A$4:$A$381&amp;F_Inputs!$B$4:$B$381,0),MATCH(Data!$C170,F_Inputs!$G$2:$T$2,0))</f>
        <v>0</v>
      </c>
      <c r="G170" s="139">
        <f t="array" ref="G170">INDEX(F_Inputs!$G$4:$T$381,MATCH(Data!$B170&amp;Data!G$6,F_Inputs!$A$4:$A$381&amp;F_Inputs!$B$4:$B$381,0),MATCH(Data!$C170,F_Inputs!$G$2:$T$2,0))</f>
        <v>9.08</v>
      </c>
      <c r="I170" s="139">
        <f t="array" ref="I170">INDEX(F_Inputs!$G$4:$T$381,MATCH(Data!$B170&amp;Data!I$6,F_Inputs!$A$4:$A$381&amp;F_Inputs!$B$4:$B$381,0),MATCH(Data!$C170,F_Inputs!$G$2:$T$2,0))</f>
        <v>0</v>
      </c>
      <c r="J170" s="139">
        <f t="array" ref="J170">INDEX(F_Inputs!$G$4:$T$381,MATCH(Data!$B170&amp;Data!J$6,F_Inputs!$A$4:$A$381&amp;F_Inputs!$B$4:$B$381,0),MATCH(Data!$C170,F_Inputs!$G$2:$T$2,0))</f>
        <v>0</v>
      </c>
      <c r="K170" s="139">
        <f t="array" ref="K170">INDEX(F_Inputs!$G$4:$T$381,MATCH(Data!$B170&amp;Data!K$6,F_Inputs!$A$4:$A$381&amp;F_Inputs!$B$4:$B$381,0),MATCH(Data!$C170,F_Inputs!$G$2:$T$2,0))</f>
        <v>0</v>
      </c>
      <c r="L170" s="139">
        <f t="array" ref="L170">INDEX(F_Inputs!$G$4:$T$381,MATCH(Data!$B170&amp;Data!L$6,F_Inputs!$A$4:$A$381&amp;F_Inputs!$B$4:$B$381,0),MATCH(Data!$C170,F_Inputs!$G$2:$T$2,0))</f>
        <v>10.337</v>
      </c>
      <c r="N170" s="139">
        <f t="array" ref="N170">INDEX(F_Inputs!$G$4:$T$381,MATCH(Data!$B170&amp;Data!N$6,F_Inputs!$A$4:$A$381&amp;F_Inputs!$B$4:$B$381,0),MATCH(Data!$C170,F_Inputs!$G$2:$T$2,0))</f>
        <v>241.87214968152301</v>
      </c>
      <c r="O170" s="144"/>
      <c r="P170" s="139">
        <f t="array" ref="P170">INDEX(F_Inputs!$G$4:$T$381,MATCH(Data!$B170&amp;Data!P$6,F_Inputs!$A$4:$A$381&amp;F_Inputs!$B$4:$B$381,0),MATCH(Data!$C170,F_Inputs!$G$2:$T$2,0))</f>
        <v>0</v>
      </c>
      <c r="Q170" s="139">
        <f t="array" ref="Q170">INDEX(F_Inputs!$G$4:$T$381,MATCH(Data!$B170&amp;Data!Q$6,F_Inputs!$A$4:$A$381&amp;F_Inputs!$B$4:$B$381,0),MATCH(Data!$C170,F_Inputs!$G$2:$T$2,0))</f>
        <v>0</v>
      </c>
      <c r="R170" s="139">
        <f t="array" ref="R170">INDEX(F_Inputs!$G$4:$T$381,MATCH(Data!$B170&amp;Data!R$6,F_Inputs!$A$4:$A$381&amp;F_Inputs!$B$4:$B$381,0),MATCH(Data!$C170,F_Inputs!$G$2:$T$2,0))</f>
        <v>9.7390218386345104</v>
      </c>
      <c r="S170" s="139">
        <f t="array" ref="S170">INDEX(F_Inputs!$G$4:$T$381,MATCH(Data!$B170&amp;Data!S$6,F_Inputs!$A$4:$A$381&amp;F_Inputs!$B$4:$B$381,0),MATCH(Data!$C170,F_Inputs!$G$2:$T$2,0))</f>
        <v>9.7390218386345104</v>
      </c>
      <c r="U170" s="139">
        <f t="array" ref="U170">INDEX(F_Inputs!$G$4:$T$381,MATCH(Data!$B170&amp;Data!U$6,F_Inputs!$A$4:$A$381&amp;F_Inputs!$B$4:$B$381,0),MATCH(Data!$C170,F_Inputs!$G$2:$T$2,0))</f>
        <v>131.84</v>
      </c>
      <c r="V170" s="139">
        <f t="array" ref="V170">INDEX(F_Inputs!$G$4:$T$381,MATCH(Data!$B170&amp;Data!V$6,F_Inputs!$A$4:$A$381&amp;F_Inputs!$B$4:$B$381,0),MATCH(Data!$C170,F_Inputs!$G$2:$T$2,0))</f>
        <v>17028</v>
      </c>
      <c r="W170" s="139">
        <f t="array" ref="W170">INDEX(F_Inputs!$G$4:$T$381,MATCH(Data!$B170&amp;Data!W$6,F_Inputs!$A$4:$A$381&amp;F_Inputs!$B$4:$B$381,0),MATCH(Data!$C170,F_Inputs!$G$2:$T$2,0))</f>
        <v>1612.5170000000001</v>
      </c>
    </row>
    <row r="171" spans="1:23" x14ac:dyDescent="0.2">
      <c r="A171" s="138" t="str">
        <f t="shared" ref="A171" si="9">B171&amp;RIGHT(C171,2)</f>
        <v>BRL12</v>
      </c>
      <c r="B171" s="19" t="s">
        <v>36</v>
      </c>
      <c r="C171" s="143" t="s">
        <v>64</v>
      </c>
      <c r="D171" s="139">
        <f t="array" ref="D171">INDEX(F_Inputs!$G$4:$T$381,MATCH(Data!$B171&amp;Data!D$6,F_Inputs!$A$4:$A$381&amp;F_Inputs!$B$4:$B$381,0),MATCH(Data!$C171,F_Inputs!$G$2:$T$2,0))</f>
        <v>0</v>
      </c>
      <c r="E171" s="139">
        <f t="array" ref="E171">INDEX(F_Inputs!$G$4:$T$381,MATCH(Data!$B171&amp;Data!E$6,F_Inputs!$A$4:$A$381&amp;F_Inputs!$B$4:$B$381,0),MATCH(Data!$C171,F_Inputs!$G$2:$T$2,0))</f>
        <v>0.59120880091897099</v>
      </c>
      <c r="F171" s="139">
        <f t="array" ref="F171">INDEX(F_Inputs!$G$4:$T$381,MATCH(Data!$B171&amp;Data!F$6,F_Inputs!$A$4:$A$381&amp;F_Inputs!$B$4:$B$381,0),MATCH(Data!$C171,F_Inputs!$G$2:$T$2,0))</f>
        <v>0</v>
      </c>
      <c r="G171" s="139">
        <f t="array" ref="G171">INDEX(F_Inputs!$G$4:$T$381,MATCH(Data!$B171&amp;Data!G$6,F_Inputs!$A$4:$A$381&amp;F_Inputs!$B$4:$B$381,0),MATCH(Data!$C171,F_Inputs!$G$2:$T$2,0))</f>
        <v>4.76945268180613</v>
      </c>
      <c r="I171" s="139">
        <f t="array" ref="I171">INDEX(F_Inputs!$G$4:$T$381,MATCH(Data!$B171&amp;Data!I$6,F_Inputs!$A$4:$A$381&amp;F_Inputs!$B$4:$B$381,0),MATCH(Data!$C171,F_Inputs!$G$2:$T$2,0))</f>
        <v>0</v>
      </c>
      <c r="J171" s="139">
        <f t="array" ref="J171">INDEX(F_Inputs!$G$4:$T$381,MATCH(Data!$B171&amp;Data!J$6,F_Inputs!$A$4:$A$381&amp;F_Inputs!$B$4:$B$381,0),MATCH(Data!$C171,F_Inputs!$G$2:$T$2,0))</f>
        <v>0</v>
      </c>
      <c r="K171" s="139">
        <f t="array" ref="K171">INDEX(F_Inputs!$G$4:$T$381,MATCH(Data!$B171&amp;Data!K$6,F_Inputs!$A$4:$A$381&amp;F_Inputs!$B$4:$B$381,0),MATCH(Data!$C171,F_Inputs!$G$2:$T$2,0))</f>
        <v>0</v>
      </c>
      <c r="L171" s="139">
        <f t="array" ref="L171">INDEX(F_Inputs!$G$4:$T$381,MATCH(Data!$B171&amp;Data!L$6,F_Inputs!$A$4:$A$381&amp;F_Inputs!$B$4:$B$381,0),MATCH(Data!$C171,F_Inputs!$G$2:$T$2,0))</f>
        <v>0</v>
      </c>
      <c r="N171" s="139">
        <f t="array" ref="N171">INDEX(F_Inputs!$G$4:$T$381,MATCH(Data!$B171&amp;Data!N$6,F_Inputs!$A$4:$A$381&amp;F_Inputs!$B$4:$B$381,0),MATCH(Data!$C171,F_Inputs!$G$2:$T$2,0))</f>
        <v>106.85518918441301</v>
      </c>
      <c r="O171" s="144"/>
      <c r="P171" s="139">
        <f t="array" ref="P171">INDEX(F_Inputs!$G$4:$T$381,MATCH(Data!$B171&amp;Data!P$6,F_Inputs!$A$4:$A$381&amp;F_Inputs!$B$4:$B$381,0),MATCH(Data!$C171,F_Inputs!$G$2:$T$2,0))</f>
        <v>0</v>
      </c>
      <c r="Q171" s="139">
        <f t="array" ref="Q171">INDEX(F_Inputs!$G$4:$T$381,MATCH(Data!$B171&amp;Data!Q$6,F_Inputs!$A$4:$A$381&amp;F_Inputs!$B$4:$B$381,0),MATCH(Data!$C171,F_Inputs!$G$2:$T$2,0))</f>
        <v>0</v>
      </c>
      <c r="R171" s="139">
        <f t="array" ref="R171">INDEX(F_Inputs!$G$4:$T$381,MATCH(Data!$B171&amp;Data!R$6,F_Inputs!$A$4:$A$381&amp;F_Inputs!$B$4:$B$381,0),MATCH(Data!$C171,F_Inputs!$G$2:$T$2,0))</f>
        <v>0</v>
      </c>
      <c r="S171" s="139">
        <f t="array" ref="S171">INDEX(F_Inputs!$G$4:$T$381,MATCH(Data!$B171&amp;Data!S$6,F_Inputs!$A$4:$A$381&amp;F_Inputs!$B$4:$B$381,0),MATCH(Data!$C171,F_Inputs!$G$2:$T$2,0))</f>
        <v>0</v>
      </c>
      <c r="U171" s="139">
        <f t="array" ref="U171">INDEX(F_Inputs!$G$4:$T$381,MATCH(Data!$B171&amp;Data!U$6,F_Inputs!$A$4:$A$381&amp;F_Inputs!$B$4:$B$381,0),MATCH(Data!$C171,F_Inputs!$G$2:$T$2,0))</f>
        <v>0</v>
      </c>
      <c r="V171" s="139">
        <f t="array" ref="V171">INDEX(F_Inputs!$G$4:$T$381,MATCH(Data!$B171&amp;Data!V$6,F_Inputs!$A$4:$A$381&amp;F_Inputs!$B$4:$B$381,0),MATCH(Data!$C171,F_Inputs!$G$2:$T$2,0))</f>
        <v>0</v>
      </c>
      <c r="W171" s="139">
        <f t="array" ref="W171">INDEX(F_Inputs!$G$4:$T$381,MATCH(Data!$B171&amp;Data!W$6,F_Inputs!$A$4:$A$381&amp;F_Inputs!$B$4:$B$381,0),MATCH(Data!$C171,F_Inputs!$G$2:$T$2,0))</f>
        <v>0</v>
      </c>
    </row>
    <row r="172" spans="1:23" x14ac:dyDescent="0.2">
      <c r="A172" s="138" t="str">
        <f>B172&amp;RIGHT(C172,2)</f>
        <v>BRL13</v>
      </c>
      <c r="B172" s="19" t="s">
        <v>36</v>
      </c>
      <c r="C172" s="143" t="s">
        <v>65</v>
      </c>
      <c r="D172" s="139">
        <f t="array" ref="D172">INDEX(F_Inputs!$G$4:$T$381,MATCH(Data!$B172&amp;Data!D$6,F_Inputs!$A$4:$A$381&amp;F_Inputs!$B$4:$B$381,0),MATCH(Data!$C172,F_Inputs!$G$2:$T$2,0))</f>
        <v>0</v>
      </c>
      <c r="E172" s="139">
        <f t="array" ref="E172">INDEX(F_Inputs!$G$4:$T$381,MATCH(Data!$B172&amp;Data!E$6,F_Inputs!$A$4:$A$381&amp;F_Inputs!$B$4:$B$381,0),MATCH(Data!$C172,F_Inputs!$G$2:$T$2,0))</f>
        <v>2.41811440897325</v>
      </c>
      <c r="F172" s="139">
        <f t="array" ref="F172">INDEX(F_Inputs!$G$4:$T$381,MATCH(Data!$B172&amp;Data!F$6,F_Inputs!$A$4:$A$381&amp;F_Inputs!$B$4:$B$381,0),MATCH(Data!$C172,F_Inputs!$G$2:$T$2,0))</f>
        <v>0</v>
      </c>
      <c r="G172" s="139">
        <f t="array" ref="G172">INDEX(F_Inputs!$G$4:$T$381,MATCH(Data!$B172&amp;Data!G$6,F_Inputs!$A$4:$A$381&amp;F_Inputs!$B$4:$B$381,0),MATCH(Data!$C172,F_Inputs!$G$2:$T$2,0))</f>
        <v>5.5268103537532296</v>
      </c>
      <c r="I172" s="139">
        <f t="array" ref="I172">INDEX(F_Inputs!$G$4:$T$381,MATCH(Data!$B172&amp;Data!I$6,F_Inputs!$A$4:$A$381&amp;F_Inputs!$B$4:$B$381,0),MATCH(Data!$C172,F_Inputs!$G$2:$T$2,0))</f>
        <v>0</v>
      </c>
      <c r="J172" s="139">
        <f t="array" ref="J172">INDEX(F_Inputs!$G$4:$T$381,MATCH(Data!$B172&amp;Data!J$6,F_Inputs!$A$4:$A$381&amp;F_Inputs!$B$4:$B$381,0),MATCH(Data!$C172,F_Inputs!$G$2:$T$2,0))</f>
        <v>0</v>
      </c>
      <c r="K172" s="139">
        <f t="array" ref="K172">INDEX(F_Inputs!$G$4:$T$381,MATCH(Data!$B172&amp;Data!K$6,F_Inputs!$A$4:$A$381&amp;F_Inputs!$B$4:$B$381,0),MATCH(Data!$C172,F_Inputs!$G$2:$T$2,0))</f>
        <v>0</v>
      </c>
      <c r="L172" s="139">
        <f t="array" ref="L172">INDEX(F_Inputs!$G$4:$T$381,MATCH(Data!$B172&amp;Data!L$6,F_Inputs!$A$4:$A$381&amp;F_Inputs!$B$4:$B$381,0),MATCH(Data!$C172,F_Inputs!$G$2:$T$2,0))</f>
        <v>0</v>
      </c>
      <c r="N172" s="139">
        <f t="array" ref="N172">INDEX(F_Inputs!$G$4:$T$381,MATCH(Data!$B172&amp;Data!N$6,F_Inputs!$A$4:$A$381&amp;F_Inputs!$B$4:$B$381,0),MATCH(Data!$C172,F_Inputs!$G$2:$T$2,0))</f>
        <v>136.686587575495</v>
      </c>
      <c r="O172" s="144"/>
      <c r="P172" s="139">
        <f t="array" ref="P172">INDEX(F_Inputs!$G$4:$T$381,MATCH(Data!$B172&amp;Data!P$6,F_Inputs!$A$4:$A$381&amp;F_Inputs!$B$4:$B$381,0),MATCH(Data!$C172,F_Inputs!$G$2:$T$2,0))</f>
        <v>0</v>
      </c>
      <c r="Q172" s="139">
        <f t="array" ref="Q172">INDEX(F_Inputs!$G$4:$T$381,MATCH(Data!$B172&amp;Data!Q$6,F_Inputs!$A$4:$A$381&amp;F_Inputs!$B$4:$B$381,0),MATCH(Data!$C172,F_Inputs!$G$2:$T$2,0))</f>
        <v>0</v>
      </c>
      <c r="R172" s="139">
        <f t="array" ref="R172">INDEX(F_Inputs!$G$4:$T$381,MATCH(Data!$B172&amp;Data!R$6,F_Inputs!$A$4:$A$381&amp;F_Inputs!$B$4:$B$381,0),MATCH(Data!$C172,F_Inputs!$G$2:$T$2,0))</f>
        <v>0</v>
      </c>
      <c r="S172" s="139">
        <f t="array" ref="S172">INDEX(F_Inputs!$G$4:$T$381,MATCH(Data!$B172&amp;Data!S$6,F_Inputs!$A$4:$A$381&amp;F_Inputs!$B$4:$B$381,0),MATCH(Data!$C172,F_Inputs!$G$2:$T$2,0))</f>
        <v>0</v>
      </c>
      <c r="U172" s="139">
        <f t="array" ref="U172">INDEX(F_Inputs!$G$4:$T$381,MATCH(Data!$B172&amp;Data!U$6,F_Inputs!$A$4:$A$381&amp;F_Inputs!$B$4:$B$381,0),MATCH(Data!$C172,F_Inputs!$G$2:$T$2,0))</f>
        <v>0</v>
      </c>
      <c r="V172" s="139">
        <f t="array" ref="V172">INDEX(F_Inputs!$G$4:$T$381,MATCH(Data!$B172&amp;Data!V$6,F_Inputs!$A$4:$A$381&amp;F_Inputs!$B$4:$B$381,0),MATCH(Data!$C172,F_Inputs!$G$2:$T$2,0))</f>
        <v>0</v>
      </c>
      <c r="W172" s="139">
        <f t="array" ref="W172">INDEX(F_Inputs!$G$4:$T$381,MATCH(Data!$B172&amp;Data!W$6,F_Inputs!$A$4:$A$381&amp;F_Inputs!$B$4:$B$381,0),MATCH(Data!$C172,F_Inputs!$G$2:$T$2,0))</f>
        <v>0</v>
      </c>
    </row>
    <row r="173" spans="1:23" x14ac:dyDescent="0.2">
      <c r="A173" s="138" t="str">
        <f>B173&amp;RIGHT(C173,2)</f>
        <v>BRL14</v>
      </c>
      <c r="B173" s="19" t="s">
        <v>36</v>
      </c>
      <c r="C173" s="143" t="s">
        <v>66</v>
      </c>
      <c r="D173" s="139">
        <f t="array" ref="D173">INDEX(F_Inputs!$G$4:$T$381,MATCH(Data!$B173&amp;Data!D$6,F_Inputs!$A$4:$A$381&amp;F_Inputs!$B$4:$B$381,0),MATCH(Data!$C173,F_Inputs!$G$2:$T$2,0))</f>
        <v>0</v>
      </c>
      <c r="E173" s="139">
        <f t="array" ref="E173">INDEX(F_Inputs!$G$4:$T$381,MATCH(Data!$B173&amp;Data!E$6,F_Inputs!$A$4:$A$381&amp;F_Inputs!$B$4:$B$381,0),MATCH(Data!$C173,F_Inputs!$G$2:$T$2,0))</f>
        <v>2.8844552062204198</v>
      </c>
      <c r="F173" s="139">
        <f t="array" ref="F173">INDEX(F_Inputs!$G$4:$T$381,MATCH(Data!$B173&amp;Data!F$6,F_Inputs!$A$4:$A$381&amp;F_Inputs!$B$4:$B$381,0),MATCH(Data!$C173,F_Inputs!$G$2:$T$2,0))</f>
        <v>0</v>
      </c>
      <c r="G173" s="139">
        <f t="array" ref="G173">INDEX(F_Inputs!$G$4:$T$381,MATCH(Data!$B173&amp;Data!G$6,F_Inputs!$A$4:$A$381&amp;F_Inputs!$B$4:$B$381,0),MATCH(Data!$C173,F_Inputs!$G$2:$T$2,0))</f>
        <v>5.05545960108181</v>
      </c>
      <c r="I173" s="139">
        <f t="array" ref="I173">INDEX(F_Inputs!$G$4:$T$381,MATCH(Data!$B173&amp;Data!I$6,F_Inputs!$A$4:$A$381&amp;F_Inputs!$B$4:$B$381,0),MATCH(Data!$C173,F_Inputs!$G$2:$T$2,0))</f>
        <v>0</v>
      </c>
      <c r="J173" s="139">
        <f t="array" ref="J173">INDEX(F_Inputs!$G$4:$T$381,MATCH(Data!$B173&amp;Data!J$6,F_Inputs!$A$4:$A$381&amp;F_Inputs!$B$4:$B$381,0),MATCH(Data!$C173,F_Inputs!$G$2:$T$2,0))</f>
        <v>0</v>
      </c>
      <c r="K173" s="139">
        <f t="array" ref="K173">INDEX(F_Inputs!$G$4:$T$381,MATCH(Data!$B173&amp;Data!K$6,F_Inputs!$A$4:$A$381&amp;F_Inputs!$B$4:$B$381,0),MATCH(Data!$C173,F_Inputs!$G$2:$T$2,0))</f>
        <v>0</v>
      </c>
      <c r="L173" s="139">
        <f t="array" ref="L173">INDEX(F_Inputs!$G$4:$T$381,MATCH(Data!$B173&amp;Data!L$6,F_Inputs!$A$4:$A$381&amp;F_Inputs!$B$4:$B$381,0),MATCH(Data!$C173,F_Inputs!$G$2:$T$2,0))</f>
        <v>0</v>
      </c>
      <c r="N173" s="139">
        <f t="array" ref="N173">INDEX(F_Inputs!$G$4:$T$381,MATCH(Data!$B173&amp;Data!N$6,F_Inputs!$A$4:$A$381&amp;F_Inputs!$B$4:$B$381,0),MATCH(Data!$C173,F_Inputs!$G$2:$T$2,0))</f>
        <v>124.52623309668699</v>
      </c>
      <c r="O173" s="144"/>
      <c r="P173" s="139">
        <f t="array" ref="P173">INDEX(F_Inputs!$G$4:$T$381,MATCH(Data!$B173&amp;Data!P$6,F_Inputs!$A$4:$A$381&amp;F_Inputs!$B$4:$B$381,0),MATCH(Data!$C173,F_Inputs!$G$2:$T$2,0))</f>
        <v>0</v>
      </c>
      <c r="Q173" s="139">
        <f t="array" ref="Q173">INDEX(F_Inputs!$G$4:$T$381,MATCH(Data!$B173&amp;Data!Q$6,F_Inputs!$A$4:$A$381&amp;F_Inputs!$B$4:$B$381,0),MATCH(Data!$C173,F_Inputs!$G$2:$T$2,0))</f>
        <v>0</v>
      </c>
      <c r="R173" s="139">
        <f t="array" ref="R173">INDEX(F_Inputs!$G$4:$T$381,MATCH(Data!$B173&amp;Data!R$6,F_Inputs!$A$4:$A$381&amp;F_Inputs!$B$4:$B$381,0),MATCH(Data!$C173,F_Inputs!$G$2:$T$2,0))</f>
        <v>0</v>
      </c>
      <c r="S173" s="139">
        <f t="array" ref="S173">INDEX(F_Inputs!$G$4:$T$381,MATCH(Data!$B173&amp;Data!S$6,F_Inputs!$A$4:$A$381&amp;F_Inputs!$B$4:$B$381,0),MATCH(Data!$C173,F_Inputs!$G$2:$T$2,0))</f>
        <v>0</v>
      </c>
      <c r="U173" s="139">
        <f t="array" ref="U173">INDEX(F_Inputs!$G$4:$T$381,MATCH(Data!$B173&amp;Data!U$6,F_Inputs!$A$4:$A$381&amp;F_Inputs!$B$4:$B$381,0),MATCH(Data!$C173,F_Inputs!$G$2:$T$2,0))</f>
        <v>0</v>
      </c>
      <c r="V173" s="139">
        <f t="array" ref="V173">INDEX(F_Inputs!$G$4:$T$381,MATCH(Data!$B173&amp;Data!V$6,F_Inputs!$A$4:$A$381&amp;F_Inputs!$B$4:$B$381,0),MATCH(Data!$C173,F_Inputs!$G$2:$T$2,0))</f>
        <v>0</v>
      </c>
      <c r="W173" s="139">
        <f t="array" ref="W173">INDEX(F_Inputs!$G$4:$T$381,MATCH(Data!$B173&amp;Data!W$6,F_Inputs!$A$4:$A$381&amp;F_Inputs!$B$4:$B$381,0),MATCH(Data!$C173,F_Inputs!$G$2:$T$2,0))</f>
        <v>0</v>
      </c>
    </row>
    <row r="174" spans="1:23" x14ac:dyDescent="0.2">
      <c r="A174" s="138" t="str">
        <f>B174&amp;RIGHT(C174,2)</f>
        <v>BRL15</v>
      </c>
      <c r="B174" s="19" t="s">
        <v>36</v>
      </c>
      <c r="C174" s="143" t="s">
        <v>67</v>
      </c>
      <c r="D174" s="139">
        <f t="array" ref="D174">INDEX(F_Inputs!$G$4:$T$381,MATCH(Data!$B174&amp;Data!D$6,F_Inputs!$A$4:$A$381&amp;F_Inputs!$B$4:$B$381,0),MATCH(Data!$C174,F_Inputs!$G$2:$T$2,0))</f>
        <v>0</v>
      </c>
      <c r="E174" s="139">
        <f t="array" ref="E174">INDEX(F_Inputs!$G$4:$T$381,MATCH(Data!$B174&amp;Data!E$6,F_Inputs!$A$4:$A$381&amp;F_Inputs!$B$4:$B$381,0),MATCH(Data!$C174,F_Inputs!$G$2:$T$2,0))</f>
        <v>0.46922319712542798</v>
      </c>
      <c r="F174" s="139">
        <f t="array" ref="F174">INDEX(F_Inputs!$G$4:$T$381,MATCH(Data!$B174&amp;Data!F$6,F_Inputs!$A$4:$A$381&amp;F_Inputs!$B$4:$B$381,0),MATCH(Data!$C174,F_Inputs!$G$2:$T$2,0))</f>
        <v>0</v>
      </c>
      <c r="G174" s="139">
        <f t="array" ref="G174">INDEX(F_Inputs!$G$4:$T$381,MATCH(Data!$B174&amp;Data!G$6,F_Inputs!$A$4:$A$381&amp;F_Inputs!$B$4:$B$381,0),MATCH(Data!$C174,F_Inputs!$G$2:$T$2,0))</f>
        <v>3.2030492186847201</v>
      </c>
      <c r="I174" s="139">
        <f t="array" ref="I174">INDEX(F_Inputs!$G$4:$T$381,MATCH(Data!$B174&amp;Data!I$6,F_Inputs!$A$4:$A$381&amp;F_Inputs!$B$4:$B$381,0),MATCH(Data!$C174,F_Inputs!$G$2:$T$2,0))</f>
        <v>0</v>
      </c>
      <c r="J174" s="139">
        <f t="array" ref="J174">INDEX(F_Inputs!$G$4:$T$381,MATCH(Data!$B174&amp;Data!J$6,F_Inputs!$A$4:$A$381&amp;F_Inputs!$B$4:$B$381,0),MATCH(Data!$C174,F_Inputs!$G$2:$T$2,0))</f>
        <v>0</v>
      </c>
      <c r="K174" s="139">
        <f t="array" ref="K174">INDEX(F_Inputs!$G$4:$T$381,MATCH(Data!$B174&amp;Data!K$6,F_Inputs!$A$4:$A$381&amp;F_Inputs!$B$4:$B$381,0),MATCH(Data!$C174,F_Inputs!$G$2:$T$2,0))</f>
        <v>0</v>
      </c>
      <c r="L174" s="139">
        <f t="array" ref="L174">INDEX(F_Inputs!$G$4:$T$381,MATCH(Data!$B174&amp;Data!L$6,F_Inputs!$A$4:$A$381&amp;F_Inputs!$B$4:$B$381,0),MATCH(Data!$C174,F_Inputs!$G$2:$T$2,0))</f>
        <v>0</v>
      </c>
      <c r="N174" s="139">
        <f t="array" ref="N174">INDEX(F_Inputs!$G$4:$T$381,MATCH(Data!$B174&amp;Data!N$6,F_Inputs!$A$4:$A$381&amp;F_Inputs!$B$4:$B$381,0),MATCH(Data!$C174,F_Inputs!$G$2:$T$2,0))</f>
        <v>111.47342809392499</v>
      </c>
      <c r="O174" s="144"/>
      <c r="P174" s="139">
        <f t="array" ref="P174">INDEX(F_Inputs!$G$4:$T$381,MATCH(Data!$B174&amp;Data!P$6,F_Inputs!$A$4:$A$381&amp;F_Inputs!$B$4:$B$381,0),MATCH(Data!$C174,F_Inputs!$G$2:$T$2,0))</f>
        <v>0</v>
      </c>
      <c r="Q174" s="139">
        <f t="array" ref="Q174">INDEX(F_Inputs!$G$4:$T$381,MATCH(Data!$B174&amp;Data!Q$6,F_Inputs!$A$4:$A$381&amp;F_Inputs!$B$4:$B$381,0),MATCH(Data!$C174,F_Inputs!$G$2:$T$2,0))</f>
        <v>0</v>
      </c>
      <c r="R174" s="139">
        <f t="array" ref="R174">INDEX(F_Inputs!$G$4:$T$381,MATCH(Data!$B174&amp;Data!R$6,F_Inputs!$A$4:$A$381&amp;F_Inputs!$B$4:$B$381,0),MATCH(Data!$C174,F_Inputs!$G$2:$T$2,0))</f>
        <v>0</v>
      </c>
      <c r="S174" s="139">
        <f t="array" ref="S174">INDEX(F_Inputs!$G$4:$T$381,MATCH(Data!$B174&amp;Data!S$6,F_Inputs!$A$4:$A$381&amp;F_Inputs!$B$4:$B$381,0),MATCH(Data!$C174,F_Inputs!$G$2:$T$2,0))</f>
        <v>0</v>
      </c>
      <c r="U174" s="139">
        <f t="array" ref="U174">INDEX(F_Inputs!$G$4:$T$381,MATCH(Data!$B174&amp;Data!U$6,F_Inputs!$A$4:$A$381&amp;F_Inputs!$B$4:$B$381,0),MATCH(Data!$C174,F_Inputs!$G$2:$T$2,0))</f>
        <v>0</v>
      </c>
      <c r="V174" s="139">
        <f t="array" ref="V174">INDEX(F_Inputs!$G$4:$T$381,MATCH(Data!$B174&amp;Data!V$6,F_Inputs!$A$4:$A$381&amp;F_Inputs!$B$4:$B$381,0),MATCH(Data!$C174,F_Inputs!$G$2:$T$2,0))</f>
        <v>0</v>
      </c>
      <c r="W174" s="139">
        <f t="array" ref="W174">INDEX(F_Inputs!$G$4:$T$381,MATCH(Data!$B174&amp;Data!W$6,F_Inputs!$A$4:$A$381&amp;F_Inputs!$B$4:$B$381,0),MATCH(Data!$C174,F_Inputs!$G$2:$T$2,0))</f>
        <v>0</v>
      </c>
    </row>
    <row r="175" spans="1:23" x14ac:dyDescent="0.2">
      <c r="A175" s="138" t="str">
        <f>B175&amp;RIGHT(C175,2)</f>
        <v>BRL16</v>
      </c>
      <c r="B175" s="19" t="s">
        <v>36</v>
      </c>
      <c r="C175" s="143" t="s">
        <v>68</v>
      </c>
      <c r="D175" s="139">
        <f t="array" ref="D175">INDEX(F_Inputs!$G$4:$T$381,MATCH(Data!$B175&amp;Data!D$6,F_Inputs!$A$4:$A$381&amp;F_Inputs!$B$4:$B$381,0),MATCH(Data!$C175,F_Inputs!$G$2:$T$2,0))</f>
        <v>0</v>
      </c>
      <c r="E175" s="139">
        <f t="array" ref="E175">INDEX(F_Inputs!$G$4:$T$381,MATCH(Data!$B175&amp;Data!E$6,F_Inputs!$A$4:$A$381&amp;F_Inputs!$B$4:$B$381,0),MATCH(Data!$C175,F_Inputs!$G$2:$T$2,0))</f>
        <v>7.28302828618968E-3</v>
      </c>
      <c r="F175" s="139">
        <f t="array" ref="F175">INDEX(F_Inputs!$G$4:$T$381,MATCH(Data!$B175&amp;Data!F$6,F_Inputs!$A$4:$A$381&amp;F_Inputs!$B$4:$B$381,0),MATCH(Data!$C175,F_Inputs!$G$2:$T$2,0))</f>
        <v>0</v>
      </c>
      <c r="G175" s="139">
        <f t="array" ref="G175">INDEX(F_Inputs!$G$4:$T$381,MATCH(Data!$B175&amp;Data!G$6,F_Inputs!$A$4:$A$381&amp;F_Inputs!$B$4:$B$381,0),MATCH(Data!$C175,F_Inputs!$G$2:$T$2,0))</f>
        <v>1.7073499168053199</v>
      </c>
      <c r="I175" s="139">
        <f t="array" ref="I175">INDEX(F_Inputs!$G$4:$T$381,MATCH(Data!$B175&amp;Data!I$6,F_Inputs!$A$4:$A$381&amp;F_Inputs!$B$4:$B$381,0),MATCH(Data!$C175,F_Inputs!$G$2:$T$2,0))</f>
        <v>0</v>
      </c>
      <c r="J175" s="139">
        <f t="array" ref="J175">INDEX(F_Inputs!$G$4:$T$381,MATCH(Data!$B175&amp;Data!J$6,F_Inputs!$A$4:$A$381&amp;F_Inputs!$B$4:$B$381,0),MATCH(Data!$C175,F_Inputs!$G$2:$T$2,0))</f>
        <v>0</v>
      </c>
      <c r="K175" s="139">
        <f t="array" ref="K175">INDEX(F_Inputs!$G$4:$T$381,MATCH(Data!$B175&amp;Data!K$6,F_Inputs!$A$4:$A$381&amp;F_Inputs!$B$4:$B$381,0),MATCH(Data!$C175,F_Inputs!$G$2:$T$2,0))</f>
        <v>0</v>
      </c>
      <c r="L175" s="139">
        <f t="array" ref="L175">INDEX(F_Inputs!$G$4:$T$381,MATCH(Data!$B175&amp;Data!L$6,F_Inputs!$A$4:$A$381&amp;F_Inputs!$B$4:$B$381,0),MATCH(Data!$C175,F_Inputs!$G$2:$T$2,0))</f>
        <v>0</v>
      </c>
      <c r="N175" s="139">
        <f t="array" ref="N175">INDEX(F_Inputs!$G$4:$T$381,MATCH(Data!$B175&amp;Data!N$6,F_Inputs!$A$4:$A$381&amp;F_Inputs!$B$4:$B$381,0),MATCH(Data!$C175,F_Inputs!$G$2:$T$2,0))</f>
        <v>74.081923294509096</v>
      </c>
      <c r="O175" s="144"/>
      <c r="P175" s="139">
        <f t="array" ref="P175">INDEX(F_Inputs!$G$4:$T$381,MATCH(Data!$B175&amp;Data!P$6,F_Inputs!$A$4:$A$381&amp;F_Inputs!$B$4:$B$381,0),MATCH(Data!$C175,F_Inputs!$G$2:$T$2,0))</f>
        <v>0</v>
      </c>
      <c r="Q175" s="139">
        <f t="array" ref="Q175">INDEX(F_Inputs!$G$4:$T$381,MATCH(Data!$B175&amp;Data!Q$6,F_Inputs!$A$4:$A$381&amp;F_Inputs!$B$4:$B$381,0),MATCH(Data!$C175,F_Inputs!$G$2:$T$2,0))</f>
        <v>0</v>
      </c>
      <c r="R175" s="139">
        <f t="array" ref="R175">INDEX(F_Inputs!$G$4:$T$381,MATCH(Data!$B175&amp;Data!R$6,F_Inputs!$A$4:$A$381&amp;F_Inputs!$B$4:$B$381,0),MATCH(Data!$C175,F_Inputs!$G$2:$T$2,0))</f>
        <v>0</v>
      </c>
      <c r="S175" s="139">
        <f t="array" ref="S175">INDEX(F_Inputs!$G$4:$T$381,MATCH(Data!$B175&amp;Data!S$6,F_Inputs!$A$4:$A$381&amp;F_Inputs!$B$4:$B$381,0),MATCH(Data!$C175,F_Inputs!$G$2:$T$2,0))</f>
        <v>0</v>
      </c>
      <c r="U175" s="139">
        <f t="array" ref="U175">INDEX(F_Inputs!$G$4:$T$381,MATCH(Data!$B175&amp;Data!U$6,F_Inputs!$A$4:$A$381&amp;F_Inputs!$B$4:$B$381,0),MATCH(Data!$C175,F_Inputs!$G$2:$T$2,0))</f>
        <v>0</v>
      </c>
      <c r="V175" s="139">
        <f t="array" ref="V175">INDEX(F_Inputs!$G$4:$T$381,MATCH(Data!$B175&amp;Data!V$6,F_Inputs!$A$4:$A$381&amp;F_Inputs!$B$4:$B$381,0),MATCH(Data!$C175,F_Inputs!$G$2:$T$2,0))</f>
        <v>0</v>
      </c>
      <c r="W175" s="139">
        <f t="array" ref="W175">INDEX(F_Inputs!$G$4:$T$381,MATCH(Data!$B175&amp;Data!W$6,F_Inputs!$A$4:$A$381&amp;F_Inputs!$B$4:$B$381,0),MATCH(Data!$C175,F_Inputs!$G$2:$T$2,0))</f>
        <v>0</v>
      </c>
    </row>
    <row r="176" spans="1:23" x14ac:dyDescent="0.2">
      <c r="A176" s="138" t="str">
        <f>B176&amp;RIGHT(C176,2)</f>
        <v>BRL17</v>
      </c>
      <c r="B176" s="19" t="s">
        <v>36</v>
      </c>
      <c r="C176" s="143" t="s">
        <v>69</v>
      </c>
      <c r="D176" s="139">
        <f t="array" ref="D176">INDEX(F_Inputs!$G$4:$T$381,MATCH(Data!$B176&amp;Data!D$6,F_Inputs!$A$4:$A$381&amp;F_Inputs!$B$4:$B$381,0),MATCH(Data!$C176,F_Inputs!$G$2:$T$2,0))</f>
        <v>0</v>
      </c>
      <c r="E176" s="139">
        <f t="array" ref="E176">INDEX(F_Inputs!$G$4:$T$381,MATCH(Data!$B176&amp;Data!E$6,F_Inputs!$A$4:$A$381&amp;F_Inputs!$B$4:$B$381,0),MATCH(Data!$C176,F_Inputs!$G$2:$T$2,0))</f>
        <v>0</v>
      </c>
      <c r="F176" s="139">
        <f t="array" ref="F176">INDEX(F_Inputs!$G$4:$T$381,MATCH(Data!$B176&amp;Data!F$6,F_Inputs!$A$4:$A$381&amp;F_Inputs!$B$4:$B$381,0),MATCH(Data!$C176,F_Inputs!$G$2:$T$2,0))</f>
        <v>0</v>
      </c>
      <c r="G176" s="139">
        <f t="array" ref="G176">INDEX(F_Inputs!$G$4:$T$381,MATCH(Data!$B176&amp;Data!G$6,F_Inputs!$A$4:$A$381&amp;F_Inputs!$B$4:$B$381,0),MATCH(Data!$C176,F_Inputs!$G$2:$T$2,0))</f>
        <v>3.1344541649569102</v>
      </c>
      <c r="I176" s="139">
        <f t="array" ref="I176">INDEX(F_Inputs!$G$4:$T$381,MATCH(Data!$B176&amp;Data!I$6,F_Inputs!$A$4:$A$381&amp;F_Inputs!$B$4:$B$381,0),MATCH(Data!$C176,F_Inputs!$G$2:$T$2,0))</f>
        <v>0</v>
      </c>
      <c r="J176" s="139">
        <f t="array" ref="J176">INDEX(F_Inputs!$G$4:$T$381,MATCH(Data!$B176&amp;Data!J$6,F_Inputs!$A$4:$A$381&amp;F_Inputs!$B$4:$B$381,0),MATCH(Data!$C176,F_Inputs!$G$2:$T$2,0))</f>
        <v>0</v>
      </c>
      <c r="K176" s="139">
        <f t="array" ref="K176">INDEX(F_Inputs!$G$4:$T$381,MATCH(Data!$B176&amp;Data!K$6,F_Inputs!$A$4:$A$381&amp;F_Inputs!$B$4:$B$381,0),MATCH(Data!$C176,F_Inputs!$G$2:$T$2,0))</f>
        <v>0</v>
      </c>
      <c r="L176" s="139">
        <f t="array" ref="L176">INDEX(F_Inputs!$G$4:$T$381,MATCH(Data!$B176&amp;Data!L$6,F_Inputs!$A$4:$A$381&amp;F_Inputs!$B$4:$B$381,0),MATCH(Data!$C176,F_Inputs!$G$2:$T$2,0))</f>
        <v>0</v>
      </c>
      <c r="N176" s="139">
        <f t="array" ref="N176">INDEX(F_Inputs!$G$4:$T$381,MATCH(Data!$B176&amp;Data!N$6,F_Inputs!$A$4:$A$381&amp;F_Inputs!$B$4:$B$381,0),MATCH(Data!$C176,F_Inputs!$G$2:$T$2,0))</f>
        <v>85.121881165367199</v>
      </c>
      <c r="O176" s="144"/>
      <c r="P176" s="139">
        <f t="array" ref="P176">INDEX(F_Inputs!$G$4:$T$381,MATCH(Data!$B176&amp;Data!P$6,F_Inputs!$A$4:$A$381&amp;F_Inputs!$B$4:$B$381,0),MATCH(Data!$C176,F_Inputs!$G$2:$T$2,0))</f>
        <v>0</v>
      </c>
      <c r="Q176" s="139">
        <f t="array" ref="Q176">INDEX(F_Inputs!$G$4:$T$381,MATCH(Data!$B176&amp;Data!Q$6,F_Inputs!$A$4:$A$381&amp;F_Inputs!$B$4:$B$381,0),MATCH(Data!$C176,F_Inputs!$G$2:$T$2,0))</f>
        <v>0</v>
      </c>
      <c r="R176" s="139">
        <f t="array" ref="R176">INDEX(F_Inputs!$G$4:$T$381,MATCH(Data!$B176&amp;Data!R$6,F_Inputs!$A$4:$A$381&amp;F_Inputs!$B$4:$B$381,0),MATCH(Data!$C176,F_Inputs!$G$2:$T$2,0))</f>
        <v>0</v>
      </c>
      <c r="S176" s="139">
        <f t="array" ref="S176">INDEX(F_Inputs!$G$4:$T$381,MATCH(Data!$B176&amp;Data!S$6,F_Inputs!$A$4:$A$381&amp;F_Inputs!$B$4:$B$381,0),MATCH(Data!$C176,F_Inputs!$G$2:$T$2,0))</f>
        <v>0</v>
      </c>
      <c r="U176" s="139">
        <f t="array" ref="U176">INDEX(F_Inputs!$G$4:$T$381,MATCH(Data!$B176&amp;Data!U$6,F_Inputs!$A$4:$A$381&amp;F_Inputs!$B$4:$B$381,0),MATCH(Data!$C176,F_Inputs!$G$2:$T$2,0))</f>
        <v>0</v>
      </c>
      <c r="V176" s="139">
        <f t="array" ref="V176">INDEX(F_Inputs!$G$4:$T$381,MATCH(Data!$B176&amp;Data!V$6,F_Inputs!$A$4:$A$381&amp;F_Inputs!$B$4:$B$381,0),MATCH(Data!$C176,F_Inputs!$G$2:$T$2,0))</f>
        <v>0</v>
      </c>
      <c r="W176" s="139">
        <f t="array" ref="W176">INDEX(F_Inputs!$G$4:$T$381,MATCH(Data!$B176&amp;Data!W$6,F_Inputs!$A$4:$A$381&amp;F_Inputs!$B$4:$B$381,0),MATCH(Data!$C176,F_Inputs!$G$2:$T$2,0))</f>
        <v>0</v>
      </c>
    </row>
    <row r="177" spans="1:23" x14ac:dyDescent="0.2">
      <c r="A177" s="141" t="s">
        <v>230</v>
      </c>
      <c r="B177" s="142" t="s">
        <v>36</v>
      </c>
      <c r="C177" s="142" t="s">
        <v>70</v>
      </c>
      <c r="D177" s="139">
        <f t="array" ref="D177">INDEX(F_Inputs!$G$4:$T$381,MATCH(Data!$B177&amp;Data!D$6,F_Inputs!$A$4:$A$381&amp;F_Inputs!$B$4:$B$381,0),MATCH(Data!$C177,F_Inputs!$G$2:$T$2,0))</f>
        <v>0</v>
      </c>
      <c r="E177" s="139">
        <f t="array" ref="E177">INDEX(F_Inputs!$G$4:$T$381,MATCH(Data!$B177&amp;Data!E$6,F_Inputs!$A$4:$A$381&amp;F_Inputs!$B$4:$B$381,0),MATCH(Data!$C177,F_Inputs!$G$2:$T$2,0))</f>
        <v>0</v>
      </c>
      <c r="F177" s="139">
        <f t="array" ref="F177">INDEX(F_Inputs!$G$4:$T$381,MATCH(Data!$B177&amp;Data!F$6,F_Inputs!$A$4:$A$381&amp;F_Inputs!$B$4:$B$381,0),MATCH(Data!$C177,F_Inputs!$G$2:$T$2,0))</f>
        <v>0</v>
      </c>
      <c r="G177" s="139">
        <f t="array" ref="G177">INDEX(F_Inputs!$G$4:$T$381,MATCH(Data!$B177&amp;Data!G$6,F_Inputs!$A$4:$A$381&amp;F_Inputs!$B$4:$B$381,0),MATCH(Data!$C177,F_Inputs!$G$2:$T$2,0))</f>
        <v>5.4039999999999999</v>
      </c>
      <c r="I177" s="139">
        <f t="array" ref="I177">INDEX(F_Inputs!$G$4:$T$381,MATCH(Data!$B177&amp;Data!I$6,F_Inputs!$A$4:$A$381&amp;F_Inputs!$B$4:$B$381,0),MATCH(Data!$C177,F_Inputs!$G$2:$T$2,0))</f>
        <v>0</v>
      </c>
      <c r="J177" s="139">
        <f t="array" ref="J177">INDEX(F_Inputs!$G$4:$T$381,MATCH(Data!$B177&amp;Data!J$6,F_Inputs!$A$4:$A$381&amp;F_Inputs!$B$4:$B$381,0),MATCH(Data!$C177,F_Inputs!$G$2:$T$2,0))</f>
        <v>0</v>
      </c>
      <c r="K177" s="139">
        <f t="array" ref="K177">INDEX(F_Inputs!$G$4:$T$381,MATCH(Data!$B177&amp;Data!K$6,F_Inputs!$A$4:$A$381&amp;F_Inputs!$B$4:$B$381,0),MATCH(Data!$C177,F_Inputs!$G$2:$T$2,0))</f>
        <v>0</v>
      </c>
      <c r="L177" s="139">
        <f t="array" ref="L177">INDEX(F_Inputs!$G$4:$T$381,MATCH(Data!$B177&amp;Data!L$6,F_Inputs!$A$4:$A$381&amp;F_Inputs!$B$4:$B$381,0),MATCH(Data!$C177,F_Inputs!$G$2:$T$2,0))</f>
        <v>0</v>
      </c>
      <c r="N177" s="139">
        <f t="array" ref="N177">INDEX(F_Inputs!$G$4:$T$381,MATCH(Data!$B177&amp;Data!N$6,F_Inputs!$A$4:$A$381&amp;F_Inputs!$B$4:$B$381,0),MATCH(Data!$C177,F_Inputs!$G$2:$T$2,0))</f>
        <v>103.363</v>
      </c>
      <c r="O177" s="144"/>
      <c r="P177" s="139">
        <f t="array" ref="P177">INDEX(F_Inputs!$G$4:$T$381,MATCH(Data!$B177&amp;Data!P$6,F_Inputs!$A$4:$A$381&amp;F_Inputs!$B$4:$B$381,0),MATCH(Data!$C177,F_Inputs!$G$2:$T$2,0))</f>
        <v>0</v>
      </c>
      <c r="Q177" s="139">
        <f t="array" ref="Q177">INDEX(F_Inputs!$G$4:$T$381,MATCH(Data!$B177&amp;Data!Q$6,F_Inputs!$A$4:$A$381&amp;F_Inputs!$B$4:$B$381,0),MATCH(Data!$C177,F_Inputs!$G$2:$T$2,0))</f>
        <v>0</v>
      </c>
      <c r="R177" s="139">
        <f t="array" ref="R177">INDEX(F_Inputs!$G$4:$T$381,MATCH(Data!$B177&amp;Data!R$6,F_Inputs!$A$4:$A$381&amp;F_Inputs!$B$4:$B$381,0),MATCH(Data!$C177,F_Inputs!$G$2:$T$2,0))</f>
        <v>0</v>
      </c>
      <c r="S177" s="139">
        <f t="array" ref="S177">INDEX(F_Inputs!$G$4:$T$381,MATCH(Data!$B177&amp;Data!S$6,F_Inputs!$A$4:$A$381&amp;F_Inputs!$B$4:$B$381,0),MATCH(Data!$C177,F_Inputs!$G$2:$T$2,0))</f>
        <v>0.49</v>
      </c>
      <c r="U177" s="139">
        <f t="array" ref="U177">INDEX(F_Inputs!$G$4:$T$381,MATCH(Data!$B177&amp;Data!U$6,F_Inputs!$A$4:$A$381&amp;F_Inputs!$B$4:$B$381,0),MATCH(Data!$C177,F_Inputs!$G$2:$T$2,0))</f>
        <v>46.64</v>
      </c>
      <c r="V177" s="139">
        <f t="array" ref="V177">INDEX(F_Inputs!$G$4:$T$381,MATCH(Data!$B177&amp;Data!V$6,F_Inputs!$A$4:$A$381&amp;F_Inputs!$B$4:$B$381,0),MATCH(Data!$C177,F_Inputs!$G$2:$T$2,0))</f>
        <v>6828</v>
      </c>
      <c r="W177" s="139">
        <f t="array" ref="W177">INDEX(F_Inputs!$G$4:$T$381,MATCH(Data!$B177&amp;Data!W$6,F_Inputs!$A$4:$A$381&amp;F_Inputs!$B$4:$B$381,0),MATCH(Data!$C177,F_Inputs!$G$2:$T$2,0))</f>
        <v>536.13800000000003</v>
      </c>
    </row>
    <row r="178" spans="1:23" x14ac:dyDescent="0.2">
      <c r="A178" s="141" t="s">
        <v>231</v>
      </c>
      <c r="B178" s="142" t="s">
        <v>36</v>
      </c>
      <c r="C178" s="142" t="s">
        <v>71</v>
      </c>
      <c r="D178" s="139">
        <f t="array" ref="D178">INDEX(F_Inputs!$G$4:$T$381,MATCH(Data!$B178&amp;Data!D$6,F_Inputs!$A$4:$A$381&amp;F_Inputs!$B$4:$B$381,0),MATCH(Data!$C178,F_Inputs!$G$2:$T$2,0))</f>
        <v>0</v>
      </c>
      <c r="E178" s="139">
        <f t="array" ref="E178">INDEX(F_Inputs!$G$4:$T$381,MATCH(Data!$B178&amp;Data!E$6,F_Inputs!$A$4:$A$381&amp;F_Inputs!$B$4:$B$381,0),MATCH(Data!$C178,F_Inputs!$G$2:$T$2,0))</f>
        <v>0.70249632295415398</v>
      </c>
      <c r="F178" s="139">
        <f t="array" ref="F178">INDEX(F_Inputs!$G$4:$T$381,MATCH(Data!$B178&amp;Data!F$6,F_Inputs!$A$4:$A$381&amp;F_Inputs!$B$4:$B$381,0),MATCH(Data!$C178,F_Inputs!$G$2:$T$2,0))</f>
        <v>0</v>
      </c>
      <c r="G178" s="139">
        <f t="array" ref="G178">INDEX(F_Inputs!$G$4:$T$381,MATCH(Data!$B178&amp;Data!G$6,F_Inputs!$A$4:$A$381&amp;F_Inputs!$B$4:$B$381,0),MATCH(Data!$C178,F_Inputs!$G$2:$T$2,0))</f>
        <v>1.9440949773118399</v>
      </c>
      <c r="I178" s="139">
        <f t="array" ref="I178">INDEX(F_Inputs!$G$4:$T$381,MATCH(Data!$B178&amp;Data!I$6,F_Inputs!$A$4:$A$381&amp;F_Inputs!$B$4:$B$381,0),MATCH(Data!$C178,F_Inputs!$G$2:$T$2,0))</f>
        <v>0</v>
      </c>
      <c r="J178" s="139">
        <f t="array" ref="J178">INDEX(F_Inputs!$G$4:$T$381,MATCH(Data!$B178&amp;Data!J$6,F_Inputs!$A$4:$A$381&amp;F_Inputs!$B$4:$B$381,0),MATCH(Data!$C178,F_Inputs!$G$2:$T$2,0))</f>
        <v>0</v>
      </c>
      <c r="K178" s="139">
        <f t="array" ref="K178">INDEX(F_Inputs!$G$4:$T$381,MATCH(Data!$B178&amp;Data!K$6,F_Inputs!$A$4:$A$381&amp;F_Inputs!$B$4:$B$381,0),MATCH(Data!$C178,F_Inputs!$G$2:$T$2,0))</f>
        <v>0</v>
      </c>
      <c r="L178" s="139">
        <f t="array" ref="L178">INDEX(F_Inputs!$G$4:$T$381,MATCH(Data!$B178&amp;Data!L$6,F_Inputs!$A$4:$A$381&amp;F_Inputs!$B$4:$B$381,0),MATCH(Data!$C178,F_Inputs!$G$2:$T$2,0))</f>
        <v>0</v>
      </c>
      <c r="N178" s="139">
        <f t="array" ref="N178">INDEX(F_Inputs!$G$4:$T$381,MATCH(Data!$B178&amp;Data!N$6,F_Inputs!$A$4:$A$381&amp;F_Inputs!$B$4:$B$381,0),MATCH(Data!$C178,F_Inputs!$G$2:$T$2,0))</f>
        <v>104.82067000469399</v>
      </c>
      <c r="O178" s="144"/>
      <c r="P178" s="139">
        <f t="array" ref="P178">INDEX(F_Inputs!$G$4:$T$381,MATCH(Data!$B178&amp;Data!P$6,F_Inputs!$A$4:$A$381&amp;F_Inputs!$B$4:$B$381,0),MATCH(Data!$C178,F_Inputs!$G$2:$T$2,0))</f>
        <v>0</v>
      </c>
      <c r="Q178" s="139">
        <f t="array" ref="Q178">INDEX(F_Inputs!$G$4:$T$381,MATCH(Data!$B178&amp;Data!Q$6,F_Inputs!$A$4:$A$381&amp;F_Inputs!$B$4:$B$381,0),MATCH(Data!$C178,F_Inputs!$G$2:$T$2,0))</f>
        <v>0</v>
      </c>
      <c r="R178" s="139">
        <f t="array" ref="R178">INDEX(F_Inputs!$G$4:$T$381,MATCH(Data!$B178&amp;Data!R$6,F_Inputs!$A$4:$A$381&amp;F_Inputs!$B$4:$B$381,0),MATCH(Data!$C178,F_Inputs!$G$2:$T$2,0))</f>
        <v>0</v>
      </c>
      <c r="S178" s="139">
        <f t="array" ref="S178">INDEX(F_Inputs!$G$4:$T$381,MATCH(Data!$B178&amp;Data!S$6,F_Inputs!$A$4:$A$381&amp;F_Inputs!$B$4:$B$381,0),MATCH(Data!$C178,F_Inputs!$G$2:$T$2,0))</f>
        <v>3.01</v>
      </c>
      <c r="U178" s="139">
        <f t="array" ref="U178">INDEX(F_Inputs!$G$4:$T$381,MATCH(Data!$B178&amp;Data!U$6,F_Inputs!$A$4:$A$381&amp;F_Inputs!$B$4:$B$381,0),MATCH(Data!$C178,F_Inputs!$G$2:$T$2,0))</f>
        <v>44</v>
      </c>
      <c r="V178" s="139">
        <f t="array" ref="V178">INDEX(F_Inputs!$G$4:$T$381,MATCH(Data!$B178&amp;Data!V$6,F_Inputs!$A$4:$A$381&amp;F_Inputs!$B$4:$B$381,0),MATCH(Data!$C178,F_Inputs!$G$2:$T$2,0))</f>
        <v>6854</v>
      </c>
      <c r="W178" s="139">
        <f t="array" ref="W178">INDEX(F_Inputs!$G$4:$T$381,MATCH(Data!$B178&amp;Data!W$6,F_Inputs!$A$4:$A$381&amp;F_Inputs!$B$4:$B$381,0),MATCH(Data!$C178,F_Inputs!$G$2:$T$2,0))</f>
        <v>542.029</v>
      </c>
    </row>
    <row r="179" spans="1:23" x14ac:dyDescent="0.2">
      <c r="A179" s="141" t="s">
        <v>232</v>
      </c>
      <c r="B179" s="142" t="s">
        <v>36</v>
      </c>
      <c r="C179" s="142" t="s">
        <v>72</v>
      </c>
      <c r="D179" s="139">
        <f t="array" ref="D179">INDEX(F_Inputs!$G$4:$T$381,MATCH(Data!$B179&amp;Data!D$6,F_Inputs!$A$4:$A$381&amp;F_Inputs!$B$4:$B$381,0),MATCH(Data!$C179,F_Inputs!$G$2:$T$2,0))</f>
        <v>0</v>
      </c>
      <c r="E179" s="139">
        <f t="array" ref="E179">INDEX(F_Inputs!$G$4:$T$381,MATCH(Data!$B179&amp;Data!E$6,F_Inputs!$A$4:$A$381&amp;F_Inputs!$B$4:$B$381,0),MATCH(Data!$C179,F_Inputs!$G$2:$T$2,0))</f>
        <v>2.2848239090350302</v>
      </c>
      <c r="F179" s="139">
        <f t="array" ref="F179">INDEX(F_Inputs!$G$4:$T$381,MATCH(Data!$B179&amp;Data!F$6,F_Inputs!$A$4:$A$381&amp;F_Inputs!$B$4:$B$381,0),MATCH(Data!$C179,F_Inputs!$G$2:$T$2,0))</f>
        <v>0</v>
      </c>
      <c r="G179" s="139">
        <f t="array" ref="G179">INDEX(F_Inputs!$G$4:$T$381,MATCH(Data!$B179&amp;Data!G$6,F_Inputs!$A$4:$A$381&amp;F_Inputs!$B$4:$B$381,0),MATCH(Data!$C179,F_Inputs!$G$2:$T$2,0))</f>
        <v>1.09533189920098</v>
      </c>
      <c r="I179" s="139">
        <f t="array" ref="I179">INDEX(F_Inputs!$G$4:$T$381,MATCH(Data!$B179&amp;Data!I$6,F_Inputs!$A$4:$A$381&amp;F_Inputs!$B$4:$B$381,0),MATCH(Data!$C179,F_Inputs!$G$2:$T$2,0))</f>
        <v>0</v>
      </c>
      <c r="J179" s="139">
        <f t="array" ref="J179">INDEX(F_Inputs!$G$4:$T$381,MATCH(Data!$B179&amp;Data!J$6,F_Inputs!$A$4:$A$381&amp;F_Inputs!$B$4:$B$381,0),MATCH(Data!$C179,F_Inputs!$G$2:$T$2,0))</f>
        <v>0</v>
      </c>
      <c r="K179" s="139">
        <f t="array" ref="K179">INDEX(F_Inputs!$G$4:$T$381,MATCH(Data!$B179&amp;Data!K$6,F_Inputs!$A$4:$A$381&amp;F_Inputs!$B$4:$B$381,0),MATCH(Data!$C179,F_Inputs!$G$2:$T$2,0))</f>
        <v>0</v>
      </c>
      <c r="L179" s="139">
        <f t="array" ref="L179">INDEX(F_Inputs!$G$4:$T$381,MATCH(Data!$B179&amp;Data!L$6,F_Inputs!$A$4:$A$381&amp;F_Inputs!$B$4:$B$381,0),MATCH(Data!$C179,F_Inputs!$G$2:$T$2,0))</f>
        <v>0</v>
      </c>
      <c r="N179" s="139">
        <f t="array" ref="N179">INDEX(F_Inputs!$G$4:$T$381,MATCH(Data!$B179&amp;Data!N$6,F_Inputs!$A$4:$A$381&amp;F_Inputs!$B$4:$B$381,0),MATCH(Data!$C179,F_Inputs!$G$2:$T$2,0))</f>
        <v>101.847611094038</v>
      </c>
      <c r="O179" s="144"/>
      <c r="P179" s="139">
        <f t="array" ref="P179">INDEX(F_Inputs!$G$4:$T$381,MATCH(Data!$B179&amp;Data!P$6,F_Inputs!$A$4:$A$381&amp;F_Inputs!$B$4:$B$381,0),MATCH(Data!$C179,F_Inputs!$G$2:$T$2,0))</f>
        <v>0</v>
      </c>
      <c r="Q179" s="139">
        <f t="array" ref="Q179">INDEX(F_Inputs!$G$4:$T$381,MATCH(Data!$B179&amp;Data!Q$6,F_Inputs!$A$4:$A$381&amp;F_Inputs!$B$4:$B$381,0),MATCH(Data!$C179,F_Inputs!$G$2:$T$2,0))</f>
        <v>0</v>
      </c>
      <c r="R179" s="139">
        <f t="array" ref="R179">INDEX(F_Inputs!$G$4:$T$381,MATCH(Data!$B179&amp;Data!R$6,F_Inputs!$A$4:$A$381&amp;F_Inputs!$B$4:$B$381,0),MATCH(Data!$C179,F_Inputs!$G$2:$T$2,0))</f>
        <v>0</v>
      </c>
      <c r="S179" s="139">
        <f t="array" ref="S179">INDEX(F_Inputs!$G$4:$T$381,MATCH(Data!$B179&amp;Data!S$6,F_Inputs!$A$4:$A$381&amp;F_Inputs!$B$4:$B$381,0),MATCH(Data!$C179,F_Inputs!$G$2:$T$2,0))</f>
        <v>1.36</v>
      </c>
      <c r="U179" s="139">
        <f t="array" ref="U179">INDEX(F_Inputs!$G$4:$T$381,MATCH(Data!$B179&amp;Data!U$6,F_Inputs!$A$4:$A$381&amp;F_Inputs!$B$4:$B$381,0),MATCH(Data!$C179,F_Inputs!$G$2:$T$2,0))</f>
        <v>43</v>
      </c>
      <c r="V179" s="139">
        <f t="array" ref="V179">INDEX(F_Inputs!$G$4:$T$381,MATCH(Data!$B179&amp;Data!V$6,F_Inputs!$A$4:$A$381&amp;F_Inputs!$B$4:$B$381,0),MATCH(Data!$C179,F_Inputs!$G$2:$T$2,0))</f>
        <v>6880</v>
      </c>
      <c r="W179" s="139">
        <f t="array" ref="W179">INDEX(F_Inputs!$G$4:$T$381,MATCH(Data!$B179&amp;Data!W$6,F_Inputs!$A$4:$A$381&amp;F_Inputs!$B$4:$B$381,0),MATCH(Data!$C179,F_Inputs!$G$2:$T$2,0))</f>
        <v>548.09500000000003</v>
      </c>
    </row>
    <row r="180" spans="1:23" x14ac:dyDescent="0.2">
      <c r="A180" s="141" t="s">
        <v>233</v>
      </c>
      <c r="B180" s="142" t="s">
        <v>36</v>
      </c>
      <c r="C180" s="142" t="s">
        <v>73</v>
      </c>
      <c r="D180" s="139">
        <f t="array" ref="D180">INDEX(F_Inputs!$G$4:$T$381,MATCH(Data!$B180&amp;Data!D$6,F_Inputs!$A$4:$A$381&amp;F_Inputs!$B$4:$B$381,0),MATCH(Data!$C180,F_Inputs!$G$2:$T$2,0))</f>
        <v>0</v>
      </c>
      <c r="E180" s="139">
        <f t="array" ref="E180">INDEX(F_Inputs!$G$4:$T$381,MATCH(Data!$B180&amp;Data!E$6,F_Inputs!$A$4:$A$381&amp;F_Inputs!$B$4:$B$381,0),MATCH(Data!$C180,F_Inputs!$G$2:$T$2,0))</f>
        <v>0</v>
      </c>
      <c r="F180" s="139">
        <f t="array" ref="F180">INDEX(F_Inputs!$G$4:$T$381,MATCH(Data!$B180&amp;Data!F$6,F_Inputs!$A$4:$A$381&amp;F_Inputs!$B$4:$B$381,0),MATCH(Data!$C180,F_Inputs!$G$2:$T$2,0))</f>
        <v>0</v>
      </c>
      <c r="G180" s="139">
        <f t="array" ref="G180">INDEX(F_Inputs!$G$4:$T$381,MATCH(Data!$B180&amp;Data!G$6,F_Inputs!$A$4:$A$381&amp;F_Inputs!$B$4:$B$381,0),MATCH(Data!$C180,F_Inputs!$G$2:$T$2,0))</f>
        <v>0.69599999999999995</v>
      </c>
      <c r="I180" s="139">
        <f t="array" ref="I180">INDEX(F_Inputs!$G$4:$T$381,MATCH(Data!$B180&amp;Data!I$6,F_Inputs!$A$4:$A$381&amp;F_Inputs!$B$4:$B$381,0),MATCH(Data!$C180,F_Inputs!$G$2:$T$2,0))</f>
        <v>0</v>
      </c>
      <c r="J180" s="139">
        <f t="array" ref="J180">INDEX(F_Inputs!$G$4:$T$381,MATCH(Data!$B180&amp;Data!J$6,F_Inputs!$A$4:$A$381&amp;F_Inputs!$B$4:$B$381,0),MATCH(Data!$C180,F_Inputs!$G$2:$T$2,0))</f>
        <v>0</v>
      </c>
      <c r="K180" s="139">
        <f t="array" ref="K180">INDEX(F_Inputs!$G$4:$T$381,MATCH(Data!$B180&amp;Data!K$6,F_Inputs!$A$4:$A$381&amp;F_Inputs!$B$4:$B$381,0),MATCH(Data!$C180,F_Inputs!$G$2:$T$2,0))</f>
        <v>0</v>
      </c>
      <c r="L180" s="139">
        <f t="array" ref="L180">INDEX(F_Inputs!$G$4:$T$381,MATCH(Data!$B180&amp;Data!L$6,F_Inputs!$A$4:$A$381&amp;F_Inputs!$B$4:$B$381,0),MATCH(Data!$C180,F_Inputs!$G$2:$T$2,0))</f>
        <v>0.14799999999999999</v>
      </c>
      <c r="N180" s="139">
        <f t="array" ref="N180">INDEX(F_Inputs!$G$4:$T$381,MATCH(Data!$B180&amp;Data!N$6,F_Inputs!$A$4:$A$381&amp;F_Inputs!$B$4:$B$381,0),MATCH(Data!$C180,F_Inputs!$G$2:$T$2,0))</f>
        <v>91.388000000000005</v>
      </c>
      <c r="O180" s="144"/>
      <c r="P180" s="139">
        <f t="array" ref="P180">INDEX(F_Inputs!$G$4:$T$381,MATCH(Data!$B180&amp;Data!P$6,F_Inputs!$A$4:$A$381&amp;F_Inputs!$B$4:$B$381,0),MATCH(Data!$C180,F_Inputs!$G$2:$T$2,0))</f>
        <v>0</v>
      </c>
      <c r="Q180" s="139">
        <f t="array" ref="Q180">INDEX(F_Inputs!$G$4:$T$381,MATCH(Data!$B180&amp;Data!Q$6,F_Inputs!$A$4:$A$381&amp;F_Inputs!$B$4:$B$381,0),MATCH(Data!$C180,F_Inputs!$G$2:$T$2,0))</f>
        <v>0</v>
      </c>
      <c r="R180" s="139">
        <f t="array" ref="R180">INDEX(F_Inputs!$G$4:$T$381,MATCH(Data!$B180&amp;Data!R$6,F_Inputs!$A$4:$A$381&amp;F_Inputs!$B$4:$B$381,0),MATCH(Data!$C180,F_Inputs!$G$2:$T$2,0))</f>
        <v>0</v>
      </c>
      <c r="S180" s="139">
        <f t="array" ref="S180">INDEX(F_Inputs!$G$4:$T$381,MATCH(Data!$B180&amp;Data!S$6,F_Inputs!$A$4:$A$381&amp;F_Inputs!$B$4:$B$381,0),MATCH(Data!$C180,F_Inputs!$G$2:$T$2,0))</f>
        <v>1.04</v>
      </c>
      <c r="U180" s="139">
        <f t="array" ref="U180">INDEX(F_Inputs!$G$4:$T$381,MATCH(Data!$B180&amp;Data!U$6,F_Inputs!$A$4:$A$381&amp;F_Inputs!$B$4:$B$381,0),MATCH(Data!$C180,F_Inputs!$G$2:$T$2,0))</f>
        <v>42</v>
      </c>
      <c r="V180" s="139">
        <f t="array" ref="V180">INDEX(F_Inputs!$G$4:$T$381,MATCH(Data!$B180&amp;Data!V$6,F_Inputs!$A$4:$A$381&amp;F_Inputs!$B$4:$B$381,0),MATCH(Data!$C180,F_Inputs!$G$2:$T$2,0))</f>
        <v>6906</v>
      </c>
      <c r="W180" s="139">
        <f t="array" ref="W180">INDEX(F_Inputs!$G$4:$T$381,MATCH(Data!$B180&amp;Data!W$6,F_Inputs!$A$4:$A$381&amp;F_Inputs!$B$4:$B$381,0),MATCH(Data!$C180,F_Inputs!$G$2:$T$2,0))</f>
        <v>554.74400000000003</v>
      </c>
    </row>
    <row r="181" spans="1:23" x14ac:dyDescent="0.2">
      <c r="A181" s="141" t="s">
        <v>234</v>
      </c>
      <c r="B181" s="142" t="s">
        <v>36</v>
      </c>
      <c r="C181" s="142" t="s">
        <v>74</v>
      </c>
      <c r="D181" s="139">
        <f t="array" ref="D181">INDEX(F_Inputs!$G$4:$T$381,MATCH(Data!$B181&amp;Data!D$6,F_Inputs!$A$4:$A$381&amp;F_Inputs!$B$4:$B$381,0),MATCH(Data!$C181,F_Inputs!$G$2:$T$2,0))</f>
        <v>0</v>
      </c>
      <c r="E181" s="139">
        <f t="array" ref="E181">INDEX(F_Inputs!$G$4:$T$381,MATCH(Data!$B181&amp;Data!E$6,F_Inputs!$A$4:$A$381&amp;F_Inputs!$B$4:$B$381,0),MATCH(Data!$C181,F_Inputs!$G$2:$T$2,0))</f>
        <v>0</v>
      </c>
      <c r="F181" s="139">
        <f t="array" ref="F181">INDEX(F_Inputs!$G$4:$T$381,MATCH(Data!$B181&amp;Data!F$6,F_Inputs!$A$4:$A$381&amp;F_Inputs!$B$4:$B$381,0),MATCH(Data!$C181,F_Inputs!$G$2:$T$2,0))</f>
        <v>0</v>
      </c>
      <c r="G181" s="139">
        <f t="array" ref="G181">INDEX(F_Inputs!$G$4:$T$381,MATCH(Data!$B181&amp;Data!G$6,F_Inputs!$A$4:$A$381&amp;F_Inputs!$B$4:$B$381,0),MATCH(Data!$C181,F_Inputs!$G$2:$T$2,0))</f>
        <v>0.69599999999999995</v>
      </c>
      <c r="I181" s="139">
        <f t="array" ref="I181">INDEX(F_Inputs!$G$4:$T$381,MATCH(Data!$B181&amp;Data!I$6,F_Inputs!$A$4:$A$381&amp;F_Inputs!$B$4:$B$381,0),MATCH(Data!$C181,F_Inputs!$G$2:$T$2,0))</f>
        <v>0</v>
      </c>
      <c r="J181" s="139">
        <f t="array" ref="J181">INDEX(F_Inputs!$G$4:$T$381,MATCH(Data!$B181&amp;Data!J$6,F_Inputs!$A$4:$A$381&amp;F_Inputs!$B$4:$B$381,0),MATCH(Data!$C181,F_Inputs!$G$2:$T$2,0))</f>
        <v>0</v>
      </c>
      <c r="K181" s="139">
        <f t="array" ref="K181">INDEX(F_Inputs!$G$4:$T$381,MATCH(Data!$B181&amp;Data!K$6,F_Inputs!$A$4:$A$381&amp;F_Inputs!$B$4:$B$381,0),MATCH(Data!$C181,F_Inputs!$G$2:$T$2,0))</f>
        <v>0</v>
      </c>
      <c r="L181" s="139">
        <f t="array" ref="L181">INDEX(F_Inputs!$G$4:$T$381,MATCH(Data!$B181&amp;Data!L$6,F_Inputs!$A$4:$A$381&amp;F_Inputs!$B$4:$B$381,0),MATCH(Data!$C181,F_Inputs!$G$2:$T$2,0))</f>
        <v>0.14899999999999999</v>
      </c>
      <c r="N181" s="139">
        <f t="array" ref="N181">INDEX(F_Inputs!$G$4:$T$381,MATCH(Data!$B181&amp;Data!N$6,F_Inputs!$A$4:$A$381&amp;F_Inputs!$B$4:$B$381,0),MATCH(Data!$C181,F_Inputs!$G$2:$T$2,0))</f>
        <v>89.27</v>
      </c>
      <c r="O181" s="144"/>
      <c r="P181" s="139">
        <f t="array" ref="P181">INDEX(F_Inputs!$G$4:$T$381,MATCH(Data!$B181&amp;Data!P$6,F_Inputs!$A$4:$A$381&amp;F_Inputs!$B$4:$B$381,0),MATCH(Data!$C181,F_Inputs!$G$2:$T$2,0))</f>
        <v>0</v>
      </c>
      <c r="Q181" s="139">
        <f t="array" ref="Q181">INDEX(F_Inputs!$G$4:$T$381,MATCH(Data!$B181&amp;Data!Q$6,F_Inputs!$A$4:$A$381&amp;F_Inputs!$B$4:$B$381,0),MATCH(Data!$C181,F_Inputs!$G$2:$T$2,0))</f>
        <v>0</v>
      </c>
      <c r="R181" s="139">
        <f t="array" ref="R181">INDEX(F_Inputs!$G$4:$T$381,MATCH(Data!$B181&amp;Data!R$6,F_Inputs!$A$4:$A$381&amp;F_Inputs!$B$4:$B$381,0),MATCH(Data!$C181,F_Inputs!$G$2:$T$2,0))</f>
        <v>0</v>
      </c>
      <c r="S181" s="139">
        <f t="array" ref="S181">INDEX(F_Inputs!$G$4:$T$381,MATCH(Data!$B181&amp;Data!S$6,F_Inputs!$A$4:$A$381&amp;F_Inputs!$B$4:$B$381,0),MATCH(Data!$C181,F_Inputs!$G$2:$T$2,0))</f>
        <v>1.04</v>
      </c>
      <c r="U181" s="139">
        <f t="array" ref="U181">INDEX(F_Inputs!$G$4:$T$381,MATCH(Data!$B181&amp;Data!U$6,F_Inputs!$A$4:$A$381&amp;F_Inputs!$B$4:$B$381,0),MATCH(Data!$C181,F_Inputs!$G$2:$T$2,0))</f>
        <v>41</v>
      </c>
      <c r="V181" s="139">
        <f t="array" ref="V181">INDEX(F_Inputs!$G$4:$T$381,MATCH(Data!$B181&amp;Data!V$6,F_Inputs!$A$4:$A$381&amp;F_Inputs!$B$4:$B$381,0),MATCH(Data!$C181,F_Inputs!$G$2:$T$2,0))</f>
        <v>6932</v>
      </c>
      <c r="W181" s="139">
        <f t="array" ref="W181">INDEX(F_Inputs!$G$4:$T$381,MATCH(Data!$B181&amp;Data!W$6,F_Inputs!$A$4:$A$381&amp;F_Inputs!$B$4:$B$381,0),MATCH(Data!$C181,F_Inputs!$G$2:$T$2,0))</f>
        <v>560.50400000000002</v>
      </c>
    </row>
    <row r="182" spans="1:23" x14ac:dyDescent="0.2">
      <c r="A182" s="141" t="s">
        <v>235</v>
      </c>
      <c r="B182" s="142" t="s">
        <v>36</v>
      </c>
      <c r="C182" s="142" t="s">
        <v>75</v>
      </c>
      <c r="D182" s="139">
        <f t="array" ref="D182">INDEX(F_Inputs!$G$4:$T$381,MATCH(Data!$B182&amp;Data!D$6,F_Inputs!$A$4:$A$381&amp;F_Inputs!$B$4:$B$381,0),MATCH(Data!$C182,F_Inputs!$G$2:$T$2,0))</f>
        <v>0</v>
      </c>
      <c r="E182" s="139">
        <f t="array" ref="E182">INDEX(F_Inputs!$G$4:$T$381,MATCH(Data!$B182&amp;Data!E$6,F_Inputs!$A$4:$A$381&amp;F_Inputs!$B$4:$B$381,0),MATCH(Data!$C182,F_Inputs!$G$2:$T$2,0))</f>
        <v>0</v>
      </c>
      <c r="F182" s="139">
        <f t="array" ref="F182">INDEX(F_Inputs!$G$4:$T$381,MATCH(Data!$B182&amp;Data!F$6,F_Inputs!$A$4:$A$381&amp;F_Inputs!$B$4:$B$381,0),MATCH(Data!$C182,F_Inputs!$G$2:$T$2,0))</f>
        <v>0</v>
      </c>
      <c r="G182" s="139">
        <f t="array" ref="G182">INDEX(F_Inputs!$G$4:$T$381,MATCH(Data!$B182&amp;Data!G$6,F_Inputs!$A$4:$A$381&amp;F_Inputs!$B$4:$B$381,0),MATCH(Data!$C182,F_Inputs!$G$2:$T$2,0))</f>
        <v>0.69599999999999995</v>
      </c>
      <c r="I182" s="139">
        <f t="array" ref="I182">INDEX(F_Inputs!$G$4:$T$381,MATCH(Data!$B182&amp;Data!I$6,F_Inputs!$A$4:$A$381&amp;F_Inputs!$B$4:$B$381,0),MATCH(Data!$C182,F_Inputs!$G$2:$T$2,0))</f>
        <v>0</v>
      </c>
      <c r="J182" s="139">
        <f t="array" ref="J182">INDEX(F_Inputs!$G$4:$T$381,MATCH(Data!$B182&amp;Data!J$6,F_Inputs!$A$4:$A$381&amp;F_Inputs!$B$4:$B$381,0),MATCH(Data!$C182,F_Inputs!$G$2:$T$2,0))</f>
        <v>0</v>
      </c>
      <c r="K182" s="139">
        <f t="array" ref="K182">INDEX(F_Inputs!$G$4:$T$381,MATCH(Data!$B182&amp;Data!K$6,F_Inputs!$A$4:$A$381&amp;F_Inputs!$B$4:$B$381,0),MATCH(Data!$C182,F_Inputs!$G$2:$T$2,0))</f>
        <v>0</v>
      </c>
      <c r="L182" s="139">
        <f t="array" ref="L182">INDEX(F_Inputs!$G$4:$T$381,MATCH(Data!$B182&amp;Data!L$6,F_Inputs!$A$4:$A$381&amp;F_Inputs!$B$4:$B$381,0),MATCH(Data!$C182,F_Inputs!$G$2:$T$2,0))</f>
        <v>0.151</v>
      </c>
      <c r="N182" s="139">
        <f t="array" ref="N182">INDEX(F_Inputs!$G$4:$T$381,MATCH(Data!$B182&amp;Data!N$6,F_Inputs!$A$4:$A$381&amp;F_Inputs!$B$4:$B$381,0),MATCH(Data!$C182,F_Inputs!$G$2:$T$2,0))</f>
        <v>89.474000000000004</v>
      </c>
      <c r="O182" s="144"/>
      <c r="P182" s="139">
        <f t="array" ref="P182">INDEX(F_Inputs!$G$4:$T$381,MATCH(Data!$B182&amp;Data!P$6,F_Inputs!$A$4:$A$381&amp;F_Inputs!$B$4:$B$381,0),MATCH(Data!$C182,F_Inputs!$G$2:$T$2,0))</f>
        <v>0</v>
      </c>
      <c r="Q182" s="139">
        <f t="array" ref="Q182">INDEX(F_Inputs!$G$4:$T$381,MATCH(Data!$B182&amp;Data!Q$6,F_Inputs!$A$4:$A$381&amp;F_Inputs!$B$4:$B$381,0),MATCH(Data!$C182,F_Inputs!$G$2:$T$2,0))</f>
        <v>0</v>
      </c>
      <c r="R182" s="139">
        <f t="array" ref="R182">INDEX(F_Inputs!$G$4:$T$381,MATCH(Data!$B182&amp;Data!R$6,F_Inputs!$A$4:$A$381&amp;F_Inputs!$B$4:$B$381,0),MATCH(Data!$C182,F_Inputs!$G$2:$T$2,0))</f>
        <v>0</v>
      </c>
      <c r="S182" s="139">
        <f t="array" ref="S182">INDEX(F_Inputs!$G$4:$T$381,MATCH(Data!$B182&amp;Data!S$6,F_Inputs!$A$4:$A$381&amp;F_Inputs!$B$4:$B$381,0),MATCH(Data!$C182,F_Inputs!$G$2:$T$2,0))</f>
        <v>1.54</v>
      </c>
      <c r="U182" s="139">
        <f t="array" ref="U182">INDEX(F_Inputs!$G$4:$T$381,MATCH(Data!$B182&amp;Data!U$6,F_Inputs!$A$4:$A$381&amp;F_Inputs!$B$4:$B$381,0),MATCH(Data!$C182,F_Inputs!$G$2:$T$2,0))</f>
        <v>39.5</v>
      </c>
      <c r="V182" s="139">
        <f t="array" ref="V182">INDEX(F_Inputs!$G$4:$T$381,MATCH(Data!$B182&amp;Data!V$6,F_Inputs!$A$4:$A$381&amp;F_Inputs!$B$4:$B$381,0),MATCH(Data!$C182,F_Inputs!$G$2:$T$2,0))</f>
        <v>6958</v>
      </c>
      <c r="W182" s="139">
        <f t="array" ref="W182">INDEX(F_Inputs!$G$4:$T$381,MATCH(Data!$B182&amp;Data!W$6,F_Inputs!$A$4:$A$381&amp;F_Inputs!$B$4:$B$381,0),MATCH(Data!$C182,F_Inputs!$G$2:$T$2,0))</f>
        <v>566.19600000000003</v>
      </c>
    </row>
    <row r="183" spans="1:23" x14ac:dyDescent="0.2">
      <c r="A183" s="141" t="s">
        <v>236</v>
      </c>
      <c r="B183" s="142" t="s">
        <v>36</v>
      </c>
      <c r="C183" s="142" t="s">
        <v>76</v>
      </c>
      <c r="D183" s="139">
        <f t="array" ref="D183">INDEX(F_Inputs!$G$4:$T$381,MATCH(Data!$B183&amp;Data!D$6,F_Inputs!$A$4:$A$381&amp;F_Inputs!$B$4:$B$381,0),MATCH(Data!$C183,F_Inputs!$G$2:$T$2,0))</f>
        <v>0</v>
      </c>
      <c r="E183" s="139">
        <f t="array" ref="E183">INDEX(F_Inputs!$G$4:$T$381,MATCH(Data!$B183&amp;Data!E$6,F_Inputs!$A$4:$A$381&amp;F_Inputs!$B$4:$B$381,0),MATCH(Data!$C183,F_Inputs!$G$2:$T$2,0))</f>
        <v>0</v>
      </c>
      <c r="F183" s="139">
        <f t="array" ref="F183">INDEX(F_Inputs!$G$4:$T$381,MATCH(Data!$B183&amp;Data!F$6,F_Inputs!$A$4:$A$381&amp;F_Inputs!$B$4:$B$381,0),MATCH(Data!$C183,F_Inputs!$G$2:$T$2,0))</f>
        <v>0</v>
      </c>
      <c r="G183" s="139">
        <f t="array" ref="G183">INDEX(F_Inputs!$G$4:$T$381,MATCH(Data!$B183&amp;Data!G$6,F_Inputs!$A$4:$A$381&amp;F_Inputs!$B$4:$B$381,0),MATCH(Data!$C183,F_Inputs!$G$2:$T$2,0))</f>
        <v>0.69599999999999995</v>
      </c>
      <c r="I183" s="139">
        <f t="array" ref="I183">INDEX(F_Inputs!$G$4:$T$381,MATCH(Data!$B183&amp;Data!I$6,F_Inputs!$A$4:$A$381&amp;F_Inputs!$B$4:$B$381,0),MATCH(Data!$C183,F_Inputs!$G$2:$T$2,0))</f>
        <v>0</v>
      </c>
      <c r="J183" s="139">
        <f t="array" ref="J183">INDEX(F_Inputs!$G$4:$T$381,MATCH(Data!$B183&amp;Data!J$6,F_Inputs!$A$4:$A$381&amp;F_Inputs!$B$4:$B$381,0),MATCH(Data!$C183,F_Inputs!$G$2:$T$2,0))</f>
        <v>0</v>
      </c>
      <c r="K183" s="139">
        <f t="array" ref="K183">INDEX(F_Inputs!$G$4:$T$381,MATCH(Data!$B183&amp;Data!K$6,F_Inputs!$A$4:$A$381&amp;F_Inputs!$B$4:$B$381,0),MATCH(Data!$C183,F_Inputs!$G$2:$T$2,0))</f>
        <v>0</v>
      </c>
      <c r="L183" s="139">
        <f t="array" ref="L183">INDEX(F_Inputs!$G$4:$T$381,MATCH(Data!$B183&amp;Data!L$6,F_Inputs!$A$4:$A$381&amp;F_Inputs!$B$4:$B$381,0),MATCH(Data!$C183,F_Inputs!$G$2:$T$2,0))</f>
        <v>0.153</v>
      </c>
      <c r="N183" s="139">
        <f t="array" ref="N183">INDEX(F_Inputs!$G$4:$T$381,MATCH(Data!$B183&amp;Data!N$6,F_Inputs!$A$4:$A$381&amp;F_Inputs!$B$4:$B$381,0),MATCH(Data!$C183,F_Inputs!$G$2:$T$2,0))</f>
        <v>89.114000000000004</v>
      </c>
      <c r="O183" s="144"/>
      <c r="P183" s="139">
        <f t="array" ref="P183">INDEX(F_Inputs!$G$4:$T$381,MATCH(Data!$B183&amp;Data!P$6,F_Inputs!$A$4:$A$381&amp;F_Inputs!$B$4:$B$381,0),MATCH(Data!$C183,F_Inputs!$G$2:$T$2,0))</f>
        <v>0</v>
      </c>
      <c r="Q183" s="139">
        <f t="array" ref="Q183">INDEX(F_Inputs!$G$4:$T$381,MATCH(Data!$B183&amp;Data!Q$6,F_Inputs!$A$4:$A$381&amp;F_Inputs!$B$4:$B$381,0),MATCH(Data!$C183,F_Inputs!$G$2:$T$2,0))</f>
        <v>0</v>
      </c>
      <c r="R183" s="139">
        <f t="array" ref="R183">INDEX(F_Inputs!$G$4:$T$381,MATCH(Data!$B183&amp;Data!R$6,F_Inputs!$A$4:$A$381&amp;F_Inputs!$B$4:$B$381,0),MATCH(Data!$C183,F_Inputs!$G$2:$T$2,0))</f>
        <v>0</v>
      </c>
      <c r="S183" s="139">
        <f t="array" ref="S183">INDEX(F_Inputs!$G$4:$T$381,MATCH(Data!$B183&amp;Data!S$6,F_Inputs!$A$4:$A$381&amp;F_Inputs!$B$4:$B$381,0),MATCH(Data!$C183,F_Inputs!$G$2:$T$2,0))</f>
        <v>1.54</v>
      </c>
      <c r="U183" s="139">
        <f t="array" ref="U183">INDEX(F_Inputs!$G$4:$T$381,MATCH(Data!$B183&amp;Data!U$6,F_Inputs!$A$4:$A$381&amp;F_Inputs!$B$4:$B$381,0),MATCH(Data!$C183,F_Inputs!$G$2:$T$2,0))</f>
        <v>38</v>
      </c>
      <c r="V183" s="139">
        <f t="array" ref="V183">INDEX(F_Inputs!$G$4:$T$381,MATCH(Data!$B183&amp;Data!V$6,F_Inputs!$A$4:$A$381&amp;F_Inputs!$B$4:$B$381,0),MATCH(Data!$C183,F_Inputs!$G$2:$T$2,0))</f>
        <v>6984</v>
      </c>
      <c r="W183" s="139">
        <f t="array" ref="W183">INDEX(F_Inputs!$G$4:$T$381,MATCH(Data!$B183&amp;Data!W$6,F_Inputs!$A$4:$A$381&amp;F_Inputs!$B$4:$B$381,0),MATCH(Data!$C183,F_Inputs!$G$2:$T$2,0))</f>
        <v>571.77300000000002</v>
      </c>
    </row>
    <row r="184" spans="1:23" x14ac:dyDescent="0.2">
      <c r="A184" s="141" t="s">
        <v>237</v>
      </c>
      <c r="B184" s="142" t="s">
        <v>36</v>
      </c>
      <c r="C184" s="142" t="s">
        <v>24</v>
      </c>
      <c r="D184" s="139">
        <f t="array" ref="D184">INDEX(F_Inputs!$G$4:$T$381,MATCH(Data!$B184&amp;Data!D$6,F_Inputs!$A$4:$A$381&amp;F_Inputs!$B$4:$B$381,0),MATCH(Data!$C184,F_Inputs!$G$2:$T$2,0))</f>
        <v>0</v>
      </c>
      <c r="E184" s="139">
        <f t="array" ref="E184">INDEX(F_Inputs!$G$4:$T$381,MATCH(Data!$B184&amp;Data!E$6,F_Inputs!$A$4:$A$381&amp;F_Inputs!$B$4:$B$381,0),MATCH(Data!$C184,F_Inputs!$G$2:$T$2,0))</f>
        <v>0</v>
      </c>
      <c r="F184" s="139">
        <f t="array" ref="F184">INDEX(F_Inputs!$G$4:$T$381,MATCH(Data!$B184&amp;Data!F$6,F_Inputs!$A$4:$A$381&amp;F_Inputs!$B$4:$B$381,0),MATCH(Data!$C184,F_Inputs!$G$2:$T$2,0))</f>
        <v>0</v>
      </c>
      <c r="G184" s="139">
        <f t="array" ref="G184">INDEX(F_Inputs!$G$4:$T$381,MATCH(Data!$B184&amp;Data!G$6,F_Inputs!$A$4:$A$381&amp;F_Inputs!$B$4:$B$381,0),MATCH(Data!$C184,F_Inputs!$G$2:$T$2,0))</f>
        <v>0.69599999999999995</v>
      </c>
      <c r="I184" s="139">
        <f t="array" ref="I184">INDEX(F_Inputs!$G$4:$T$381,MATCH(Data!$B184&amp;Data!I$6,F_Inputs!$A$4:$A$381&amp;F_Inputs!$B$4:$B$381,0),MATCH(Data!$C184,F_Inputs!$G$2:$T$2,0))</f>
        <v>0</v>
      </c>
      <c r="J184" s="139">
        <f t="array" ref="J184">INDEX(F_Inputs!$G$4:$T$381,MATCH(Data!$B184&amp;Data!J$6,F_Inputs!$A$4:$A$381&amp;F_Inputs!$B$4:$B$381,0),MATCH(Data!$C184,F_Inputs!$G$2:$T$2,0))</f>
        <v>0</v>
      </c>
      <c r="K184" s="139">
        <f t="array" ref="K184">INDEX(F_Inputs!$G$4:$T$381,MATCH(Data!$B184&amp;Data!K$6,F_Inputs!$A$4:$A$381&amp;F_Inputs!$B$4:$B$381,0),MATCH(Data!$C184,F_Inputs!$G$2:$T$2,0))</f>
        <v>0</v>
      </c>
      <c r="L184" s="139">
        <f t="array" ref="L184">INDEX(F_Inputs!$G$4:$T$381,MATCH(Data!$B184&amp;Data!L$6,F_Inputs!$A$4:$A$381&amp;F_Inputs!$B$4:$B$381,0),MATCH(Data!$C184,F_Inputs!$G$2:$T$2,0))</f>
        <v>0.154</v>
      </c>
      <c r="N184" s="139">
        <f t="array" ref="N184">INDEX(F_Inputs!$G$4:$T$381,MATCH(Data!$B184&amp;Data!N$6,F_Inputs!$A$4:$A$381&amp;F_Inputs!$B$4:$B$381,0),MATCH(Data!$C184,F_Inputs!$G$2:$T$2,0))</f>
        <v>89.552000000000007</v>
      </c>
      <c r="O184" s="144"/>
      <c r="P184" s="139">
        <f t="array" ref="P184">INDEX(F_Inputs!$G$4:$T$381,MATCH(Data!$B184&amp;Data!P$6,F_Inputs!$A$4:$A$381&amp;F_Inputs!$B$4:$B$381,0),MATCH(Data!$C184,F_Inputs!$G$2:$T$2,0))</f>
        <v>0</v>
      </c>
      <c r="Q184" s="139">
        <f t="array" ref="Q184">INDEX(F_Inputs!$G$4:$T$381,MATCH(Data!$B184&amp;Data!Q$6,F_Inputs!$A$4:$A$381&amp;F_Inputs!$B$4:$B$381,0),MATCH(Data!$C184,F_Inputs!$G$2:$T$2,0))</f>
        <v>0</v>
      </c>
      <c r="R184" s="139">
        <f t="array" ref="R184">INDEX(F_Inputs!$G$4:$T$381,MATCH(Data!$B184&amp;Data!R$6,F_Inputs!$A$4:$A$381&amp;F_Inputs!$B$4:$B$381,0),MATCH(Data!$C184,F_Inputs!$G$2:$T$2,0))</f>
        <v>0</v>
      </c>
      <c r="S184" s="139">
        <f t="array" ref="S184">INDEX(F_Inputs!$G$4:$T$381,MATCH(Data!$B184&amp;Data!S$6,F_Inputs!$A$4:$A$381&amp;F_Inputs!$B$4:$B$381,0),MATCH(Data!$C184,F_Inputs!$G$2:$T$2,0))</f>
        <v>1.53</v>
      </c>
      <c r="U184" s="139">
        <f t="array" ref="U184">INDEX(F_Inputs!$G$4:$T$381,MATCH(Data!$B184&amp;Data!U$6,F_Inputs!$A$4:$A$381&amp;F_Inputs!$B$4:$B$381,0),MATCH(Data!$C184,F_Inputs!$G$2:$T$2,0))</f>
        <v>36.5</v>
      </c>
      <c r="V184" s="139">
        <f t="array" ref="V184">INDEX(F_Inputs!$G$4:$T$381,MATCH(Data!$B184&amp;Data!V$6,F_Inputs!$A$4:$A$381&amp;F_Inputs!$B$4:$B$381,0),MATCH(Data!$C184,F_Inputs!$G$2:$T$2,0))</f>
        <v>7010</v>
      </c>
      <c r="W184" s="139">
        <f t="array" ref="W184">INDEX(F_Inputs!$G$4:$T$381,MATCH(Data!$B184&amp;Data!W$6,F_Inputs!$A$4:$A$381&amp;F_Inputs!$B$4:$B$381,0),MATCH(Data!$C184,F_Inputs!$G$2:$T$2,0))</f>
        <v>577.23299999999995</v>
      </c>
    </row>
    <row r="185" spans="1:23" x14ac:dyDescent="0.2">
      <c r="A185" s="138" t="str">
        <f t="shared" ref="A185" si="10">B185&amp;RIGHT(C185,2)</f>
        <v>BWH12</v>
      </c>
      <c r="B185" s="19" t="s">
        <v>110</v>
      </c>
      <c r="C185" s="143" t="s">
        <v>64</v>
      </c>
      <c r="D185" s="139">
        <f t="array" ref="D185">INDEX(F_Inputs!$G$4:$T$381,MATCH(Data!$B185&amp;Data!D$6,F_Inputs!$A$4:$A$381&amp;F_Inputs!$B$4:$B$381,0),MATCH(Data!$C185,F_Inputs!$G$2:$T$2,0))</f>
        <v>0</v>
      </c>
      <c r="E185" s="139">
        <f t="array" ref="E185">INDEX(F_Inputs!$G$4:$T$381,MATCH(Data!$B185&amp;Data!E$6,F_Inputs!$A$4:$A$381&amp;F_Inputs!$B$4:$B$381,0),MATCH(Data!$C185,F_Inputs!$G$2:$T$2,0))</f>
        <v>0</v>
      </c>
      <c r="F185" s="139">
        <f t="array" ref="F185">INDEX(F_Inputs!$G$4:$T$381,MATCH(Data!$B185&amp;Data!F$6,F_Inputs!$A$4:$A$381&amp;F_Inputs!$B$4:$B$381,0),MATCH(Data!$C185,F_Inputs!$G$2:$T$2,0))</f>
        <v>0</v>
      </c>
      <c r="G185" s="139">
        <f t="array" ref="G185">INDEX(F_Inputs!$G$4:$T$381,MATCH(Data!$B185&amp;Data!G$6,F_Inputs!$A$4:$A$381&amp;F_Inputs!$B$4:$B$381,0),MATCH(Data!$C185,F_Inputs!$G$2:$T$2,0))</f>
        <v>0</v>
      </c>
      <c r="I185" s="139">
        <f t="array" ref="I185">INDEX(F_Inputs!$G$4:$T$381,MATCH(Data!$B185&amp;Data!I$6,F_Inputs!$A$4:$A$381&amp;F_Inputs!$B$4:$B$381,0),MATCH(Data!$C185,F_Inputs!$G$2:$T$2,0))</f>
        <v>0</v>
      </c>
      <c r="J185" s="139">
        <f t="array" ref="J185">INDEX(F_Inputs!$G$4:$T$381,MATCH(Data!$B185&amp;Data!J$6,F_Inputs!$A$4:$A$381&amp;F_Inputs!$B$4:$B$381,0),MATCH(Data!$C185,F_Inputs!$G$2:$T$2,0))</f>
        <v>0</v>
      </c>
      <c r="K185" s="139">
        <f t="array" ref="K185">INDEX(F_Inputs!$G$4:$T$381,MATCH(Data!$B185&amp;Data!K$6,F_Inputs!$A$4:$A$381&amp;F_Inputs!$B$4:$B$381,0),MATCH(Data!$C185,F_Inputs!$G$2:$T$2,0))</f>
        <v>0</v>
      </c>
      <c r="L185" s="139">
        <f t="array" ref="L185">INDEX(F_Inputs!$G$4:$T$381,MATCH(Data!$B185&amp;Data!L$6,F_Inputs!$A$4:$A$381&amp;F_Inputs!$B$4:$B$381,0),MATCH(Data!$C185,F_Inputs!$G$2:$T$2,0))</f>
        <v>0</v>
      </c>
      <c r="N185" s="139">
        <f t="array" ref="N185">INDEX(F_Inputs!$G$4:$T$381,MATCH(Data!$B185&amp;Data!N$6,F_Inputs!$A$4:$A$381&amp;F_Inputs!$B$4:$B$381,0),MATCH(Data!$C185,F_Inputs!$G$2:$T$2,0))</f>
        <v>27.845381991693898</v>
      </c>
      <c r="O185" s="144"/>
      <c r="P185" s="139">
        <f t="array" ref="P185">INDEX(F_Inputs!$G$4:$T$381,MATCH(Data!$B185&amp;Data!P$6,F_Inputs!$A$4:$A$381&amp;F_Inputs!$B$4:$B$381,0),MATCH(Data!$C185,F_Inputs!$G$2:$T$2,0))</f>
        <v>0</v>
      </c>
      <c r="Q185" s="139">
        <f t="array" ref="Q185">INDEX(F_Inputs!$G$4:$T$381,MATCH(Data!$B185&amp;Data!Q$6,F_Inputs!$A$4:$A$381&amp;F_Inputs!$B$4:$B$381,0),MATCH(Data!$C185,F_Inputs!$G$2:$T$2,0))</f>
        <v>0</v>
      </c>
      <c r="R185" s="139">
        <f t="array" ref="R185">INDEX(F_Inputs!$G$4:$T$381,MATCH(Data!$B185&amp;Data!R$6,F_Inputs!$A$4:$A$381&amp;F_Inputs!$B$4:$B$381,0),MATCH(Data!$C185,F_Inputs!$G$2:$T$2,0))</f>
        <v>0</v>
      </c>
      <c r="S185" s="139">
        <f t="array" ref="S185">INDEX(F_Inputs!$G$4:$T$381,MATCH(Data!$B185&amp;Data!S$6,F_Inputs!$A$4:$A$381&amp;F_Inputs!$B$4:$B$381,0),MATCH(Data!$C185,F_Inputs!$G$2:$T$2,0))</f>
        <v>0</v>
      </c>
      <c r="U185" s="139">
        <f t="array" ref="U185">INDEX(F_Inputs!$G$4:$T$381,MATCH(Data!$B185&amp;Data!U$6,F_Inputs!$A$4:$A$381&amp;F_Inputs!$B$4:$B$381,0),MATCH(Data!$C185,F_Inputs!$G$2:$T$2,0))</f>
        <v>0</v>
      </c>
      <c r="V185" s="139">
        <f t="array" ref="V185">INDEX(F_Inputs!$G$4:$T$381,MATCH(Data!$B185&amp;Data!V$6,F_Inputs!$A$4:$A$381&amp;F_Inputs!$B$4:$B$381,0),MATCH(Data!$C185,F_Inputs!$G$2:$T$2,0))</f>
        <v>0</v>
      </c>
      <c r="W185" s="139">
        <f t="array" ref="W185">INDEX(F_Inputs!$G$4:$T$381,MATCH(Data!$B185&amp;Data!W$6,F_Inputs!$A$4:$A$381&amp;F_Inputs!$B$4:$B$381,0),MATCH(Data!$C185,F_Inputs!$G$2:$T$2,0))</f>
        <v>0</v>
      </c>
    </row>
    <row r="186" spans="1:23" x14ac:dyDescent="0.2">
      <c r="A186" s="138" t="str">
        <f>B186&amp;RIGHT(C186,2)</f>
        <v>BWH13</v>
      </c>
      <c r="B186" s="19" t="s">
        <v>110</v>
      </c>
      <c r="C186" s="143" t="s">
        <v>65</v>
      </c>
      <c r="D186" s="139">
        <f t="array" ref="D186">INDEX(F_Inputs!$G$4:$T$381,MATCH(Data!$B186&amp;Data!D$6,F_Inputs!$A$4:$A$381&amp;F_Inputs!$B$4:$B$381,0),MATCH(Data!$C186,F_Inputs!$G$2:$T$2,0))</f>
        <v>0</v>
      </c>
      <c r="E186" s="139">
        <f t="array" ref="E186">INDEX(F_Inputs!$G$4:$T$381,MATCH(Data!$B186&amp;Data!E$6,F_Inputs!$A$4:$A$381&amp;F_Inputs!$B$4:$B$381,0),MATCH(Data!$C186,F_Inputs!$G$2:$T$2,0))</f>
        <v>0</v>
      </c>
      <c r="F186" s="139">
        <f t="array" ref="F186">INDEX(F_Inputs!$G$4:$T$381,MATCH(Data!$B186&amp;Data!F$6,F_Inputs!$A$4:$A$381&amp;F_Inputs!$B$4:$B$381,0),MATCH(Data!$C186,F_Inputs!$G$2:$T$2,0))</f>
        <v>0</v>
      </c>
      <c r="G186" s="139">
        <f t="array" ref="G186">INDEX(F_Inputs!$G$4:$T$381,MATCH(Data!$B186&amp;Data!G$6,F_Inputs!$A$4:$A$381&amp;F_Inputs!$B$4:$B$381,0),MATCH(Data!$C186,F_Inputs!$G$2:$T$2,0))</f>
        <v>0</v>
      </c>
      <c r="I186" s="139">
        <f t="array" ref="I186">INDEX(F_Inputs!$G$4:$T$381,MATCH(Data!$B186&amp;Data!I$6,F_Inputs!$A$4:$A$381&amp;F_Inputs!$B$4:$B$381,0),MATCH(Data!$C186,F_Inputs!$G$2:$T$2,0))</f>
        <v>0</v>
      </c>
      <c r="J186" s="139">
        <f t="array" ref="J186">INDEX(F_Inputs!$G$4:$T$381,MATCH(Data!$B186&amp;Data!J$6,F_Inputs!$A$4:$A$381&amp;F_Inputs!$B$4:$B$381,0),MATCH(Data!$C186,F_Inputs!$G$2:$T$2,0))</f>
        <v>0</v>
      </c>
      <c r="K186" s="139">
        <f t="array" ref="K186">INDEX(F_Inputs!$G$4:$T$381,MATCH(Data!$B186&amp;Data!K$6,F_Inputs!$A$4:$A$381&amp;F_Inputs!$B$4:$B$381,0),MATCH(Data!$C186,F_Inputs!$G$2:$T$2,0))</f>
        <v>0</v>
      </c>
      <c r="L186" s="139">
        <f t="array" ref="L186">INDEX(F_Inputs!$G$4:$T$381,MATCH(Data!$B186&amp;Data!L$6,F_Inputs!$A$4:$A$381&amp;F_Inputs!$B$4:$B$381,0),MATCH(Data!$C186,F_Inputs!$G$2:$T$2,0))</f>
        <v>0</v>
      </c>
      <c r="N186" s="139">
        <f t="array" ref="N186">INDEX(F_Inputs!$G$4:$T$381,MATCH(Data!$B186&amp;Data!N$6,F_Inputs!$A$4:$A$381&amp;F_Inputs!$B$4:$B$381,0),MATCH(Data!$C186,F_Inputs!$G$2:$T$2,0))</f>
        <v>26.162249870578101</v>
      </c>
      <c r="O186" s="144"/>
      <c r="P186" s="139">
        <f t="array" ref="P186">INDEX(F_Inputs!$G$4:$T$381,MATCH(Data!$B186&amp;Data!P$6,F_Inputs!$A$4:$A$381&amp;F_Inputs!$B$4:$B$381,0),MATCH(Data!$C186,F_Inputs!$G$2:$T$2,0))</f>
        <v>0</v>
      </c>
      <c r="Q186" s="139">
        <f t="array" ref="Q186">INDEX(F_Inputs!$G$4:$T$381,MATCH(Data!$B186&amp;Data!Q$6,F_Inputs!$A$4:$A$381&amp;F_Inputs!$B$4:$B$381,0),MATCH(Data!$C186,F_Inputs!$G$2:$T$2,0))</f>
        <v>0</v>
      </c>
      <c r="R186" s="139">
        <f t="array" ref="R186">INDEX(F_Inputs!$G$4:$T$381,MATCH(Data!$B186&amp;Data!R$6,F_Inputs!$A$4:$A$381&amp;F_Inputs!$B$4:$B$381,0),MATCH(Data!$C186,F_Inputs!$G$2:$T$2,0))</f>
        <v>0</v>
      </c>
      <c r="S186" s="139">
        <f t="array" ref="S186">INDEX(F_Inputs!$G$4:$T$381,MATCH(Data!$B186&amp;Data!S$6,F_Inputs!$A$4:$A$381&amp;F_Inputs!$B$4:$B$381,0),MATCH(Data!$C186,F_Inputs!$G$2:$T$2,0))</f>
        <v>0</v>
      </c>
      <c r="U186" s="139">
        <f t="array" ref="U186">INDEX(F_Inputs!$G$4:$T$381,MATCH(Data!$B186&amp;Data!U$6,F_Inputs!$A$4:$A$381&amp;F_Inputs!$B$4:$B$381,0),MATCH(Data!$C186,F_Inputs!$G$2:$T$2,0))</f>
        <v>0</v>
      </c>
      <c r="V186" s="139">
        <f t="array" ref="V186">INDEX(F_Inputs!$G$4:$T$381,MATCH(Data!$B186&amp;Data!V$6,F_Inputs!$A$4:$A$381&amp;F_Inputs!$B$4:$B$381,0),MATCH(Data!$C186,F_Inputs!$G$2:$T$2,0))</f>
        <v>0</v>
      </c>
      <c r="W186" s="139">
        <f t="array" ref="W186">INDEX(F_Inputs!$G$4:$T$381,MATCH(Data!$B186&amp;Data!W$6,F_Inputs!$A$4:$A$381&amp;F_Inputs!$B$4:$B$381,0),MATCH(Data!$C186,F_Inputs!$G$2:$T$2,0))</f>
        <v>0</v>
      </c>
    </row>
    <row r="187" spans="1:23" x14ac:dyDescent="0.2">
      <c r="A187" s="138" t="str">
        <f>B187&amp;RIGHT(C187,2)</f>
        <v>BWH14</v>
      </c>
      <c r="B187" s="19" t="s">
        <v>110</v>
      </c>
      <c r="C187" s="143" t="s">
        <v>66</v>
      </c>
      <c r="D187" s="139">
        <f t="array" ref="D187">INDEX(F_Inputs!$G$4:$T$381,MATCH(Data!$B187&amp;Data!D$6,F_Inputs!$A$4:$A$381&amp;F_Inputs!$B$4:$B$381,0),MATCH(Data!$C187,F_Inputs!$G$2:$T$2,0))</f>
        <v>0</v>
      </c>
      <c r="E187" s="139">
        <f t="array" ref="E187">INDEX(F_Inputs!$G$4:$T$381,MATCH(Data!$B187&amp;Data!E$6,F_Inputs!$A$4:$A$381&amp;F_Inputs!$B$4:$B$381,0),MATCH(Data!$C187,F_Inputs!$G$2:$T$2,0))</f>
        <v>0</v>
      </c>
      <c r="F187" s="139">
        <f t="array" ref="F187">INDEX(F_Inputs!$G$4:$T$381,MATCH(Data!$B187&amp;Data!F$6,F_Inputs!$A$4:$A$381&amp;F_Inputs!$B$4:$B$381,0),MATCH(Data!$C187,F_Inputs!$G$2:$T$2,0))</f>
        <v>0</v>
      </c>
      <c r="G187" s="139">
        <f t="array" ref="G187">INDEX(F_Inputs!$G$4:$T$381,MATCH(Data!$B187&amp;Data!G$6,F_Inputs!$A$4:$A$381&amp;F_Inputs!$B$4:$B$381,0),MATCH(Data!$C187,F_Inputs!$G$2:$T$2,0))</f>
        <v>0</v>
      </c>
      <c r="I187" s="139">
        <f t="array" ref="I187">INDEX(F_Inputs!$G$4:$T$381,MATCH(Data!$B187&amp;Data!I$6,F_Inputs!$A$4:$A$381&amp;F_Inputs!$B$4:$B$381,0),MATCH(Data!$C187,F_Inputs!$G$2:$T$2,0))</f>
        <v>0</v>
      </c>
      <c r="J187" s="139">
        <f t="array" ref="J187">INDEX(F_Inputs!$G$4:$T$381,MATCH(Data!$B187&amp;Data!J$6,F_Inputs!$A$4:$A$381&amp;F_Inputs!$B$4:$B$381,0),MATCH(Data!$C187,F_Inputs!$G$2:$T$2,0))</f>
        <v>0</v>
      </c>
      <c r="K187" s="139">
        <f t="array" ref="K187">INDEX(F_Inputs!$G$4:$T$381,MATCH(Data!$B187&amp;Data!K$6,F_Inputs!$A$4:$A$381&amp;F_Inputs!$B$4:$B$381,0),MATCH(Data!$C187,F_Inputs!$G$2:$T$2,0))</f>
        <v>0</v>
      </c>
      <c r="L187" s="139">
        <f t="array" ref="L187">INDEX(F_Inputs!$G$4:$T$381,MATCH(Data!$B187&amp;Data!L$6,F_Inputs!$A$4:$A$381&amp;F_Inputs!$B$4:$B$381,0),MATCH(Data!$C187,F_Inputs!$G$2:$T$2,0))</f>
        <v>0</v>
      </c>
      <c r="N187" s="139">
        <f t="array" ref="N187">INDEX(F_Inputs!$G$4:$T$381,MATCH(Data!$B187&amp;Data!N$6,F_Inputs!$A$4:$A$381&amp;F_Inputs!$B$4:$B$381,0),MATCH(Data!$C187,F_Inputs!$G$2:$T$2,0))</f>
        <v>30.2651118999324</v>
      </c>
      <c r="O187" s="144"/>
      <c r="P187" s="139">
        <f t="array" ref="P187">INDEX(F_Inputs!$G$4:$T$381,MATCH(Data!$B187&amp;Data!P$6,F_Inputs!$A$4:$A$381&amp;F_Inputs!$B$4:$B$381,0),MATCH(Data!$C187,F_Inputs!$G$2:$T$2,0))</f>
        <v>0</v>
      </c>
      <c r="Q187" s="139">
        <f t="array" ref="Q187">INDEX(F_Inputs!$G$4:$T$381,MATCH(Data!$B187&amp;Data!Q$6,F_Inputs!$A$4:$A$381&amp;F_Inputs!$B$4:$B$381,0),MATCH(Data!$C187,F_Inputs!$G$2:$T$2,0))</f>
        <v>0</v>
      </c>
      <c r="R187" s="139">
        <f t="array" ref="R187">INDEX(F_Inputs!$G$4:$T$381,MATCH(Data!$B187&amp;Data!R$6,F_Inputs!$A$4:$A$381&amp;F_Inputs!$B$4:$B$381,0),MATCH(Data!$C187,F_Inputs!$G$2:$T$2,0))</f>
        <v>0</v>
      </c>
      <c r="S187" s="139">
        <f t="array" ref="S187">INDEX(F_Inputs!$G$4:$T$381,MATCH(Data!$B187&amp;Data!S$6,F_Inputs!$A$4:$A$381&amp;F_Inputs!$B$4:$B$381,0),MATCH(Data!$C187,F_Inputs!$G$2:$T$2,0))</f>
        <v>0</v>
      </c>
      <c r="U187" s="139">
        <f t="array" ref="U187">INDEX(F_Inputs!$G$4:$T$381,MATCH(Data!$B187&amp;Data!U$6,F_Inputs!$A$4:$A$381&amp;F_Inputs!$B$4:$B$381,0),MATCH(Data!$C187,F_Inputs!$G$2:$T$2,0))</f>
        <v>0</v>
      </c>
      <c r="V187" s="139">
        <f t="array" ref="V187">INDEX(F_Inputs!$G$4:$T$381,MATCH(Data!$B187&amp;Data!V$6,F_Inputs!$A$4:$A$381&amp;F_Inputs!$B$4:$B$381,0),MATCH(Data!$C187,F_Inputs!$G$2:$T$2,0))</f>
        <v>0</v>
      </c>
      <c r="W187" s="139">
        <f t="array" ref="W187">INDEX(F_Inputs!$G$4:$T$381,MATCH(Data!$B187&amp;Data!W$6,F_Inputs!$A$4:$A$381&amp;F_Inputs!$B$4:$B$381,0),MATCH(Data!$C187,F_Inputs!$G$2:$T$2,0))</f>
        <v>0</v>
      </c>
    </row>
    <row r="188" spans="1:23" x14ac:dyDescent="0.2">
      <c r="A188" s="138" t="str">
        <f>B188&amp;RIGHT(C188,2)</f>
        <v>BWH15</v>
      </c>
      <c r="B188" s="19" t="s">
        <v>110</v>
      </c>
      <c r="C188" s="143" t="s">
        <v>67</v>
      </c>
      <c r="D188" s="139">
        <f t="array" ref="D188">INDEX(F_Inputs!$G$4:$T$381,MATCH(Data!$B188&amp;Data!D$6,F_Inputs!$A$4:$A$381&amp;F_Inputs!$B$4:$B$381,0),MATCH(Data!$C188,F_Inputs!$G$2:$T$2,0))</f>
        <v>0</v>
      </c>
      <c r="E188" s="139">
        <f t="array" ref="E188">INDEX(F_Inputs!$G$4:$T$381,MATCH(Data!$B188&amp;Data!E$6,F_Inputs!$A$4:$A$381&amp;F_Inputs!$B$4:$B$381,0),MATCH(Data!$C188,F_Inputs!$G$2:$T$2,0))</f>
        <v>0</v>
      </c>
      <c r="F188" s="139">
        <f t="array" ref="F188">INDEX(F_Inputs!$G$4:$T$381,MATCH(Data!$B188&amp;Data!F$6,F_Inputs!$A$4:$A$381&amp;F_Inputs!$B$4:$B$381,0),MATCH(Data!$C188,F_Inputs!$G$2:$T$2,0))</f>
        <v>0</v>
      </c>
      <c r="G188" s="139">
        <f t="array" ref="G188">INDEX(F_Inputs!$G$4:$T$381,MATCH(Data!$B188&amp;Data!G$6,F_Inputs!$A$4:$A$381&amp;F_Inputs!$B$4:$B$381,0),MATCH(Data!$C188,F_Inputs!$G$2:$T$2,0))</f>
        <v>0</v>
      </c>
      <c r="I188" s="139">
        <f t="array" ref="I188">INDEX(F_Inputs!$G$4:$T$381,MATCH(Data!$B188&amp;Data!I$6,F_Inputs!$A$4:$A$381&amp;F_Inputs!$B$4:$B$381,0),MATCH(Data!$C188,F_Inputs!$G$2:$T$2,0))</f>
        <v>0</v>
      </c>
      <c r="J188" s="139">
        <f t="array" ref="J188">INDEX(F_Inputs!$G$4:$T$381,MATCH(Data!$B188&amp;Data!J$6,F_Inputs!$A$4:$A$381&amp;F_Inputs!$B$4:$B$381,0),MATCH(Data!$C188,F_Inputs!$G$2:$T$2,0))</f>
        <v>0</v>
      </c>
      <c r="K188" s="139">
        <f t="array" ref="K188">INDEX(F_Inputs!$G$4:$T$381,MATCH(Data!$B188&amp;Data!K$6,F_Inputs!$A$4:$A$381&amp;F_Inputs!$B$4:$B$381,0),MATCH(Data!$C188,F_Inputs!$G$2:$T$2,0))</f>
        <v>0</v>
      </c>
      <c r="L188" s="139">
        <f t="array" ref="L188">INDEX(F_Inputs!$G$4:$T$381,MATCH(Data!$B188&amp;Data!L$6,F_Inputs!$A$4:$A$381&amp;F_Inputs!$B$4:$B$381,0),MATCH(Data!$C188,F_Inputs!$G$2:$T$2,0))</f>
        <v>0</v>
      </c>
      <c r="N188" s="139">
        <f t="array" ref="N188">INDEX(F_Inputs!$G$4:$T$381,MATCH(Data!$B188&amp;Data!N$6,F_Inputs!$A$4:$A$381&amp;F_Inputs!$B$4:$B$381,0),MATCH(Data!$C188,F_Inputs!$G$2:$T$2,0))</f>
        <v>28.388525946352502</v>
      </c>
      <c r="O188" s="144"/>
      <c r="P188" s="139">
        <f t="array" ref="P188">INDEX(F_Inputs!$G$4:$T$381,MATCH(Data!$B188&amp;Data!P$6,F_Inputs!$A$4:$A$381&amp;F_Inputs!$B$4:$B$381,0),MATCH(Data!$C188,F_Inputs!$G$2:$T$2,0))</f>
        <v>0</v>
      </c>
      <c r="Q188" s="139">
        <f t="array" ref="Q188">INDEX(F_Inputs!$G$4:$T$381,MATCH(Data!$B188&amp;Data!Q$6,F_Inputs!$A$4:$A$381&amp;F_Inputs!$B$4:$B$381,0),MATCH(Data!$C188,F_Inputs!$G$2:$T$2,0))</f>
        <v>0</v>
      </c>
      <c r="R188" s="139">
        <f t="array" ref="R188">INDEX(F_Inputs!$G$4:$T$381,MATCH(Data!$B188&amp;Data!R$6,F_Inputs!$A$4:$A$381&amp;F_Inputs!$B$4:$B$381,0),MATCH(Data!$C188,F_Inputs!$G$2:$T$2,0))</f>
        <v>0</v>
      </c>
      <c r="S188" s="139">
        <f t="array" ref="S188">INDEX(F_Inputs!$G$4:$T$381,MATCH(Data!$B188&amp;Data!S$6,F_Inputs!$A$4:$A$381&amp;F_Inputs!$B$4:$B$381,0),MATCH(Data!$C188,F_Inputs!$G$2:$T$2,0))</f>
        <v>0</v>
      </c>
      <c r="U188" s="139">
        <f t="array" ref="U188">INDEX(F_Inputs!$G$4:$T$381,MATCH(Data!$B188&amp;Data!U$6,F_Inputs!$A$4:$A$381&amp;F_Inputs!$B$4:$B$381,0),MATCH(Data!$C188,F_Inputs!$G$2:$T$2,0))</f>
        <v>0</v>
      </c>
      <c r="V188" s="139">
        <f t="array" ref="V188">INDEX(F_Inputs!$G$4:$T$381,MATCH(Data!$B188&amp;Data!V$6,F_Inputs!$A$4:$A$381&amp;F_Inputs!$B$4:$B$381,0),MATCH(Data!$C188,F_Inputs!$G$2:$T$2,0))</f>
        <v>0</v>
      </c>
      <c r="W188" s="139">
        <f t="array" ref="W188">INDEX(F_Inputs!$G$4:$T$381,MATCH(Data!$B188&amp;Data!W$6,F_Inputs!$A$4:$A$381&amp;F_Inputs!$B$4:$B$381,0),MATCH(Data!$C188,F_Inputs!$G$2:$T$2,0))</f>
        <v>0</v>
      </c>
    </row>
    <row r="189" spans="1:23" x14ac:dyDescent="0.2">
      <c r="A189" s="138" t="str">
        <f>B189&amp;RIGHT(C189,2)</f>
        <v>BWH16</v>
      </c>
      <c r="B189" s="19" t="s">
        <v>110</v>
      </c>
      <c r="C189" s="143" t="s">
        <v>68</v>
      </c>
      <c r="D189" s="139">
        <f t="array" ref="D189">INDEX(F_Inputs!$G$4:$T$381,MATCH(Data!$B189&amp;Data!D$6,F_Inputs!$A$4:$A$381&amp;F_Inputs!$B$4:$B$381,0),MATCH(Data!$C189,F_Inputs!$G$2:$T$2,0))</f>
        <v>0</v>
      </c>
      <c r="E189" s="139">
        <f t="array" ref="E189">INDEX(F_Inputs!$G$4:$T$381,MATCH(Data!$B189&amp;Data!E$6,F_Inputs!$A$4:$A$381&amp;F_Inputs!$B$4:$B$381,0),MATCH(Data!$C189,F_Inputs!$G$2:$T$2,0))</f>
        <v>0</v>
      </c>
      <c r="F189" s="139">
        <f t="array" ref="F189">INDEX(F_Inputs!$G$4:$T$381,MATCH(Data!$B189&amp;Data!F$6,F_Inputs!$A$4:$A$381&amp;F_Inputs!$B$4:$B$381,0),MATCH(Data!$C189,F_Inputs!$G$2:$T$2,0))</f>
        <v>0</v>
      </c>
      <c r="G189" s="139">
        <f t="array" ref="G189">INDEX(F_Inputs!$G$4:$T$381,MATCH(Data!$B189&amp;Data!G$6,F_Inputs!$A$4:$A$381&amp;F_Inputs!$B$4:$B$381,0),MATCH(Data!$C189,F_Inputs!$G$2:$T$2,0))</f>
        <v>5.2021630615640604E-3</v>
      </c>
      <c r="I189" s="139">
        <f t="array" ref="I189">INDEX(F_Inputs!$G$4:$T$381,MATCH(Data!$B189&amp;Data!I$6,F_Inputs!$A$4:$A$381&amp;F_Inputs!$B$4:$B$381,0),MATCH(Data!$C189,F_Inputs!$G$2:$T$2,0))</f>
        <v>0</v>
      </c>
      <c r="J189" s="139">
        <f t="array" ref="J189">INDEX(F_Inputs!$G$4:$T$381,MATCH(Data!$B189&amp;Data!J$6,F_Inputs!$A$4:$A$381&amp;F_Inputs!$B$4:$B$381,0),MATCH(Data!$C189,F_Inputs!$G$2:$T$2,0))</f>
        <v>0</v>
      </c>
      <c r="K189" s="139">
        <f t="array" ref="K189">INDEX(F_Inputs!$G$4:$T$381,MATCH(Data!$B189&amp;Data!K$6,F_Inputs!$A$4:$A$381&amp;F_Inputs!$B$4:$B$381,0),MATCH(Data!$C189,F_Inputs!$G$2:$T$2,0))</f>
        <v>0</v>
      </c>
      <c r="L189" s="139">
        <f t="array" ref="L189">INDEX(F_Inputs!$G$4:$T$381,MATCH(Data!$B189&amp;Data!L$6,F_Inputs!$A$4:$A$381&amp;F_Inputs!$B$4:$B$381,0),MATCH(Data!$C189,F_Inputs!$G$2:$T$2,0))</f>
        <v>0</v>
      </c>
      <c r="N189" s="139">
        <f t="array" ref="N189">INDEX(F_Inputs!$G$4:$T$381,MATCH(Data!$B189&amp;Data!N$6,F_Inputs!$A$4:$A$381&amp;F_Inputs!$B$4:$B$381,0),MATCH(Data!$C189,F_Inputs!$G$2:$T$2,0))</f>
        <v>26.035785690515802</v>
      </c>
      <c r="O189" s="144"/>
      <c r="P189" s="139">
        <f t="array" ref="P189">INDEX(F_Inputs!$G$4:$T$381,MATCH(Data!$B189&amp;Data!P$6,F_Inputs!$A$4:$A$381&amp;F_Inputs!$B$4:$B$381,0),MATCH(Data!$C189,F_Inputs!$G$2:$T$2,0))</f>
        <v>0</v>
      </c>
      <c r="Q189" s="139">
        <f t="array" ref="Q189">INDEX(F_Inputs!$G$4:$T$381,MATCH(Data!$B189&amp;Data!Q$6,F_Inputs!$A$4:$A$381&amp;F_Inputs!$B$4:$B$381,0),MATCH(Data!$C189,F_Inputs!$G$2:$T$2,0))</f>
        <v>0</v>
      </c>
      <c r="R189" s="139">
        <f t="array" ref="R189">INDEX(F_Inputs!$G$4:$T$381,MATCH(Data!$B189&amp;Data!R$6,F_Inputs!$A$4:$A$381&amp;F_Inputs!$B$4:$B$381,0),MATCH(Data!$C189,F_Inputs!$G$2:$T$2,0))</f>
        <v>0</v>
      </c>
      <c r="S189" s="139">
        <f t="array" ref="S189">INDEX(F_Inputs!$G$4:$T$381,MATCH(Data!$B189&amp;Data!S$6,F_Inputs!$A$4:$A$381&amp;F_Inputs!$B$4:$B$381,0),MATCH(Data!$C189,F_Inputs!$G$2:$T$2,0))</f>
        <v>0</v>
      </c>
      <c r="U189" s="139">
        <f t="array" ref="U189">INDEX(F_Inputs!$G$4:$T$381,MATCH(Data!$B189&amp;Data!U$6,F_Inputs!$A$4:$A$381&amp;F_Inputs!$B$4:$B$381,0),MATCH(Data!$C189,F_Inputs!$G$2:$T$2,0))</f>
        <v>0</v>
      </c>
      <c r="V189" s="139">
        <f t="array" ref="V189">INDEX(F_Inputs!$G$4:$T$381,MATCH(Data!$B189&amp;Data!V$6,F_Inputs!$A$4:$A$381&amp;F_Inputs!$B$4:$B$381,0),MATCH(Data!$C189,F_Inputs!$G$2:$T$2,0))</f>
        <v>0</v>
      </c>
      <c r="W189" s="139">
        <f t="array" ref="W189">INDEX(F_Inputs!$G$4:$T$381,MATCH(Data!$B189&amp;Data!W$6,F_Inputs!$A$4:$A$381&amp;F_Inputs!$B$4:$B$381,0),MATCH(Data!$C189,F_Inputs!$G$2:$T$2,0))</f>
        <v>0</v>
      </c>
    </row>
    <row r="190" spans="1:23" x14ac:dyDescent="0.2">
      <c r="A190" s="138" t="str">
        <f>B190&amp;RIGHT(C190,2)</f>
        <v>BWH17</v>
      </c>
      <c r="B190" s="19" t="s">
        <v>110</v>
      </c>
      <c r="C190" s="143" t="s">
        <v>69</v>
      </c>
      <c r="D190" s="139">
        <f t="array" ref="D190">INDEX(F_Inputs!$G$4:$T$381,MATCH(Data!$B190&amp;Data!D$6,F_Inputs!$A$4:$A$381&amp;F_Inputs!$B$4:$B$381,0),MATCH(Data!$C190,F_Inputs!$G$2:$T$2,0))</f>
        <v>0</v>
      </c>
      <c r="E190" s="139">
        <f t="array" ref="E190">INDEX(F_Inputs!$G$4:$T$381,MATCH(Data!$B190&amp;Data!E$6,F_Inputs!$A$4:$A$381&amp;F_Inputs!$B$4:$B$381,0),MATCH(Data!$C190,F_Inputs!$G$2:$T$2,0))</f>
        <v>0</v>
      </c>
      <c r="F190" s="139">
        <f t="array" ref="F190">INDEX(F_Inputs!$G$4:$T$381,MATCH(Data!$B190&amp;Data!F$6,F_Inputs!$A$4:$A$381&amp;F_Inputs!$B$4:$B$381,0),MATCH(Data!$C190,F_Inputs!$G$2:$T$2,0))</f>
        <v>0</v>
      </c>
      <c r="G190" s="139">
        <f t="array" ref="G190">INDEX(F_Inputs!$G$4:$T$381,MATCH(Data!$B190&amp;Data!G$6,F_Inputs!$A$4:$A$381&amp;F_Inputs!$B$4:$B$381,0),MATCH(Data!$C190,F_Inputs!$G$2:$T$2,0))</f>
        <v>0</v>
      </c>
      <c r="I190" s="139">
        <f t="array" ref="I190">INDEX(F_Inputs!$G$4:$T$381,MATCH(Data!$B190&amp;Data!I$6,F_Inputs!$A$4:$A$381&amp;F_Inputs!$B$4:$B$381,0),MATCH(Data!$C190,F_Inputs!$G$2:$T$2,0))</f>
        <v>0</v>
      </c>
      <c r="J190" s="139">
        <f t="array" ref="J190">INDEX(F_Inputs!$G$4:$T$381,MATCH(Data!$B190&amp;Data!J$6,F_Inputs!$A$4:$A$381&amp;F_Inputs!$B$4:$B$381,0),MATCH(Data!$C190,F_Inputs!$G$2:$T$2,0))</f>
        <v>0</v>
      </c>
      <c r="K190" s="139">
        <f t="array" ref="K190">INDEX(F_Inputs!$G$4:$T$381,MATCH(Data!$B190&amp;Data!K$6,F_Inputs!$A$4:$A$381&amp;F_Inputs!$B$4:$B$381,0),MATCH(Data!$C190,F_Inputs!$G$2:$T$2,0))</f>
        <v>0</v>
      </c>
      <c r="L190" s="139">
        <f t="array" ref="L190">INDEX(F_Inputs!$G$4:$T$381,MATCH(Data!$B190&amp;Data!L$6,F_Inputs!$A$4:$A$381&amp;F_Inputs!$B$4:$B$381,0),MATCH(Data!$C190,F_Inputs!$G$2:$T$2,0))</f>
        <v>0</v>
      </c>
      <c r="N190" s="139">
        <f t="array" ref="N190">INDEX(F_Inputs!$G$4:$T$381,MATCH(Data!$B190&amp;Data!N$6,F_Inputs!$A$4:$A$381&amp;F_Inputs!$B$4:$B$381,0),MATCH(Data!$C190,F_Inputs!$G$2:$T$2,0))</f>
        <v>0</v>
      </c>
      <c r="O190" s="144"/>
      <c r="P190" s="139">
        <f t="array" ref="P190">INDEX(F_Inputs!$G$4:$T$381,MATCH(Data!$B190&amp;Data!P$6,F_Inputs!$A$4:$A$381&amp;F_Inputs!$B$4:$B$381,0),MATCH(Data!$C190,F_Inputs!$G$2:$T$2,0))</f>
        <v>0</v>
      </c>
      <c r="Q190" s="139">
        <f t="array" ref="Q190">INDEX(F_Inputs!$G$4:$T$381,MATCH(Data!$B190&amp;Data!Q$6,F_Inputs!$A$4:$A$381&amp;F_Inputs!$B$4:$B$381,0),MATCH(Data!$C190,F_Inputs!$G$2:$T$2,0))</f>
        <v>0</v>
      </c>
      <c r="R190" s="139">
        <f t="array" ref="R190">INDEX(F_Inputs!$G$4:$T$381,MATCH(Data!$B190&amp;Data!R$6,F_Inputs!$A$4:$A$381&amp;F_Inputs!$B$4:$B$381,0),MATCH(Data!$C190,F_Inputs!$G$2:$T$2,0))</f>
        <v>0</v>
      </c>
      <c r="S190" s="139">
        <f t="array" ref="S190">INDEX(F_Inputs!$G$4:$T$381,MATCH(Data!$B190&amp;Data!S$6,F_Inputs!$A$4:$A$381&amp;F_Inputs!$B$4:$B$381,0),MATCH(Data!$C190,F_Inputs!$G$2:$T$2,0))</f>
        <v>0</v>
      </c>
      <c r="U190" s="139">
        <f t="array" ref="U190">INDEX(F_Inputs!$G$4:$T$381,MATCH(Data!$B190&amp;Data!U$6,F_Inputs!$A$4:$A$381&amp;F_Inputs!$B$4:$B$381,0),MATCH(Data!$C190,F_Inputs!$G$2:$T$2,0))</f>
        <v>0</v>
      </c>
      <c r="V190" s="139">
        <f t="array" ref="V190">INDEX(F_Inputs!$G$4:$T$381,MATCH(Data!$B190&amp;Data!V$6,F_Inputs!$A$4:$A$381&amp;F_Inputs!$B$4:$B$381,0),MATCH(Data!$C190,F_Inputs!$G$2:$T$2,0))</f>
        <v>0</v>
      </c>
      <c r="W190" s="139">
        <f t="array" ref="W190">INDEX(F_Inputs!$G$4:$T$381,MATCH(Data!$B190&amp;Data!W$6,F_Inputs!$A$4:$A$381&amp;F_Inputs!$B$4:$B$381,0),MATCH(Data!$C190,F_Inputs!$G$2:$T$2,0))</f>
        <v>0</v>
      </c>
    </row>
    <row r="191" spans="1:23" x14ac:dyDescent="0.2">
      <c r="A191" s="141" t="s">
        <v>238</v>
      </c>
      <c r="B191" s="142" t="s">
        <v>110</v>
      </c>
      <c r="C191" s="142" t="s">
        <v>70</v>
      </c>
      <c r="D191" s="139">
        <f t="array" ref="D191">INDEX(F_Inputs!$G$4:$T$381,MATCH(Data!$B191&amp;Data!D$6,F_Inputs!$A$4:$A$381&amp;F_Inputs!$B$4:$B$381,0),MATCH(Data!$C191,F_Inputs!$G$2:$T$2,0))</f>
        <v>0</v>
      </c>
      <c r="E191" s="139">
        <f t="array" ref="E191">INDEX(F_Inputs!$G$4:$T$381,MATCH(Data!$B191&amp;Data!E$6,F_Inputs!$A$4:$A$381&amp;F_Inputs!$B$4:$B$381,0),MATCH(Data!$C191,F_Inputs!$G$2:$T$2,0))</f>
        <v>0</v>
      </c>
      <c r="F191" s="139">
        <f t="array" ref="F191">INDEX(F_Inputs!$G$4:$T$381,MATCH(Data!$B191&amp;Data!F$6,F_Inputs!$A$4:$A$381&amp;F_Inputs!$B$4:$B$381,0),MATCH(Data!$C191,F_Inputs!$G$2:$T$2,0))</f>
        <v>0</v>
      </c>
      <c r="G191" s="139">
        <f t="array" ref="G191">INDEX(F_Inputs!$G$4:$T$381,MATCH(Data!$B191&amp;Data!G$6,F_Inputs!$A$4:$A$381&amp;F_Inputs!$B$4:$B$381,0),MATCH(Data!$C191,F_Inputs!$G$2:$T$2,0))</f>
        <v>0</v>
      </c>
      <c r="I191" s="139">
        <f t="array" ref="I191">INDEX(F_Inputs!$G$4:$T$381,MATCH(Data!$B191&amp;Data!I$6,F_Inputs!$A$4:$A$381&amp;F_Inputs!$B$4:$B$381,0),MATCH(Data!$C191,F_Inputs!$G$2:$T$2,0))</f>
        <v>0</v>
      </c>
      <c r="J191" s="139">
        <f t="array" ref="J191">INDEX(F_Inputs!$G$4:$T$381,MATCH(Data!$B191&amp;Data!J$6,F_Inputs!$A$4:$A$381&amp;F_Inputs!$B$4:$B$381,0),MATCH(Data!$C191,F_Inputs!$G$2:$T$2,0))</f>
        <v>0</v>
      </c>
      <c r="K191" s="139">
        <f t="array" ref="K191">INDEX(F_Inputs!$G$4:$T$381,MATCH(Data!$B191&amp;Data!K$6,F_Inputs!$A$4:$A$381&amp;F_Inputs!$B$4:$B$381,0),MATCH(Data!$C191,F_Inputs!$G$2:$T$2,0))</f>
        <v>0</v>
      </c>
      <c r="L191" s="139">
        <f t="array" ref="L191">INDEX(F_Inputs!$G$4:$T$381,MATCH(Data!$B191&amp;Data!L$6,F_Inputs!$A$4:$A$381&amp;F_Inputs!$B$4:$B$381,0),MATCH(Data!$C191,F_Inputs!$G$2:$T$2,0))</f>
        <v>0</v>
      </c>
      <c r="N191" s="139">
        <f t="array" ref="N191">INDEX(F_Inputs!$G$4:$T$381,MATCH(Data!$B191&amp;Data!N$6,F_Inputs!$A$4:$A$381&amp;F_Inputs!$B$4:$B$381,0),MATCH(Data!$C191,F_Inputs!$G$2:$T$2,0))</f>
        <v>0</v>
      </c>
      <c r="O191" s="144"/>
      <c r="P191" s="139">
        <f t="array" ref="P191">INDEX(F_Inputs!$G$4:$T$381,MATCH(Data!$B191&amp;Data!P$6,F_Inputs!$A$4:$A$381&amp;F_Inputs!$B$4:$B$381,0),MATCH(Data!$C191,F_Inputs!$G$2:$T$2,0))</f>
        <v>0</v>
      </c>
      <c r="Q191" s="139">
        <f t="array" ref="Q191">INDEX(F_Inputs!$G$4:$T$381,MATCH(Data!$B191&amp;Data!Q$6,F_Inputs!$A$4:$A$381&amp;F_Inputs!$B$4:$B$381,0),MATCH(Data!$C191,F_Inputs!$G$2:$T$2,0))</f>
        <v>0</v>
      </c>
      <c r="R191" s="139">
        <f t="array" ref="R191">INDEX(F_Inputs!$G$4:$T$381,MATCH(Data!$B191&amp;Data!R$6,F_Inputs!$A$4:$A$381&amp;F_Inputs!$B$4:$B$381,0),MATCH(Data!$C191,F_Inputs!$G$2:$T$2,0))</f>
        <v>0</v>
      </c>
      <c r="S191" s="139">
        <f t="array" ref="S191">INDEX(F_Inputs!$G$4:$T$381,MATCH(Data!$B191&amp;Data!S$6,F_Inputs!$A$4:$A$381&amp;F_Inputs!$B$4:$B$381,0),MATCH(Data!$C191,F_Inputs!$G$2:$T$2,0))</f>
        <v>0</v>
      </c>
      <c r="U191" s="139">
        <f t="array" ref="U191">INDEX(F_Inputs!$G$4:$T$381,MATCH(Data!$B191&amp;Data!U$6,F_Inputs!$A$4:$A$381&amp;F_Inputs!$B$4:$B$381,0),MATCH(Data!$C191,F_Inputs!$G$2:$T$2,0))</f>
        <v>0</v>
      </c>
      <c r="V191" s="139">
        <f t="array" ref="V191">INDEX(F_Inputs!$G$4:$T$381,MATCH(Data!$B191&amp;Data!V$6,F_Inputs!$A$4:$A$381&amp;F_Inputs!$B$4:$B$381,0),MATCH(Data!$C191,F_Inputs!$G$2:$T$2,0))</f>
        <v>0</v>
      </c>
      <c r="W191" s="139">
        <f t="array" ref="W191">INDEX(F_Inputs!$G$4:$T$381,MATCH(Data!$B191&amp;Data!W$6,F_Inputs!$A$4:$A$381&amp;F_Inputs!$B$4:$B$381,0),MATCH(Data!$C191,F_Inputs!$G$2:$T$2,0))</f>
        <v>0</v>
      </c>
    </row>
    <row r="192" spans="1:23" x14ac:dyDescent="0.2">
      <c r="A192" s="141" t="s">
        <v>239</v>
      </c>
      <c r="B192" s="142" t="s">
        <v>110</v>
      </c>
      <c r="C192" s="142" t="s">
        <v>71</v>
      </c>
      <c r="D192" s="139">
        <f t="array" ref="D192">INDEX(F_Inputs!$G$4:$T$381,MATCH(Data!$B192&amp;Data!D$6,F_Inputs!$A$4:$A$381&amp;F_Inputs!$B$4:$B$381,0),MATCH(Data!$C192,F_Inputs!$G$2:$T$2,0))</f>
        <v>0</v>
      </c>
      <c r="E192" s="139">
        <f t="array" ref="E192">INDEX(F_Inputs!$G$4:$T$381,MATCH(Data!$B192&amp;Data!E$6,F_Inputs!$A$4:$A$381&amp;F_Inputs!$B$4:$B$381,0),MATCH(Data!$C192,F_Inputs!$G$2:$T$2,0))</f>
        <v>0</v>
      </c>
      <c r="F192" s="139">
        <f t="array" ref="F192">INDEX(F_Inputs!$G$4:$T$381,MATCH(Data!$B192&amp;Data!F$6,F_Inputs!$A$4:$A$381&amp;F_Inputs!$B$4:$B$381,0),MATCH(Data!$C192,F_Inputs!$G$2:$T$2,0))</f>
        <v>0</v>
      </c>
      <c r="G192" s="139">
        <f t="array" ref="G192">INDEX(F_Inputs!$G$4:$T$381,MATCH(Data!$B192&amp;Data!G$6,F_Inputs!$A$4:$A$381&amp;F_Inputs!$B$4:$B$381,0),MATCH(Data!$C192,F_Inputs!$G$2:$T$2,0))</f>
        <v>0</v>
      </c>
      <c r="I192" s="139">
        <f t="array" ref="I192">INDEX(F_Inputs!$G$4:$T$381,MATCH(Data!$B192&amp;Data!I$6,F_Inputs!$A$4:$A$381&amp;F_Inputs!$B$4:$B$381,0),MATCH(Data!$C192,F_Inputs!$G$2:$T$2,0))</f>
        <v>0</v>
      </c>
      <c r="J192" s="139">
        <f t="array" ref="J192">INDEX(F_Inputs!$G$4:$T$381,MATCH(Data!$B192&amp;Data!J$6,F_Inputs!$A$4:$A$381&amp;F_Inputs!$B$4:$B$381,0),MATCH(Data!$C192,F_Inputs!$G$2:$T$2,0))</f>
        <v>0</v>
      </c>
      <c r="K192" s="139">
        <f t="array" ref="K192">INDEX(F_Inputs!$G$4:$T$381,MATCH(Data!$B192&amp;Data!K$6,F_Inputs!$A$4:$A$381&amp;F_Inputs!$B$4:$B$381,0),MATCH(Data!$C192,F_Inputs!$G$2:$T$2,0))</f>
        <v>0</v>
      </c>
      <c r="L192" s="139">
        <f t="array" ref="L192">INDEX(F_Inputs!$G$4:$T$381,MATCH(Data!$B192&amp;Data!L$6,F_Inputs!$A$4:$A$381&amp;F_Inputs!$B$4:$B$381,0),MATCH(Data!$C192,F_Inputs!$G$2:$T$2,0))</f>
        <v>0</v>
      </c>
      <c r="N192" s="139">
        <f t="array" ref="N192">INDEX(F_Inputs!$G$4:$T$381,MATCH(Data!$B192&amp;Data!N$6,F_Inputs!$A$4:$A$381&amp;F_Inputs!$B$4:$B$381,0),MATCH(Data!$C192,F_Inputs!$G$2:$T$2,0))</f>
        <v>0</v>
      </c>
      <c r="O192" s="144"/>
      <c r="P192" s="139">
        <f t="array" ref="P192">INDEX(F_Inputs!$G$4:$T$381,MATCH(Data!$B192&amp;Data!P$6,F_Inputs!$A$4:$A$381&amp;F_Inputs!$B$4:$B$381,0),MATCH(Data!$C192,F_Inputs!$G$2:$T$2,0))</f>
        <v>0</v>
      </c>
      <c r="Q192" s="139">
        <f t="array" ref="Q192">INDEX(F_Inputs!$G$4:$T$381,MATCH(Data!$B192&amp;Data!Q$6,F_Inputs!$A$4:$A$381&amp;F_Inputs!$B$4:$B$381,0),MATCH(Data!$C192,F_Inputs!$G$2:$T$2,0))</f>
        <v>0</v>
      </c>
      <c r="R192" s="139">
        <f t="array" ref="R192">INDEX(F_Inputs!$G$4:$T$381,MATCH(Data!$B192&amp;Data!R$6,F_Inputs!$A$4:$A$381&amp;F_Inputs!$B$4:$B$381,0),MATCH(Data!$C192,F_Inputs!$G$2:$T$2,0))</f>
        <v>0</v>
      </c>
      <c r="S192" s="139">
        <f t="array" ref="S192">INDEX(F_Inputs!$G$4:$T$381,MATCH(Data!$B192&amp;Data!S$6,F_Inputs!$A$4:$A$381&amp;F_Inputs!$B$4:$B$381,0),MATCH(Data!$C192,F_Inputs!$G$2:$T$2,0))</f>
        <v>0</v>
      </c>
      <c r="U192" s="139">
        <f t="array" ref="U192">INDEX(F_Inputs!$G$4:$T$381,MATCH(Data!$B192&amp;Data!U$6,F_Inputs!$A$4:$A$381&amp;F_Inputs!$B$4:$B$381,0),MATCH(Data!$C192,F_Inputs!$G$2:$T$2,0))</f>
        <v>0</v>
      </c>
      <c r="V192" s="139">
        <f t="array" ref="V192">INDEX(F_Inputs!$G$4:$T$381,MATCH(Data!$B192&amp;Data!V$6,F_Inputs!$A$4:$A$381&amp;F_Inputs!$B$4:$B$381,0),MATCH(Data!$C192,F_Inputs!$G$2:$T$2,0))</f>
        <v>0</v>
      </c>
      <c r="W192" s="139">
        <f t="array" ref="W192">INDEX(F_Inputs!$G$4:$T$381,MATCH(Data!$B192&amp;Data!W$6,F_Inputs!$A$4:$A$381&amp;F_Inputs!$B$4:$B$381,0),MATCH(Data!$C192,F_Inputs!$G$2:$T$2,0))</f>
        <v>0</v>
      </c>
    </row>
    <row r="193" spans="1:23" x14ac:dyDescent="0.2">
      <c r="A193" s="141" t="s">
        <v>240</v>
      </c>
      <c r="B193" s="142" t="s">
        <v>110</v>
      </c>
      <c r="C193" s="142" t="s">
        <v>72</v>
      </c>
      <c r="D193" s="139">
        <f t="array" ref="D193">INDEX(F_Inputs!$G$4:$T$381,MATCH(Data!$B193&amp;Data!D$6,F_Inputs!$A$4:$A$381&amp;F_Inputs!$B$4:$B$381,0),MATCH(Data!$C193,F_Inputs!$G$2:$T$2,0))</f>
        <v>0</v>
      </c>
      <c r="E193" s="139">
        <f t="array" ref="E193">INDEX(F_Inputs!$G$4:$T$381,MATCH(Data!$B193&amp;Data!E$6,F_Inputs!$A$4:$A$381&amp;F_Inputs!$B$4:$B$381,0),MATCH(Data!$C193,F_Inputs!$G$2:$T$2,0))</f>
        <v>0</v>
      </c>
      <c r="F193" s="139">
        <f t="array" ref="F193">INDEX(F_Inputs!$G$4:$T$381,MATCH(Data!$B193&amp;Data!F$6,F_Inputs!$A$4:$A$381&amp;F_Inputs!$B$4:$B$381,0),MATCH(Data!$C193,F_Inputs!$G$2:$T$2,0))</f>
        <v>0</v>
      </c>
      <c r="G193" s="139">
        <f t="array" ref="G193">INDEX(F_Inputs!$G$4:$T$381,MATCH(Data!$B193&amp;Data!G$6,F_Inputs!$A$4:$A$381&amp;F_Inputs!$B$4:$B$381,0),MATCH(Data!$C193,F_Inputs!$G$2:$T$2,0))</f>
        <v>0</v>
      </c>
      <c r="I193" s="139">
        <f t="array" ref="I193">INDEX(F_Inputs!$G$4:$T$381,MATCH(Data!$B193&amp;Data!I$6,F_Inputs!$A$4:$A$381&amp;F_Inputs!$B$4:$B$381,0),MATCH(Data!$C193,F_Inputs!$G$2:$T$2,0))</f>
        <v>0</v>
      </c>
      <c r="J193" s="139">
        <f t="array" ref="J193">INDEX(F_Inputs!$G$4:$T$381,MATCH(Data!$B193&amp;Data!J$6,F_Inputs!$A$4:$A$381&amp;F_Inputs!$B$4:$B$381,0),MATCH(Data!$C193,F_Inputs!$G$2:$T$2,0))</f>
        <v>0</v>
      </c>
      <c r="K193" s="139">
        <f t="array" ref="K193">INDEX(F_Inputs!$G$4:$T$381,MATCH(Data!$B193&amp;Data!K$6,F_Inputs!$A$4:$A$381&amp;F_Inputs!$B$4:$B$381,0),MATCH(Data!$C193,F_Inputs!$G$2:$T$2,0))</f>
        <v>0</v>
      </c>
      <c r="L193" s="139">
        <f t="array" ref="L193">INDEX(F_Inputs!$G$4:$T$381,MATCH(Data!$B193&amp;Data!L$6,F_Inputs!$A$4:$A$381&amp;F_Inputs!$B$4:$B$381,0),MATCH(Data!$C193,F_Inputs!$G$2:$T$2,0))</f>
        <v>0</v>
      </c>
      <c r="N193" s="139">
        <f t="array" ref="N193">INDEX(F_Inputs!$G$4:$T$381,MATCH(Data!$B193&amp;Data!N$6,F_Inputs!$A$4:$A$381&amp;F_Inputs!$B$4:$B$381,0),MATCH(Data!$C193,F_Inputs!$G$2:$T$2,0))</f>
        <v>0</v>
      </c>
      <c r="O193" s="144"/>
      <c r="P193" s="139">
        <f t="array" ref="P193">INDEX(F_Inputs!$G$4:$T$381,MATCH(Data!$B193&amp;Data!P$6,F_Inputs!$A$4:$A$381&amp;F_Inputs!$B$4:$B$381,0),MATCH(Data!$C193,F_Inputs!$G$2:$T$2,0))</f>
        <v>0</v>
      </c>
      <c r="Q193" s="139">
        <f t="array" ref="Q193">INDEX(F_Inputs!$G$4:$T$381,MATCH(Data!$B193&amp;Data!Q$6,F_Inputs!$A$4:$A$381&amp;F_Inputs!$B$4:$B$381,0),MATCH(Data!$C193,F_Inputs!$G$2:$T$2,0))</f>
        <v>0</v>
      </c>
      <c r="R193" s="139">
        <f t="array" ref="R193">INDEX(F_Inputs!$G$4:$T$381,MATCH(Data!$B193&amp;Data!R$6,F_Inputs!$A$4:$A$381&amp;F_Inputs!$B$4:$B$381,0),MATCH(Data!$C193,F_Inputs!$G$2:$T$2,0))</f>
        <v>0</v>
      </c>
      <c r="S193" s="139">
        <f t="array" ref="S193">INDEX(F_Inputs!$G$4:$T$381,MATCH(Data!$B193&amp;Data!S$6,F_Inputs!$A$4:$A$381&amp;F_Inputs!$B$4:$B$381,0),MATCH(Data!$C193,F_Inputs!$G$2:$T$2,0))</f>
        <v>0</v>
      </c>
      <c r="U193" s="139">
        <f t="array" ref="U193">INDEX(F_Inputs!$G$4:$T$381,MATCH(Data!$B193&amp;Data!U$6,F_Inputs!$A$4:$A$381&amp;F_Inputs!$B$4:$B$381,0),MATCH(Data!$C193,F_Inputs!$G$2:$T$2,0))</f>
        <v>0</v>
      </c>
      <c r="V193" s="139">
        <f t="array" ref="V193">INDEX(F_Inputs!$G$4:$T$381,MATCH(Data!$B193&amp;Data!V$6,F_Inputs!$A$4:$A$381&amp;F_Inputs!$B$4:$B$381,0),MATCH(Data!$C193,F_Inputs!$G$2:$T$2,0))</f>
        <v>0</v>
      </c>
      <c r="W193" s="139">
        <f t="array" ref="W193">INDEX(F_Inputs!$G$4:$T$381,MATCH(Data!$B193&amp;Data!W$6,F_Inputs!$A$4:$A$381&amp;F_Inputs!$B$4:$B$381,0),MATCH(Data!$C193,F_Inputs!$G$2:$T$2,0))</f>
        <v>0</v>
      </c>
    </row>
    <row r="194" spans="1:23" x14ac:dyDescent="0.2">
      <c r="A194" s="141" t="s">
        <v>241</v>
      </c>
      <c r="B194" s="142" t="s">
        <v>110</v>
      </c>
      <c r="C194" s="142" t="s">
        <v>73</v>
      </c>
      <c r="D194" s="139">
        <f t="array" ref="D194">INDEX(F_Inputs!$G$4:$T$381,MATCH(Data!$B194&amp;Data!D$6,F_Inputs!$A$4:$A$381&amp;F_Inputs!$B$4:$B$381,0),MATCH(Data!$C194,F_Inputs!$G$2:$T$2,0))</f>
        <v>0</v>
      </c>
      <c r="E194" s="139">
        <f t="array" ref="E194">INDEX(F_Inputs!$G$4:$T$381,MATCH(Data!$B194&amp;Data!E$6,F_Inputs!$A$4:$A$381&amp;F_Inputs!$B$4:$B$381,0),MATCH(Data!$C194,F_Inputs!$G$2:$T$2,0))</f>
        <v>0</v>
      </c>
      <c r="F194" s="139">
        <f t="array" ref="F194">INDEX(F_Inputs!$G$4:$T$381,MATCH(Data!$B194&amp;Data!F$6,F_Inputs!$A$4:$A$381&amp;F_Inputs!$B$4:$B$381,0),MATCH(Data!$C194,F_Inputs!$G$2:$T$2,0))</f>
        <v>0</v>
      </c>
      <c r="G194" s="139">
        <f t="array" ref="G194">INDEX(F_Inputs!$G$4:$T$381,MATCH(Data!$B194&amp;Data!G$6,F_Inputs!$A$4:$A$381&amp;F_Inputs!$B$4:$B$381,0),MATCH(Data!$C194,F_Inputs!$G$2:$T$2,0))</f>
        <v>0</v>
      </c>
      <c r="I194" s="139">
        <f t="array" ref="I194">INDEX(F_Inputs!$G$4:$T$381,MATCH(Data!$B194&amp;Data!I$6,F_Inputs!$A$4:$A$381&amp;F_Inputs!$B$4:$B$381,0),MATCH(Data!$C194,F_Inputs!$G$2:$T$2,0))</f>
        <v>0</v>
      </c>
      <c r="J194" s="139">
        <f t="array" ref="J194">INDEX(F_Inputs!$G$4:$T$381,MATCH(Data!$B194&amp;Data!J$6,F_Inputs!$A$4:$A$381&amp;F_Inputs!$B$4:$B$381,0),MATCH(Data!$C194,F_Inputs!$G$2:$T$2,0))</f>
        <v>0</v>
      </c>
      <c r="K194" s="139">
        <f t="array" ref="K194">INDEX(F_Inputs!$G$4:$T$381,MATCH(Data!$B194&amp;Data!K$6,F_Inputs!$A$4:$A$381&amp;F_Inputs!$B$4:$B$381,0),MATCH(Data!$C194,F_Inputs!$G$2:$T$2,0))</f>
        <v>0</v>
      </c>
      <c r="L194" s="139">
        <f t="array" ref="L194">INDEX(F_Inputs!$G$4:$T$381,MATCH(Data!$B194&amp;Data!L$6,F_Inputs!$A$4:$A$381&amp;F_Inputs!$B$4:$B$381,0),MATCH(Data!$C194,F_Inputs!$G$2:$T$2,0))</f>
        <v>0</v>
      </c>
      <c r="N194" s="139">
        <f t="array" ref="N194">INDEX(F_Inputs!$G$4:$T$381,MATCH(Data!$B194&amp;Data!N$6,F_Inputs!$A$4:$A$381&amp;F_Inputs!$B$4:$B$381,0),MATCH(Data!$C194,F_Inputs!$G$2:$T$2,0))</f>
        <v>0</v>
      </c>
      <c r="O194" s="144"/>
      <c r="P194" s="139">
        <f t="array" ref="P194">INDEX(F_Inputs!$G$4:$T$381,MATCH(Data!$B194&amp;Data!P$6,F_Inputs!$A$4:$A$381&amp;F_Inputs!$B$4:$B$381,0),MATCH(Data!$C194,F_Inputs!$G$2:$T$2,0))</f>
        <v>0</v>
      </c>
      <c r="Q194" s="139">
        <f t="array" ref="Q194">INDEX(F_Inputs!$G$4:$T$381,MATCH(Data!$B194&amp;Data!Q$6,F_Inputs!$A$4:$A$381&amp;F_Inputs!$B$4:$B$381,0),MATCH(Data!$C194,F_Inputs!$G$2:$T$2,0))</f>
        <v>0</v>
      </c>
      <c r="R194" s="139">
        <f t="array" ref="R194">INDEX(F_Inputs!$G$4:$T$381,MATCH(Data!$B194&amp;Data!R$6,F_Inputs!$A$4:$A$381&amp;F_Inputs!$B$4:$B$381,0),MATCH(Data!$C194,F_Inputs!$G$2:$T$2,0))</f>
        <v>0</v>
      </c>
      <c r="S194" s="139">
        <f t="array" ref="S194">INDEX(F_Inputs!$G$4:$T$381,MATCH(Data!$B194&amp;Data!S$6,F_Inputs!$A$4:$A$381&amp;F_Inputs!$B$4:$B$381,0),MATCH(Data!$C194,F_Inputs!$G$2:$T$2,0))</f>
        <v>0</v>
      </c>
      <c r="U194" s="139">
        <f t="array" ref="U194">INDEX(F_Inputs!$G$4:$T$381,MATCH(Data!$B194&amp;Data!U$6,F_Inputs!$A$4:$A$381&amp;F_Inputs!$B$4:$B$381,0),MATCH(Data!$C194,F_Inputs!$G$2:$T$2,0))</f>
        <v>0</v>
      </c>
      <c r="V194" s="139">
        <f t="array" ref="V194">INDEX(F_Inputs!$G$4:$T$381,MATCH(Data!$B194&amp;Data!V$6,F_Inputs!$A$4:$A$381&amp;F_Inputs!$B$4:$B$381,0),MATCH(Data!$C194,F_Inputs!$G$2:$T$2,0))</f>
        <v>0</v>
      </c>
      <c r="W194" s="139">
        <f t="array" ref="W194">INDEX(F_Inputs!$G$4:$T$381,MATCH(Data!$B194&amp;Data!W$6,F_Inputs!$A$4:$A$381&amp;F_Inputs!$B$4:$B$381,0),MATCH(Data!$C194,F_Inputs!$G$2:$T$2,0))</f>
        <v>0</v>
      </c>
    </row>
    <row r="195" spans="1:23" x14ac:dyDescent="0.2">
      <c r="A195" s="141" t="s">
        <v>242</v>
      </c>
      <c r="B195" s="142" t="s">
        <v>110</v>
      </c>
      <c r="C195" s="142" t="s">
        <v>74</v>
      </c>
      <c r="D195" s="139">
        <f t="array" ref="D195">INDEX(F_Inputs!$G$4:$T$381,MATCH(Data!$B195&amp;Data!D$6,F_Inputs!$A$4:$A$381&amp;F_Inputs!$B$4:$B$381,0),MATCH(Data!$C195,F_Inputs!$G$2:$T$2,0))</f>
        <v>0</v>
      </c>
      <c r="E195" s="139">
        <f t="array" ref="E195">INDEX(F_Inputs!$G$4:$T$381,MATCH(Data!$B195&amp;Data!E$6,F_Inputs!$A$4:$A$381&amp;F_Inputs!$B$4:$B$381,0),MATCH(Data!$C195,F_Inputs!$G$2:$T$2,0))</f>
        <v>0</v>
      </c>
      <c r="F195" s="139">
        <f t="array" ref="F195">INDEX(F_Inputs!$G$4:$T$381,MATCH(Data!$B195&amp;Data!F$6,F_Inputs!$A$4:$A$381&amp;F_Inputs!$B$4:$B$381,0),MATCH(Data!$C195,F_Inputs!$G$2:$T$2,0))</f>
        <v>0</v>
      </c>
      <c r="G195" s="139">
        <f t="array" ref="G195">INDEX(F_Inputs!$G$4:$T$381,MATCH(Data!$B195&amp;Data!G$6,F_Inputs!$A$4:$A$381&amp;F_Inputs!$B$4:$B$381,0),MATCH(Data!$C195,F_Inputs!$G$2:$T$2,0))</f>
        <v>0</v>
      </c>
      <c r="I195" s="139">
        <f t="array" ref="I195">INDEX(F_Inputs!$G$4:$T$381,MATCH(Data!$B195&amp;Data!I$6,F_Inputs!$A$4:$A$381&amp;F_Inputs!$B$4:$B$381,0),MATCH(Data!$C195,F_Inputs!$G$2:$T$2,0))</f>
        <v>0</v>
      </c>
      <c r="J195" s="139">
        <f t="array" ref="J195">INDEX(F_Inputs!$G$4:$T$381,MATCH(Data!$B195&amp;Data!J$6,F_Inputs!$A$4:$A$381&amp;F_Inputs!$B$4:$B$381,0),MATCH(Data!$C195,F_Inputs!$G$2:$T$2,0))</f>
        <v>0</v>
      </c>
      <c r="K195" s="139">
        <f t="array" ref="K195">INDEX(F_Inputs!$G$4:$T$381,MATCH(Data!$B195&amp;Data!K$6,F_Inputs!$A$4:$A$381&amp;F_Inputs!$B$4:$B$381,0),MATCH(Data!$C195,F_Inputs!$G$2:$T$2,0))</f>
        <v>0</v>
      </c>
      <c r="L195" s="139">
        <f t="array" ref="L195">INDEX(F_Inputs!$G$4:$T$381,MATCH(Data!$B195&amp;Data!L$6,F_Inputs!$A$4:$A$381&amp;F_Inputs!$B$4:$B$381,0),MATCH(Data!$C195,F_Inputs!$G$2:$T$2,0))</f>
        <v>0</v>
      </c>
      <c r="N195" s="139">
        <f t="array" ref="N195">INDEX(F_Inputs!$G$4:$T$381,MATCH(Data!$B195&amp;Data!N$6,F_Inputs!$A$4:$A$381&amp;F_Inputs!$B$4:$B$381,0),MATCH(Data!$C195,F_Inputs!$G$2:$T$2,0))</f>
        <v>0</v>
      </c>
      <c r="O195" s="144"/>
      <c r="P195" s="139">
        <f t="array" ref="P195">INDEX(F_Inputs!$G$4:$T$381,MATCH(Data!$B195&amp;Data!P$6,F_Inputs!$A$4:$A$381&amp;F_Inputs!$B$4:$B$381,0),MATCH(Data!$C195,F_Inputs!$G$2:$T$2,0))</f>
        <v>0</v>
      </c>
      <c r="Q195" s="139">
        <f t="array" ref="Q195">INDEX(F_Inputs!$G$4:$T$381,MATCH(Data!$B195&amp;Data!Q$6,F_Inputs!$A$4:$A$381&amp;F_Inputs!$B$4:$B$381,0),MATCH(Data!$C195,F_Inputs!$G$2:$T$2,0))</f>
        <v>0</v>
      </c>
      <c r="R195" s="139">
        <f t="array" ref="R195">INDEX(F_Inputs!$G$4:$T$381,MATCH(Data!$B195&amp;Data!R$6,F_Inputs!$A$4:$A$381&amp;F_Inputs!$B$4:$B$381,0),MATCH(Data!$C195,F_Inputs!$G$2:$T$2,0))</f>
        <v>0</v>
      </c>
      <c r="S195" s="139">
        <f t="array" ref="S195">INDEX(F_Inputs!$G$4:$T$381,MATCH(Data!$B195&amp;Data!S$6,F_Inputs!$A$4:$A$381&amp;F_Inputs!$B$4:$B$381,0),MATCH(Data!$C195,F_Inputs!$G$2:$T$2,0))</f>
        <v>0</v>
      </c>
      <c r="U195" s="139">
        <f t="array" ref="U195">INDEX(F_Inputs!$G$4:$T$381,MATCH(Data!$B195&amp;Data!U$6,F_Inputs!$A$4:$A$381&amp;F_Inputs!$B$4:$B$381,0),MATCH(Data!$C195,F_Inputs!$G$2:$T$2,0))</f>
        <v>0</v>
      </c>
      <c r="V195" s="139">
        <f t="array" ref="V195">INDEX(F_Inputs!$G$4:$T$381,MATCH(Data!$B195&amp;Data!V$6,F_Inputs!$A$4:$A$381&amp;F_Inputs!$B$4:$B$381,0),MATCH(Data!$C195,F_Inputs!$G$2:$T$2,0))</f>
        <v>0</v>
      </c>
      <c r="W195" s="139">
        <f t="array" ref="W195">INDEX(F_Inputs!$G$4:$T$381,MATCH(Data!$B195&amp;Data!W$6,F_Inputs!$A$4:$A$381&amp;F_Inputs!$B$4:$B$381,0),MATCH(Data!$C195,F_Inputs!$G$2:$T$2,0))</f>
        <v>0</v>
      </c>
    </row>
    <row r="196" spans="1:23" x14ac:dyDescent="0.2">
      <c r="A196" s="141" t="s">
        <v>243</v>
      </c>
      <c r="B196" s="142" t="s">
        <v>110</v>
      </c>
      <c r="C196" s="142" t="s">
        <v>75</v>
      </c>
      <c r="D196" s="139">
        <f t="array" ref="D196">INDEX(F_Inputs!$G$4:$T$381,MATCH(Data!$B196&amp;Data!D$6,F_Inputs!$A$4:$A$381&amp;F_Inputs!$B$4:$B$381,0),MATCH(Data!$C196,F_Inputs!$G$2:$T$2,0))</f>
        <v>0</v>
      </c>
      <c r="E196" s="139">
        <f t="array" ref="E196">INDEX(F_Inputs!$G$4:$T$381,MATCH(Data!$B196&amp;Data!E$6,F_Inputs!$A$4:$A$381&amp;F_Inputs!$B$4:$B$381,0),MATCH(Data!$C196,F_Inputs!$G$2:$T$2,0))</f>
        <v>0</v>
      </c>
      <c r="F196" s="139">
        <f t="array" ref="F196">INDEX(F_Inputs!$G$4:$T$381,MATCH(Data!$B196&amp;Data!F$6,F_Inputs!$A$4:$A$381&amp;F_Inputs!$B$4:$B$381,0),MATCH(Data!$C196,F_Inputs!$G$2:$T$2,0))</f>
        <v>0</v>
      </c>
      <c r="G196" s="139">
        <f t="array" ref="G196">INDEX(F_Inputs!$G$4:$T$381,MATCH(Data!$B196&amp;Data!G$6,F_Inputs!$A$4:$A$381&amp;F_Inputs!$B$4:$B$381,0),MATCH(Data!$C196,F_Inputs!$G$2:$T$2,0))</f>
        <v>0</v>
      </c>
      <c r="I196" s="139">
        <f t="array" ref="I196">INDEX(F_Inputs!$G$4:$T$381,MATCH(Data!$B196&amp;Data!I$6,F_Inputs!$A$4:$A$381&amp;F_Inputs!$B$4:$B$381,0),MATCH(Data!$C196,F_Inputs!$G$2:$T$2,0))</f>
        <v>0</v>
      </c>
      <c r="J196" s="139">
        <f t="array" ref="J196">INDEX(F_Inputs!$G$4:$T$381,MATCH(Data!$B196&amp;Data!J$6,F_Inputs!$A$4:$A$381&amp;F_Inputs!$B$4:$B$381,0),MATCH(Data!$C196,F_Inputs!$G$2:$T$2,0))</f>
        <v>0</v>
      </c>
      <c r="K196" s="139">
        <f t="array" ref="K196">INDEX(F_Inputs!$G$4:$T$381,MATCH(Data!$B196&amp;Data!K$6,F_Inputs!$A$4:$A$381&amp;F_Inputs!$B$4:$B$381,0),MATCH(Data!$C196,F_Inputs!$G$2:$T$2,0))</f>
        <v>0</v>
      </c>
      <c r="L196" s="139">
        <f t="array" ref="L196">INDEX(F_Inputs!$G$4:$T$381,MATCH(Data!$B196&amp;Data!L$6,F_Inputs!$A$4:$A$381&amp;F_Inputs!$B$4:$B$381,0),MATCH(Data!$C196,F_Inputs!$G$2:$T$2,0))</f>
        <v>0</v>
      </c>
      <c r="N196" s="139">
        <f t="array" ref="N196">INDEX(F_Inputs!$G$4:$T$381,MATCH(Data!$B196&amp;Data!N$6,F_Inputs!$A$4:$A$381&amp;F_Inputs!$B$4:$B$381,0),MATCH(Data!$C196,F_Inputs!$G$2:$T$2,0))</f>
        <v>0</v>
      </c>
      <c r="O196" s="144"/>
      <c r="P196" s="139">
        <f t="array" ref="P196">INDEX(F_Inputs!$G$4:$T$381,MATCH(Data!$B196&amp;Data!P$6,F_Inputs!$A$4:$A$381&amp;F_Inputs!$B$4:$B$381,0),MATCH(Data!$C196,F_Inputs!$G$2:$T$2,0))</f>
        <v>0</v>
      </c>
      <c r="Q196" s="139">
        <f t="array" ref="Q196">INDEX(F_Inputs!$G$4:$T$381,MATCH(Data!$B196&amp;Data!Q$6,F_Inputs!$A$4:$A$381&amp;F_Inputs!$B$4:$B$381,0),MATCH(Data!$C196,F_Inputs!$G$2:$T$2,0))</f>
        <v>0</v>
      </c>
      <c r="R196" s="139">
        <f t="array" ref="R196">INDEX(F_Inputs!$G$4:$T$381,MATCH(Data!$B196&amp;Data!R$6,F_Inputs!$A$4:$A$381&amp;F_Inputs!$B$4:$B$381,0),MATCH(Data!$C196,F_Inputs!$G$2:$T$2,0))</f>
        <v>0</v>
      </c>
      <c r="S196" s="139">
        <f t="array" ref="S196">INDEX(F_Inputs!$G$4:$T$381,MATCH(Data!$B196&amp;Data!S$6,F_Inputs!$A$4:$A$381&amp;F_Inputs!$B$4:$B$381,0),MATCH(Data!$C196,F_Inputs!$G$2:$T$2,0))</f>
        <v>0</v>
      </c>
      <c r="U196" s="139">
        <f t="array" ref="U196">INDEX(F_Inputs!$G$4:$T$381,MATCH(Data!$B196&amp;Data!U$6,F_Inputs!$A$4:$A$381&amp;F_Inputs!$B$4:$B$381,0),MATCH(Data!$C196,F_Inputs!$G$2:$T$2,0))</f>
        <v>0</v>
      </c>
      <c r="V196" s="139">
        <f t="array" ref="V196">INDEX(F_Inputs!$G$4:$T$381,MATCH(Data!$B196&amp;Data!V$6,F_Inputs!$A$4:$A$381&amp;F_Inputs!$B$4:$B$381,0),MATCH(Data!$C196,F_Inputs!$G$2:$T$2,0))</f>
        <v>0</v>
      </c>
      <c r="W196" s="139">
        <f t="array" ref="W196">INDEX(F_Inputs!$G$4:$T$381,MATCH(Data!$B196&amp;Data!W$6,F_Inputs!$A$4:$A$381&amp;F_Inputs!$B$4:$B$381,0),MATCH(Data!$C196,F_Inputs!$G$2:$T$2,0))</f>
        <v>0</v>
      </c>
    </row>
    <row r="197" spans="1:23" x14ac:dyDescent="0.2">
      <c r="A197" s="141" t="s">
        <v>244</v>
      </c>
      <c r="B197" s="142" t="s">
        <v>110</v>
      </c>
      <c r="C197" s="142" t="s">
        <v>76</v>
      </c>
      <c r="D197" s="139">
        <f t="array" ref="D197">INDEX(F_Inputs!$G$4:$T$381,MATCH(Data!$B197&amp;Data!D$6,F_Inputs!$A$4:$A$381&amp;F_Inputs!$B$4:$B$381,0),MATCH(Data!$C197,F_Inputs!$G$2:$T$2,0))</f>
        <v>0</v>
      </c>
      <c r="E197" s="139">
        <f t="array" ref="E197">INDEX(F_Inputs!$G$4:$T$381,MATCH(Data!$B197&amp;Data!E$6,F_Inputs!$A$4:$A$381&amp;F_Inputs!$B$4:$B$381,0),MATCH(Data!$C197,F_Inputs!$G$2:$T$2,0))</f>
        <v>0</v>
      </c>
      <c r="F197" s="139">
        <f t="array" ref="F197">INDEX(F_Inputs!$G$4:$T$381,MATCH(Data!$B197&amp;Data!F$6,F_Inputs!$A$4:$A$381&amp;F_Inputs!$B$4:$B$381,0),MATCH(Data!$C197,F_Inputs!$G$2:$T$2,0))</f>
        <v>0</v>
      </c>
      <c r="G197" s="139">
        <f t="array" ref="G197">INDEX(F_Inputs!$G$4:$T$381,MATCH(Data!$B197&amp;Data!G$6,F_Inputs!$A$4:$A$381&amp;F_Inputs!$B$4:$B$381,0),MATCH(Data!$C197,F_Inputs!$G$2:$T$2,0))</f>
        <v>0</v>
      </c>
      <c r="I197" s="139">
        <f t="array" ref="I197">INDEX(F_Inputs!$G$4:$T$381,MATCH(Data!$B197&amp;Data!I$6,F_Inputs!$A$4:$A$381&amp;F_Inputs!$B$4:$B$381,0),MATCH(Data!$C197,F_Inputs!$G$2:$T$2,0))</f>
        <v>0</v>
      </c>
      <c r="J197" s="139">
        <f t="array" ref="J197">INDEX(F_Inputs!$G$4:$T$381,MATCH(Data!$B197&amp;Data!J$6,F_Inputs!$A$4:$A$381&amp;F_Inputs!$B$4:$B$381,0),MATCH(Data!$C197,F_Inputs!$G$2:$T$2,0))</f>
        <v>0</v>
      </c>
      <c r="K197" s="139">
        <f t="array" ref="K197">INDEX(F_Inputs!$G$4:$T$381,MATCH(Data!$B197&amp;Data!K$6,F_Inputs!$A$4:$A$381&amp;F_Inputs!$B$4:$B$381,0),MATCH(Data!$C197,F_Inputs!$G$2:$T$2,0))</f>
        <v>0</v>
      </c>
      <c r="L197" s="139">
        <f t="array" ref="L197">INDEX(F_Inputs!$G$4:$T$381,MATCH(Data!$B197&amp;Data!L$6,F_Inputs!$A$4:$A$381&amp;F_Inputs!$B$4:$B$381,0),MATCH(Data!$C197,F_Inputs!$G$2:$T$2,0))</f>
        <v>0</v>
      </c>
      <c r="N197" s="139">
        <f t="array" ref="N197">INDEX(F_Inputs!$G$4:$T$381,MATCH(Data!$B197&amp;Data!N$6,F_Inputs!$A$4:$A$381&amp;F_Inputs!$B$4:$B$381,0),MATCH(Data!$C197,F_Inputs!$G$2:$T$2,0))</f>
        <v>0</v>
      </c>
      <c r="O197" s="144"/>
      <c r="P197" s="139">
        <f t="array" ref="P197">INDEX(F_Inputs!$G$4:$T$381,MATCH(Data!$B197&amp;Data!P$6,F_Inputs!$A$4:$A$381&amp;F_Inputs!$B$4:$B$381,0),MATCH(Data!$C197,F_Inputs!$G$2:$T$2,0))</f>
        <v>0</v>
      </c>
      <c r="Q197" s="139">
        <f t="array" ref="Q197">INDEX(F_Inputs!$G$4:$T$381,MATCH(Data!$B197&amp;Data!Q$6,F_Inputs!$A$4:$A$381&amp;F_Inputs!$B$4:$B$381,0),MATCH(Data!$C197,F_Inputs!$G$2:$T$2,0))</f>
        <v>0</v>
      </c>
      <c r="R197" s="139">
        <f t="array" ref="R197">INDEX(F_Inputs!$G$4:$T$381,MATCH(Data!$B197&amp;Data!R$6,F_Inputs!$A$4:$A$381&amp;F_Inputs!$B$4:$B$381,0),MATCH(Data!$C197,F_Inputs!$G$2:$T$2,0))</f>
        <v>0</v>
      </c>
      <c r="S197" s="139">
        <f t="array" ref="S197">INDEX(F_Inputs!$G$4:$T$381,MATCH(Data!$B197&amp;Data!S$6,F_Inputs!$A$4:$A$381&amp;F_Inputs!$B$4:$B$381,0),MATCH(Data!$C197,F_Inputs!$G$2:$T$2,0))</f>
        <v>0</v>
      </c>
      <c r="U197" s="139">
        <f t="array" ref="U197">INDEX(F_Inputs!$G$4:$T$381,MATCH(Data!$B197&amp;Data!U$6,F_Inputs!$A$4:$A$381&amp;F_Inputs!$B$4:$B$381,0),MATCH(Data!$C197,F_Inputs!$G$2:$T$2,0))</f>
        <v>0</v>
      </c>
      <c r="V197" s="139">
        <f t="array" ref="V197">INDEX(F_Inputs!$G$4:$T$381,MATCH(Data!$B197&amp;Data!V$6,F_Inputs!$A$4:$A$381&amp;F_Inputs!$B$4:$B$381,0),MATCH(Data!$C197,F_Inputs!$G$2:$T$2,0))</f>
        <v>0</v>
      </c>
      <c r="W197" s="139">
        <f t="array" ref="W197">INDEX(F_Inputs!$G$4:$T$381,MATCH(Data!$B197&amp;Data!W$6,F_Inputs!$A$4:$A$381&amp;F_Inputs!$B$4:$B$381,0),MATCH(Data!$C197,F_Inputs!$G$2:$T$2,0))</f>
        <v>0</v>
      </c>
    </row>
    <row r="198" spans="1:23" x14ac:dyDescent="0.2">
      <c r="A198" s="141" t="s">
        <v>245</v>
      </c>
      <c r="B198" s="142" t="s">
        <v>110</v>
      </c>
      <c r="C198" s="142" t="s">
        <v>24</v>
      </c>
      <c r="D198" s="139">
        <f t="array" ref="D198">INDEX(F_Inputs!$G$4:$T$381,MATCH(Data!$B198&amp;Data!D$6,F_Inputs!$A$4:$A$381&amp;F_Inputs!$B$4:$B$381,0),MATCH(Data!$C198,F_Inputs!$G$2:$T$2,0))</f>
        <v>0</v>
      </c>
      <c r="E198" s="139">
        <f t="array" ref="E198">INDEX(F_Inputs!$G$4:$T$381,MATCH(Data!$B198&amp;Data!E$6,F_Inputs!$A$4:$A$381&amp;F_Inputs!$B$4:$B$381,0),MATCH(Data!$C198,F_Inputs!$G$2:$T$2,0))</f>
        <v>0</v>
      </c>
      <c r="F198" s="139">
        <f t="array" ref="F198">INDEX(F_Inputs!$G$4:$T$381,MATCH(Data!$B198&amp;Data!F$6,F_Inputs!$A$4:$A$381&amp;F_Inputs!$B$4:$B$381,0),MATCH(Data!$C198,F_Inputs!$G$2:$T$2,0))</f>
        <v>0</v>
      </c>
      <c r="G198" s="139">
        <f t="array" ref="G198">INDEX(F_Inputs!$G$4:$T$381,MATCH(Data!$B198&amp;Data!G$6,F_Inputs!$A$4:$A$381&amp;F_Inputs!$B$4:$B$381,0),MATCH(Data!$C198,F_Inputs!$G$2:$T$2,0))</f>
        <v>0</v>
      </c>
      <c r="I198" s="139">
        <f t="array" ref="I198">INDEX(F_Inputs!$G$4:$T$381,MATCH(Data!$B198&amp;Data!I$6,F_Inputs!$A$4:$A$381&amp;F_Inputs!$B$4:$B$381,0),MATCH(Data!$C198,F_Inputs!$G$2:$T$2,0))</f>
        <v>0</v>
      </c>
      <c r="J198" s="139">
        <f t="array" ref="J198">INDEX(F_Inputs!$G$4:$T$381,MATCH(Data!$B198&amp;Data!J$6,F_Inputs!$A$4:$A$381&amp;F_Inputs!$B$4:$B$381,0),MATCH(Data!$C198,F_Inputs!$G$2:$T$2,0))</f>
        <v>0</v>
      </c>
      <c r="K198" s="139">
        <f t="array" ref="K198">INDEX(F_Inputs!$G$4:$T$381,MATCH(Data!$B198&amp;Data!K$6,F_Inputs!$A$4:$A$381&amp;F_Inputs!$B$4:$B$381,0),MATCH(Data!$C198,F_Inputs!$G$2:$T$2,0))</f>
        <v>0</v>
      </c>
      <c r="L198" s="139">
        <f t="array" ref="L198">INDEX(F_Inputs!$G$4:$T$381,MATCH(Data!$B198&amp;Data!L$6,F_Inputs!$A$4:$A$381&amp;F_Inputs!$B$4:$B$381,0),MATCH(Data!$C198,F_Inputs!$G$2:$T$2,0))</f>
        <v>0</v>
      </c>
      <c r="N198" s="139">
        <f t="array" ref="N198">INDEX(F_Inputs!$G$4:$T$381,MATCH(Data!$B198&amp;Data!N$6,F_Inputs!$A$4:$A$381&amp;F_Inputs!$B$4:$B$381,0),MATCH(Data!$C198,F_Inputs!$G$2:$T$2,0))</f>
        <v>0</v>
      </c>
      <c r="O198" s="144"/>
      <c r="P198" s="139">
        <f t="array" ref="P198">INDEX(F_Inputs!$G$4:$T$381,MATCH(Data!$B198&amp;Data!P$6,F_Inputs!$A$4:$A$381&amp;F_Inputs!$B$4:$B$381,0),MATCH(Data!$C198,F_Inputs!$G$2:$T$2,0))</f>
        <v>0</v>
      </c>
      <c r="Q198" s="139">
        <f t="array" ref="Q198">INDEX(F_Inputs!$G$4:$T$381,MATCH(Data!$B198&amp;Data!Q$6,F_Inputs!$A$4:$A$381&amp;F_Inputs!$B$4:$B$381,0),MATCH(Data!$C198,F_Inputs!$G$2:$T$2,0))</f>
        <v>0</v>
      </c>
      <c r="R198" s="139">
        <f t="array" ref="R198">INDEX(F_Inputs!$G$4:$T$381,MATCH(Data!$B198&amp;Data!R$6,F_Inputs!$A$4:$A$381&amp;F_Inputs!$B$4:$B$381,0),MATCH(Data!$C198,F_Inputs!$G$2:$T$2,0))</f>
        <v>0</v>
      </c>
      <c r="S198" s="139">
        <f t="array" ref="S198">INDEX(F_Inputs!$G$4:$T$381,MATCH(Data!$B198&amp;Data!S$6,F_Inputs!$A$4:$A$381&amp;F_Inputs!$B$4:$B$381,0),MATCH(Data!$C198,F_Inputs!$G$2:$T$2,0))</f>
        <v>0</v>
      </c>
      <c r="U198" s="139">
        <f t="array" ref="U198">INDEX(F_Inputs!$G$4:$T$381,MATCH(Data!$B198&amp;Data!U$6,F_Inputs!$A$4:$A$381&amp;F_Inputs!$B$4:$B$381,0),MATCH(Data!$C198,F_Inputs!$G$2:$T$2,0))</f>
        <v>0</v>
      </c>
      <c r="V198" s="139">
        <f t="array" ref="V198">INDEX(F_Inputs!$G$4:$T$381,MATCH(Data!$B198&amp;Data!V$6,F_Inputs!$A$4:$A$381&amp;F_Inputs!$B$4:$B$381,0),MATCH(Data!$C198,F_Inputs!$G$2:$T$2,0))</f>
        <v>0</v>
      </c>
      <c r="W198" s="139">
        <f t="array" ref="W198">INDEX(F_Inputs!$G$4:$T$381,MATCH(Data!$B198&amp;Data!W$6,F_Inputs!$A$4:$A$381&amp;F_Inputs!$B$4:$B$381,0),MATCH(Data!$C198,F_Inputs!$G$2:$T$2,0))</f>
        <v>0</v>
      </c>
    </row>
    <row r="199" spans="1:23" x14ac:dyDescent="0.2">
      <c r="A199" s="138" t="str">
        <f t="shared" ref="A199" si="11">B199&amp;RIGHT(C199,2)</f>
        <v>DVW12</v>
      </c>
      <c r="B199" s="19" t="s">
        <v>111</v>
      </c>
      <c r="C199" s="143" t="s">
        <v>64</v>
      </c>
      <c r="D199" s="139">
        <f t="array" ref="D199">INDEX(F_Inputs!$G$4:$T$381,MATCH(Data!$B199&amp;Data!D$6,F_Inputs!$A$4:$A$381&amp;F_Inputs!$B$4:$B$381,0),MATCH(Data!$C199,F_Inputs!$G$2:$T$2,0))</f>
        <v>0</v>
      </c>
      <c r="E199" s="139">
        <f t="array" ref="E199">INDEX(F_Inputs!$G$4:$T$381,MATCH(Data!$B199&amp;Data!E$6,F_Inputs!$A$4:$A$381&amp;F_Inputs!$B$4:$B$381,0),MATCH(Data!$C199,F_Inputs!$G$2:$T$2,0))</f>
        <v>0</v>
      </c>
      <c r="F199" s="139">
        <f t="array" ref="F199">INDEX(F_Inputs!$G$4:$T$381,MATCH(Data!$B199&amp;Data!F$6,F_Inputs!$A$4:$A$381&amp;F_Inputs!$B$4:$B$381,0),MATCH(Data!$C199,F_Inputs!$G$2:$T$2,0))</f>
        <v>0</v>
      </c>
      <c r="G199" s="139">
        <f t="array" ref="G199">INDEX(F_Inputs!$G$4:$T$381,MATCH(Data!$B199&amp;Data!G$6,F_Inputs!$A$4:$A$381&amp;F_Inputs!$B$4:$B$381,0),MATCH(Data!$C199,F_Inputs!$G$2:$T$2,0))</f>
        <v>0</v>
      </c>
      <c r="I199" s="139">
        <f t="array" ref="I199">INDEX(F_Inputs!$G$4:$T$381,MATCH(Data!$B199&amp;Data!I$6,F_Inputs!$A$4:$A$381&amp;F_Inputs!$B$4:$B$381,0),MATCH(Data!$C199,F_Inputs!$G$2:$T$2,0))</f>
        <v>0</v>
      </c>
      <c r="J199" s="139">
        <f t="array" ref="J199">INDEX(F_Inputs!$G$4:$T$381,MATCH(Data!$B199&amp;Data!J$6,F_Inputs!$A$4:$A$381&amp;F_Inputs!$B$4:$B$381,0),MATCH(Data!$C199,F_Inputs!$G$2:$T$2,0))</f>
        <v>0</v>
      </c>
      <c r="K199" s="139">
        <f t="array" ref="K199">INDEX(F_Inputs!$G$4:$T$381,MATCH(Data!$B199&amp;Data!K$6,F_Inputs!$A$4:$A$381&amp;F_Inputs!$B$4:$B$381,0),MATCH(Data!$C199,F_Inputs!$G$2:$T$2,0))</f>
        <v>0</v>
      </c>
      <c r="L199" s="139">
        <f t="array" ref="L199">INDEX(F_Inputs!$G$4:$T$381,MATCH(Data!$B199&amp;Data!L$6,F_Inputs!$A$4:$A$381&amp;F_Inputs!$B$4:$B$381,0),MATCH(Data!$C199,F_Inputs!$G$2:$T$2,0))</f>
        <v>0</v>
      </c>
      <c r="N199" s="139">
        <f t="array" ref="N199">INDEX(F_Inputs!$G$4:$T$381,MATCH(Data!$B199&amp;Data!N$6,F_Inputs!$A$4:$A$381&amp;F_Inputs!$B$4:$B$381,0),MATCH(Data!$C199,F_Inputs!$G$2:$T$2,0))</f>
        <v>18.400728571706299</v>
      </c>
      <c r="O199" s="144"/>
      <c r="P199" s="139">
        <f t="array" ref="P199">INDEX(F_Inputs!$G$4:$T$381,MATCH(Data!$B199&amp;Data!P$6,F_Inputs!$A$4:$A$381&amp;F_Inputs!$B$4:$B$381,0),MATCH(Data!$C199,F_Inputs!$G$2:$T$2,0))</f>
        <v>0</v>
      </c>
      <c r="Q199" s="139">
        <f t="array" ref="Q199">INDEX(F_Inputs!$G$4:$T$381,MATCH(Data!$B199&amp;Data!Q$6,F_Inputs!$A$4:$A$381&amp;F_Inputs!$B$4:$B$381,0),MATCH(Data!$C199,F_Inputs!$G$2:$T$2,0))</f>
        <v>0</v>
      </c>
      <c r="R199" s="139">
        <f t="array" ref="R199">INDEX(F_Inputs!$G$4:$T$381,MATCH(Data!$B199&amp;Data!R$6,F_Inputs!$A$4:$A$381&amp;F_Inputs!$B$4:$B$381,0),MATCH(Data!$C199,F_Inputs!$G$2:$T$2,0))</f>
        <v>0</v>
      </c>
      <c r="S199" s="139">
        <f t="array" ref="S199">INDEX(F_Inputs!$G$4:$T$381,MATCH(Data!$B199&amp;Data!S$6,F_Inputs!$A$4:$A$381&amp;F_Inputs!$B$4:$B$381,0),MATCH(Data!$C199,F_Inputs!$G$2:$T$2,0))</f>
        <v>0</v>
      </c>
      <c r="U199" s="139">
        <f t="array" ref="U199">INDEX(F_Inputs!$G$4:$T$381,MATCH(Data!$B199&amp;Data!U$6,F_Inputs!$A$4:$A$381&amp;F_Inputs!$B$4:$B$381,0),MATCH(Data!$C199,F_Inputs!$G$2:$T$2,0))</f>
        <v>0</v>
      </c>
      <c r="V199" s="139">
        <f t="array" ref="V199">INDEX(F_Inputs!$G$4:$T$381,MATCH(Data!$B199&amp;Data!V$6,F_Inputs!$A$4:$A$381&amp;F_Inputs!$B$4:$B$381,0),MATCH(Data!$C199,F_Inputs!$G$2:$T$2,0))</f>
        <v>0</v>
      </c>
      <c r="W199" s="139">
        <f t="array" ref="W199">INDEX(F_Inputs!$G$4:$T$381,MATCH(Data!$B199&amp;Data!W$6,F_Inputs!$A$4:$A$381&amp;F_Inputs!$B$4:$B$381,0),MATCH(Data!$C199,F_Inputs!$G$2:$T$2,0))</f>
        <v>0</v>
      </c>
    </row>
    <row r="200" spans="1:23" x14ac:dyDescent="0.2">
      <c r="A200" s="138" t="str">
        <f>B200&amp;RIGHT(C200,2)</f>
        <v>DVW13</v>
      </c>
      <c r="B200" s="19" t="s">
        <v>111</v>
      </c>
      <c r="C200" s="143" t="s">
        <v>65</v>
      </c>
      <c r="D200" s="139">
        <f t="array" ref="D200">INDEX(F_Inputs!$G$4:$T$381,MATCH(Data!$B200&amp;Data!D$6,F_Inputs!$A$4:$A$381&amp;F_Inputs!$B$4:$B$381,0),MATCH(Data!$C200,F_Inputs!$G$2:$T$2,0))</f>
        <v>0</v>
      </c>
      <c r="E200" s="139">
        <f t="array" ref="E200">INDEX(F_Inputs!$G$4:$T$381,MATCH(Data!$B200&amp;Data!E$6,F_Inputs!$A$4:$A$381&amp;F_Inputs!$B$4:$B$381,0),MATCH(Data!$C200,F_Inputs!$G$2:$T$2,0))</f>
        <v>0</v>
      </c>
      <c r="F200" s="139">
        <f t="array" ref="F200">INDEX(F_Inputs!$G$4:$T$381,MATCH(Data!$B200&amp;Data!F$6,F_Inputs!$A$4:$A$381&amp;F_Inputs!$B$4:$B$381,0),MATCH(Data!$C200,F_Inputs!$G$2:$T$2,0))</f>
        <v>0</v>
      </c>
      <c r="G200" s="139">
        <f t="array" ref="G200">INDEX(F_Inputs!$G$4:$T$381,MATCH(Data!$B200&amp;Data!G$6,F_Inputs!$A$4:$A$381&amp;F_Inputs!$B$4:$B$381,0),MATCH(Data!$C200,F_Inputs!$G$2:$T$2,0))</f>
        <v>0</v>
      </c>
      <c r="I200" s="139">
        <f t="array" ref="I200">INDEX(F_Inputs!$G$4:$T$381,MATCH(Data!$B200&amp;Data!I$6,F_Inputs!$A$4:$A$381&amp;F_Inputs!$B$4:$B$381,0),MATCH(Data!$C200,F_Inputs!$G$2:$T$2,0))</f>
        <v>0</v>
      </c>
      <c r="J200" s="139">
        <f t="array" ref="J200">INDEX(F_Inputs!$G$4:$T$381,MATCH(Data!$B200&amp;Data!J$6,F_Inputs!$A$4:$A$381&amp;F_Inputs!$B$4:$B$381,0),MATCH(Data!$C200,F_Inputs!$G$2:$T$2,0))</f>
        <v>0</v>
      </c>
      <c r="K200" s="139">
        <f t="array" ref="K200">INDEX(F_Inputs!$G$4:$T$381,MATCH(Data!$B200&amp;Data!K$6,F_Inputs!$A$4:$A$381&amp;F_Inputs!$B$4:$B$381,0),MATCH(Data!$C200,F_Inputs!$G$2:$T$2,0))</f>
        <v>0</v>
      </c>
      <c r="L200" s="139">
        <f t="array" ref="L200">INDEX(F_Inputs!$G$4:$T$381,MATCH(Data!$B200&amp;Data!L$6,F_Inputs!$A$4:$A$381&amp;F_Inputs!$B$4:$B$381,0),MATCH(Data!$C200,F_Inputs!$G$2:$T$2,0))</f>
        <v>0</v>
      </c>
      <c r="N200" s="139">
        <f t="array" ref="N200">INDEX(F_Inputs!$G$4:$T$381,MATCH(Data!$B200&amp;Data!N$6,F_Inputs!$A$4:$A$381&amp;F_Inputs!$B$4:$B$381,0),MATCH(Data!$C200,F_Inputs!$G$2:$T$2,0))</f>
        <v>24.240161243439001</v>
      </c>
      <c r="O200" s="144"/>
      <c r="P200" s="139">
        <f t="array" ref="P200">INDEX(F_Inputs!$G$4:$T$381,MATCH(Data!$B200&amp;Data!P$6,F_Inputs!$A$4:$A$381&amp;F_Inputs!$B$4:$B$381,0),MATCH(Data!$C200,F_Inputs!$G$2:$T$2,0))</f>
        <v>0</v>
      </c>
      <c r="Q200" s="139">
        <f t="array" ref="Q200">INDEX(F_Inputs!$G$4:$T$381,MATCH(Data!$B200&amp;Data!Q$6,F_Inputs!$A$4:$A$381&amp;F_Inputs!$B$4:$B$381,0),MATCH(Data!$C200,F_Inputs!$G$2:$T$2,0))</f>
        <v>0</v>
      </c>
      <c r="R200" s="139">
        <f t="array" ref="R200">INDEX(F_Inputs!$G$4:$T$381,MATCH(Data!$B200&amp;Data!R$6,F_Inputs!$A$4:$A$381&amp;F_Inputs!$B$4:$B$381,0),MATCH(Data!$C200,F_Inputs!$G$2:$T$2,0))</f>
        <v>0</v>
      </c>
      <c r="S200" s="139">
        <f t="array" ref="S200">INDEX(F_Inputs!$G$4:$T$381,MATCH(Data!$B200&amp;Data!S$6,F_Inputs!$A$4:$A$381&amp;F_Inputs!$B$4:$B$381,0),MATCH(Data!$C200,F_Inputs!$G$2:$T$2,0))</f>
        <v>0</v>
      </c>
      <c r="U200" s="139">
        <f t="array" ref="U200">INDEX(F_Inputs!$G$4:$T$381,MATCH(Data!$B200&amp;Data!U$6,F_Inputs!$A$4:$A$381&amp;F_Inputs!$B$4:$B$381,0),MATCH(Data!$C200,F_Inputs!$G$2:$T$2,0))</f>
        <v>0</v>
      </c>
      <c r="V200" s="139">
        <f t="array" ref="V200">INDEX(F_Inputs!$G$4:$T$381,MATCH(Data!$B200&amp;Data!V$6,F_Inputs!$A$4:$A$381&amp;F_Inputs!$B$4:$B$381,0),MATCH(Data!$C200,F_Inputs!$G$2:$T$2,0))</f>
        <v>0</v>
      </c>
      <c r="W200" s="139">
        <f t="array" ref="W200">INDEX(F_Inputs!$G$4:$T$381,MATCH(Data!$B200&amp;Data!W$6,F_Inputs!$A$4:$A$381&amp;F_Inputs!$B$4:$B$381,0),MATCH(Data!$C200,F_Inputs!$G$2:$T$2,0))</f>
        <v>0</v>
      </c>
    </row>
    <row r="201" spans="1:23" x14ac:dyDescent="0.2">
      <c r="A201" s="138" t="str">
        <f>B201&amp;RIGHT(C201,2)</f>
        <v>DVW14</v>
      </c>
      <c r="B201" s="19" t="s">
        <v>111</v>
      </c>
      <c r="C201" s="143" t="s">
        <v>66</v>
      </c>
      <c r="D201" s="139">
        <f t="array" ref="D201">INDEX(F_Inputs!$G$4:$T$381,MATCH(Data!$B201&amp;Data!D$6,F_Inputs!$A$4:$A$381&amp;F_Inputs!$B$4:$B$381,0),MATCH(Data!$C201,F_Inputs!$G$2:$T$2,0))</f>
        <v>0</v>
      </c>
      <c r="E201" s="139">
        <f t="array" ref="E201">INDEX(F_Inputs!$G$4:$T$381,MATCH(Data!$B201&amp;Data!E$6,F_Inputs!$A$4:$A$381&amp;F_Inputs!$B$4:$B$381,0),MATCH(Data!$C201,F_Inputs!$G$2:$T$2,0))</f>
        <v>0</v>
      </c>
      <c r="F201" s="139">
        <f t="array" ref="F201">INDEX(F_Inputs!$G$4:$T$381,MATCH(Data!$B201&amp;Data!F$6,F_Inputs!$A$4:$A$381&amp;F_Inputs!$B$4:$B$381,0),MATCH(Data!$C201,F_Inputs!$G$2:$T$2,0))</f>
        <v>0</v>
      </c>
      <c r="G201" s="139">
        <f t="array" ref="G201">INDEX(F_Inputs!$G$4:$T$381,MATCH(Data!$B201&amp;Data!G$6,F_Inputs!$A$4:$A$381&amp;F_Inputs!$B$4:$B$381,0),MATCH(Data!$C201,F_Inputs!$G$2:$T$2,0))</f>
        <v>0</v>
      </c>
      <c r="I201" s="139">
        <f t="array" ref="I201">INDEX(F_Inputs!$G$4:$T$381,MATCH(Data!$B201&amp;Data!I$6,F_Inputs!$A$4:$A$381&amp;F_Inputs!$B$4:$B$381,0),MATCH(Data!$C201,F_Inputs!$G$2:$T$2,0))</f>
        <v>0</v>
      </c>
      <c r="J201" s="139">
        <f t="array" ref="J201">INDEX(F_Inputs!$G$4:$T$381,MATCH(Data!$B201&amp;Data!J$6,F_Inputs!$A$4:$A$381&amp;F_Inputs!$B$4:$B$381,0),MATCH(Data!$C201,F_Inputs!$G$2:$T$2,0))</f>
        <v>0</v>
      </c>
      <c r="K201" s="139">
        <f t="array" ref="K201">INDEX(F_Inputs!$G$4:$T$381,MATCH(Data!$B201&amp;Data!K$6,F_Inputs!$A$4:$A$381&amp;F_Inputs!$B$4:$B$381,0),MATCH(Data!$C201,F_Inputs!$G$2:$T$2,0))</f>
        <v>0</v>
      </c>
      <c r="L201" s="139">
        <f t="array" ref="L201">INDEX(F_Inputs!$G$4:$T$381,MATCH(Data!$B201&amp;Data!L$6,F_Inputs!$A$4:$A$381&amp;F_Inputs!$B$4:$B$381,0),MATCH(Data!$C201,F_Inputs!$G$2:$T$2,0))</f>
        <v>0</v>
      </c>
      <c r="N201" s="139">
        <f t="array" ref="N201">INDEX(F_Inputs!$G$4:$T$381,MATCH(Data!$B201&amp;Data!N$6,F_Inputs!$A$4:$A$381&amp;F_Inputs!$B$4:$B$381,0),MATCH(Data!$C201,F_Inputs!$G$2:$T$2,0))</f>
        <v>15.9632272581136</v>
      </c>
      <c r="O201" s="144"/>
      <c r="P201" s="139">
        <f t="array" ref="P201">INDEX(F_Inputs!$G$4:$T$381,MATCH(Data!$B201&amp;Data!P$6,F_Inputs!$A$4:$A$381&amp;F_Inputs!$B$4:$B$381,0),MATCH(Data!$C201,F_Inputs!$G$2:$T$2,0))</f>
        <v>0</v>
      </c>
      <c r="Q201" s="139">
        <f t="array" ref="Q201">INDEX(F_Inputs!$G$4:$T$381,MATCH(Data!$B201&amp;Data!Q$6,F_Inputs!$A$4:$A$381&amp;F_Inputs!$B$4:$B$381,0),MATCH(Data!$C201,F_Inputs!$G$2:$T$2,0))</f>
        <v>0</v>
      </c>
      <c r="R201" s="139">
        <f t="array" ref="R201">INDEX(F_Inputs!$G$4:$T$381,MATCH(Data!$B201&amp;Data!R$6,F_Inputs!$A$4:$A$381&amp;F_Inputs!$B$4:$B$381,0),MATCH(Data!$C201,F_Inputs!$G$2:$T$2,0))</f>
        <v>0</v>
      </c>
      <c r="S201" s="139">
        <f t="array" ref="S201">INDEX(F_Inputs!$G$4:$T$381,MATCH(Data!$B201&amp;Data!S$6,F_Inputs!$A$4:$A$381&amp;F_Inputs!$B$4:$B$381,0),MATCH(Data!$C201,F_Inputs!$G$2:$T$2,0))</f>
        <v>0</v>
      </c>
      <c r="U201" s="139">
        <f t="array" ref="U201">INDEX(F_Inputs!$G$4:$T$381,MATCH(Data!$B201&amp;Data!U$6,F_Inputs!$A$4:$A$381&amp;F_Inputs!$B$4:$B$381,0),MATCH(Data!$C201,F_Inputs!$G$2:$T$2,0))</f>
        <v>0</v>
      </c>
      <c r="V201" s="139">
        <f t="array" ref="V201">INDEX(F_Inputs!$G$4:$T$381,MATCH(Data!$B201&amp;Data!V$6,F_Inputs!$A$4:$A$381&amp;F_Inputs!$B$4:$B$381,0),MATCH(Data!$C201,F_Inputs!$G$2:$T$2,0))</f>
        <v>0</v>
      </c>
      <c r="W201" s="139">
        <f t="array" ref="W201">INDEX(F_Inputs!$G$4:$T$381,MATCH(Data!$B201&amp;Data!W$6,F_Inputs!$A$4:$A$381&amp;F_Inputs!$B$4:$B$381,0),MATCH(Data!$C201,F_Inputs!$G$2:$T$2,0))</f>
        <v>0</v>
      </c>
    </row>
    <row r="202" spans="1:23" x14ac:dyDescent="0.2">
      <c r="A202" s="138" t="str">
        <f>B202&amp;RIGHT(C202,2)</f>
        <v>DVW15</v>
      </c>
      <c r="B202" s="19" t="s">
        <v>111</v>
      </c>
      <c r="C202" s="143" t="s">
        <v>67</v>
      </c>
      <c r="D202" s="139">
        <f t="array" ref="D202">INDEX(F_Inputs!$G$4:$T$381,MATCH(Data!$B202&amp;Data!D$6,F_Inputs!$A$4:$A$381&amp;F_Inputs!$B$4:$B$381,0),MATCH(Data!$C202,F_Inputs!$G$2:$T$2,0))</f>
        <v>0</v>
      </c>
      <c r="E202" s="139">
        <f t="array" ref="E202">INDEX(F_Inputs!$G$4:$T$381,MATCH(Data!$B202&amp;Data!E$6,F_Inputs!$A$4:$A$381&amp;F_Inputs!$B$4:$B$381,0),MATCH(Data!$C202,F_Inputs!$G$2:$T$2,0))</f>
        <v>0</v>
      </c>
      <c r="F202" s="139">
        <f t="array" ref="F202">INDEX(F_Inputs!$G$4:$T$381,MATCH(Data!$B202&amp;Data!F$6,F_Inputs!$A$4:$A$381&amp;F_Inputs!$B$4:$B$381,0),MATCH(Data!$C202,F_Inputs!$G$2:$T$2,0))</f>
        <v>0</v>
      </c>
      <c r="G202" s="139">
        <f t="array" ref="G202">INDEX(F_Inputs!$G$4:$T$381,MATCH(Data!$B202&amp;Data!G$6,F_Inputs!$A$4:$A$381&amp;F_Inputs!$B$4:$B$381,0),MATCH(Data!$C202,F_Inputs!$G$2:$T$2,0))</f>
        <v>0</v>
      </c>
      <c r="I202" s="139">
        <f t="array" ref="I202">INDEX(F_Inputs!$G$4:$T$381,MATCH(Data!$B202&amp;Data!I$6,F_Inputs!$A$4:$A$381&amp;F_Inputs!$B$4:$B$381,0),MATCH(Data!$C202,F_Inputs!$G$2:$T$2,0))</f>
        <v>0</v>
      </c>
      <c r="J202" s="139">
        <f t="array" ref="J202">INDEX(F_Inputs!$G$4:$T$381,MATCH(Data!$B202&amp;Data!J$6,F_Inputs!$A$4:$A$381&amp;F_Inputs!$B$4:$B$381,0),MATCH(Data!$C202,F_Inputs!$G$2:$T$2,0))</f>
        <v>0</v>
      </c>
      <c r="K202" s="139">
        <f t="array" ref="K202">INDEX(F_Inputs!$G$4:$T$381,MATCH(Data!$B202&amp;Data!K$6,F_Inputs!$A$4:$A$381&amp;F_Inputs!$B$4:$B$381,0),MATCH(Data!$C202,F_Inputs!$G$2:$T$2,0))</f>
        <v>0</v>
      </c>
      <c r="L202" s="139">
        <f t="array" ref="L202">INDEX(F_Inputs!$G$4:$T$381,MATCH(Data!$B202&amp;Data!L$6,F_Inputs!$A$4:$A$381&amp;F_Inputs!$B$4:$B$381,0),MATCH(Data!$C202,F_Inputs!$G$2:$T$2,0))</f>
        <v>0</v>
      </c>
      <c r="N202" s="139">
        <f t="array" ref="N202">INDEX(F_Inputs!$G$4:$T$381,MATCH(Data!$B202&amp;Data!N$6,F_Inputs!$A$4:$A$381&amp;F_Inputs!$B$4:$B$381,0),MATCH(Data!$C202,F_Inputs!$G$2:$T$2,0))</f>
        <v>17.1151387087824</v>
      </c>
      <c r="O202" s="144"/>
      <c r="P202" s="139">
        <f t="array" ref="P202">INDEX(F_Inputs!$G$4:$T$381,MATCH(Data!$B202&amp;Data!P$6,F_Inputs!$A$4:$A$381&amp;F_Inputs!$B$4:$B$381,0),MATCH(Data!$C202,F_Inputs!$G$2:$T$2,0))</f>
        <v>0</v>
      </c>
      <c r="Q202" s="139">
        <f t="array" ref="Q202">INDEX(F_Inputs!$G$4:$T$381,MATCH(Data!$B202&amp;Data!Q$6,F_Inputs!$A$4:$A$381&amp;F_Inputs!$B$4:$B$381,0),MATCH(Data!$C202,F_Inputs!$G$2:$T$2,0))</f>
        <v>0</v>
      </c>
      <c r="R202" s="139">
        <f t="array" ref="R202">INDEX(F_Inputs!$G$4:$T$381,MATCH(Data!$B202&amp;Data!R$6,F_Inputs!$A$4:$A$381&amp;F_Inputs!$B$4:$B$381,0),MATCH(Data!$C202,F_Inputs!$G$2:$T$2,0))</f>
        <v>0</v>
      </c>
      <c r="S202" s="139">
        <f t="array" ref="S202">INDEX(F_Inputs!$G$4:$T$381,MATCH(Data!$B202&amp;Data!S$6,F_Inputs!$A$4:$A$381&amp;F_Inputs!$B$4:$B$381,0),MATCH(Data!$C202,F_Inputs!$G$2:$T$2,0))</f>
        <v>0</v>
      </c>
      <c r="U202" s="139">
        <f t="array" ref="U202">INDEX(F_Inputs!$G$4:$T$381,MATCH(Data!$B202&amp;Data!U$6,F_Inputs!$A$4:$A$381&amp;F_Inputs!$B$4:$B$381,0),MATCH(Data!$C202,F_Inputs!$G$2:$T$2,0))</f>
        <v>0</v>
      </c>
      <c r="V202" s="139">
        <f t="array" ref="V202">INDEX(F_Inputs!$G$4:$T$381,MATCH(Data!$B202&amp;Data!V$6,F_Inputs!$A$4:$A$381&amp;F_Inputs!$B$4:$B$381,0),MATCH(Data!$C202,F_Inputs!$G$2:$T$2,0))</f>
        <v>0</v>
      </c>
      <c r="W202" s="139">
        <f t="array" ref="W202">INDEX(F_Inputs!$G$4:$T$381,MATCH(Data!$B202&amp;Data!W$6,F_Inputs!$A$4:$A$381&amp;F_Inputs!$B$4:$B$381,0),MATCH(Data!$C202,F_Inputs!$G$2:$T$2,0))</f>
        <v>0</v>
      </c>
    </row>
    <row r="203" spans="1:23" x14ac:dyDescent="0.2">
      <c r="A203" s="138" t="str">
        <f>B203&amp;RIGHT(C203,2)</f>
        <v>DVW16</v>
      </c>
      <c r="B203" s="19" t="s">
        <v>111</v>
      </c>
      <c r="C203" s="143" t="s">
        <v>68</v>
      </c>
      <c r="D203" s="139">
        <f t="array" ref="D203">INDEX(F_Inputs!$G$4:$T$381,MATCH(Data!$B203&amp;Data!D$6,F_Inputs!$A$4:$A$381&amp;F_Inputs!$B$4:$B$381,0),MATCH(Data!$C203,F_Inputs!$G$2:$T$2,0))</f>
        <v>0</v>
      </c>
      <c r="E203" s="139">
        <f t="array" ref="E203">INDEX(F_Inputs!$G$4:$T$381,MATCH(Data!$B203&amp;Data!E$6,F_Inputs!$A$4:$A$381&amp;F_Inputs!$B$4:$B$381,0),MATCH(Data!$C203,F_Inputs!$G$2:$T$2,0))</f>
        <v>0</v>
      </c>
      <c r="F203" s="139">
        <f t="array" ref="F203">INDEX(F_Inputs!$G$4:$T$381,MATCH(Data!$B203&amp;Data!F$6,F_Inputs!$A$4:$A$381&amp;F_Inputs!$B$4:$B$381,0),MATCH(Data!$C203,F_Inputs!$G$2:$T$2,0))</f>
        <v>0</v>
      </c>
      <c r="G203" s="139">
        <f t="array" ref="G203">INDEX(F_Inputs!$G$4:$T$381,MATCH(Data!$B203&amp;Data!G$6,F_Inputs!$A$4:$A$381&amp;F_Inputs!$B$4:$B$381,0),MATCH(Data!$C203,F_Inputs!$G$2:$T$2,0))</f>
        <v>0</v>
      </c>
      <c r="I203" s="139">
        <f t="array" ref="I203">INDEX(F_Inputs!$G$4:$T$381,MATCH(Data!$B203&amp;Data!I$6,F_Inputs!$A$4:$A$381&amp;F_Inputs!$B$4:$B$381,0),MATCH(Data!$C203,F_Inputs!$G$2:$T$2,0))</f>
        <v>0</v>
      </c>
      <c r="J203" s="139">
        <f t="array" ref="J203">INDEX(F_Inputs!$G$4:$T$381,MATCH(Data!$B203&amp;Data!J$6,F_Inputs!$A$4:$A$381&amp;F_Inputs!$B$4:$B$381,0),MATCH(Data!$C203,F_Inputs!$G$2:$T$2,0))</f>
        <v>0</v>
      </c>
      <c r="K203" s="139">
        <f t="array" ref="K203">INDEX(F_Inputs!$G$4:$T$381,MATCH(Data!$B203&amp;Data!K$6,F_Inputs!$A$4:$A$381&amp;F_Inputs!$B$4:$B$381,0),MATCH(Data!$C203,F_Inputs!$G$2:$T$2,0))</f>
        <v>0</v>
      </c>
      <c r="L203" s="139">
        <f t="array" ref="L203">INDEX(F_Inputs!$G$4:$T$381,MATCH(Data!$B203&amp;Data!L$6,F_Inputs!$A$4:$A$381&amp;F_Inputs!$B$4:$B$381,0),MATCH(Data!$C203,F_Inputs!$G$2:$T$2,0))</f>
        <v>0</v>
      </c>
      <c r="N203" s="139">
        <f t="array" ref="N203">INDEX(F_Inputs!$G$4:$T$381,MATCH(Data!$B203&amp;Data!N$6,F_Inputs!$A$4:$A$381&amp;F_Inputs!$B$4:$B$381,0),MATCH(Data!$C203,F_Inputs!$G$2:$T$2,0))</f>
        <v>16.908367151403201</v>
      </c>
      <c r="O203" s="144"/>
      <c r="P203" s="139">
        <f t="array" ref="P203">INDEX(F_Inputs!$G$4:$T$381,MATCH(Data!$B203&amp;Data!P$6,F_Inputs!$A$4:$A$381&amp;F_Inputs!$B$4:$B$381,0),MATCH(Data!$C203,F_Inputs!$G$2:$T$2,0))</f>
        <v>0</v>
      </c>
      <c r="Q203" s="139">
        <f t="array" ref="Q203">INDEX(F_Inputs!$G$4:$T$381,MATCH(Data!$B203&amp;Data!Q$6,F_Inputs!$A$4:$A$381&amp;F_Inputs!$B$4:$B$381,0),MATCH(Data!$C203,F_Inputs!$G$2:$T$2,0))</f>
        <v>0</v>
      </c>
      <c r="R203" s="139">
        <f t="array" ref="R203">INDEX(F_Inputs!$G$4:$T$381,MATCH(Data!$B203&amp;Data!R$6,F_Inputs!$A$4:$A$381&amp;F_Inputs!$B$4:$B$381,0),MATCH(Data!$C203,F_Inputs!$G$2:$T$2,0))</f>
        <v>0</v>
      </c>
      <c r="S203" s="139">
        <f t="array" ref="S203">INDEX(F_Inputs!$G$4:$T$381,MATCH(Data!$B203&amp;Data!S$6,F_Inputs!$A$4:$A$381&amp;F_Inputs!$B$4:$B$381,0),MATCH(Data!$C203,F_Inputs!$G$2:$T$2,0))</f>
        <v>0</v>
      </c>
      <c r="U203" s="139">
        <f t="array" ref="U203">INDEX(F_Inputs!$G$4:$T$381,MATCH(Data!$B203&amp;Data!U$6,F_Inputs!$A$4:$A$381&amp;F_Inputs!$B$4:$B$381,0),MATCH(Data!$C203,F_Inputs!$G$2:$T$2,0))</f>
        <v>0</v>
      </c>
      <c r="V203" s="139">
        <f t="array" ref="V203">INDEX(F_Inputs!$G$4:$T$381,MATCH(Data!$B203&amp;Data!V$6,F_Inputs!$A$4:$A$381&amp;F_Inputs!$B$4:$B$381,0),MATCH(Data!$C203,F_Inputs!$G$2:$T$2,0))</f>
        <v>0</v>
      </c>
      <c r="W203" s="139">
        <f t="array" ref="W203">INDEX(F_Inputs!$G$4:$T$381,MATCH(Data!$B203&amp;Data!W$6,F_Inputs!$A$4:$A$381&amp;F_Inputs!$B$4:$B$381,0),MATCH(Data!$C203,F_Inputs!$G$2:$T$2,0))</f>
        <v>0</v>
      </c>
    </row>
    <row r="204" spans="1:23" x14ac:dyDescent="0.2">
      <c r="A204" s="138" t="str">
        <f>B204&amp;RIGHT(C204,2)</f>
        <v>DVW17</v>
      </c>
      <c r="B204" s="19" t="s">
        <v>111</v>
      </c>
      <c r="C204" s="143" t="s">
        <v>69</v>
      </c>
      <c r="D204" s="139">
        <f t="array" ref="D204">INDEX(F_Inputs!$G$4:$T$381,MATCH(Data!$B204&amp;Data!D$6,F_Inputs!$A$4:$A$381&amp;F_Inputs!$B$4:$B$381,0),MATCH(Data!$C204,F_Inputs!$G$2:$T$2,0))</f>
        <v>0</v>
      </c>
      <c r="E204" s="139">
        <f t="array" ref="E204">INDEX(F_Inputs!$G$4:$T$381,MATCH(Data!$B204&amp;Data!E$6,F_Inputs!$A$4:$A$381&amp;F_Inputs!$B$4:$B$381,0),MATCH(Data!$C204,F_Inputs!$G$2:$T$2,0))</f>
        <v>0</v>
      </c>
      <c r="F204" s="139">
        <f t="array" ref="F204">INDEX(F_Inputs!$G$4:$T$381,MATCH(Data!$B204&amp;Data!F$6,F_Inputs!$A$4:$A$381&amp;F_Inputs!$B$4:$B$381,0),MATCH(Data!$C204,F_Inputs!$G$2:$T$2,0))</f>
        <v>0</v>
      </c>
      <c r="G204" s="139">
        <f t="array" ref="G204">INDEX(F_Inputs!$G$4:$T$381,MATCH(Data!$B204&amp;Data!G$6,F_Inputs!$A$4:$A$381&amp;F_Inputs!$B$4:$B$381,0),MATCH(Data!$C204,F_Inputs!$G$2:$T$2,0))</f>
        <v>0</v>
      </c>
      <c r="I204" s="139">
        <f t="array" ref="I204">INDEX(F_Inputs!$G$4:$T$381,MATCH(Data!$B204&amp;Data!I$6,F_Inputs!$A$4:$A$381&amp;F_Inputs!$B$4:$B$381,0),MATCH(Data!$C204,F_Inputs!$G$2:$T$2,0))</f>
        <v>0</v>
      </c>
      <c r="J204" s="139">
        <f t="array" ref="J204">INDEX(F_Inputs!$G$4:$T$381,MATCH(Data!$B204&amp;Data!J$6,F_Inputs!$A$4:$A$381&amp;F_Inputs!$B$4:$B$381,0),MATCH(Data!$C204,F_Inputs!$G$2:$T$2,0))</f>
        <v>0</v>
      </c>
      <c r="K204" s="139">
        <f t="array" ref="K204">INDEX(F_Inputs!$G$4:$T$381,MATCH(Data!$B204&amp;Data!K$6,F_Inputs!$A$4:$A$381&amp;F_Inputs!$B$4:$B$381,0),MATCH(Data!$C204,F_Inputs!$G$2:$T$2,0))</f>
        <v>0</v>
      </c>
      <c r="L204" s="139">
        <f t="array" ref="L204">INDEX(F_Inputs!$G$4:$T$381,MATCH(Data!$B204&amp;Data!L$6,F_Inputs!$A$4:$A$381&amp;F_Inputs!$B$4:$B$381,0),MATCH(Data!$C204,F_Inputs!$G$2:$T$2,0))</f>
        <v>0</v>
      </c>
      <c r="N204" s="139">
        <f t="array" ref="N204">INDEX(F_Inputs!$G$4:$T$381,MATCH(Data!$B204&amp;Data!N$6,F_Inputs!$A$4:$A$381&amp;F_Inputs!$B$4:$B$381,0),MATCH(Data!$C204,F_Inputs!$G$2:$T$2,0))</f>
        <v>22.004551680340601</v>
      </c>
      <c r="O204" s="144"/>
      <c r="P204" s="139">
        <f t="array" ref="P204">INDEX(F_Inputs!$G$4:$T$381,MATCH(Data!$B204&amp;Data!P$6,F_Inputs!$A$4:$A$381&amp;F_Inputs!$B$4:$B$381,0),MATCH(Data!$C204,F_Inputs!$G$2:$T$2,0))</f>
        <v>0</v>
      </c>
      <c r="Q204" s="139">
        <f t="array" ref="Q204">INDEX(F_Inputs!$G$4:$T$381,MATCH(Data!$B204&amp;Data!Q$6,F_Inputs!$A$4:$A$381&amp;F_Inputs!$B$4:$B$381,0),MATCH(Data!$C204,F_Inputs!$G$2:$T$2,0))</f>
        <v>0</v>
      </c>
      <c r="R204" s="139">
        <f t="array" ref="R204">INDEX(F_Inputs!$G$4:$T$381,MATCH(Data!$B204&amp;Data!R$6,F_Inputs!$A$4:$A$381&amp;F_Inputs!$B$4:$B$381,0),MATCH(Data!$C204,F_Inputs!$G$2:$T$2,0))</f>
        <v>0</v>
      </c>
      <c r="S204" s="139">
        <f t="array" ref="S204">INDEX(F_Inputs!$G$4:$T$381,MATCH(Data!$B204&amp;Data!S$6,F_Inputs!$A$4:$A$381&amp;F_Inputs!$B$4:$B$381,0),MATCH(Data!$C204,F_Inputs!$G$2:$T$2,0))</f>
        <v>0</v>
      </c>
      <c r="U204" s="139">
        <f t="array" ref="U204">INDEX(F_Inputs!$G$4:$T$381,MATCH(Data!$B204&amp;Data!U$6,F_Inputs!$A$4:$A$381&amp;F_Inputs!$B$4:$B$381,0),MATCH(Data!$C204,F_Inputs!$G$2:$T$2,0))</f>
        <v>0</v>
      </c>
      <c r="V204" s="139">
        <f t="array" ref="V204">INDEX(F_Inputs!$G$4:$T$381,MATCH(Data!$B204&amp;Data!V$6,F_Inputs!$A$4:$A$381&amp;F_Inputs!$B$4:$B$381,0),MATCH(Data!$C204,F_Inputs!$G$2:$T$2,0))</f>
        <v>0</v>
      </c>
      <c r="W204" s="139">
        <f t="array" ref="W204">INDEX(F_Inputs!$G$4:$T$381,MATCH(Data!$B204&amp;Data!W$6,F_Inputs!$A$4:$A$381&amp;F_Inputs!$B$4:$B$381,0),MATCH(Data!$C204,F_Inputs!$G$2:$T$2,0))</f>
        <v>0</v>
      </c>
    </row>
    <row r="205" spans="1:23" x14ac:dyDescent="0.2">
      <c r="A205" s="141" t="s">
        <v>246</v>
      </c>
      <c r="B205" s="142" t="s">
        <v>111</v>
      </c>
      <c r="C205" s="142" t="s">
        <v>70</v>
      </c>
      <c r="D205" s="139">
        <f t="array" ref="D205">INDEX(F_Inputs!$G$4:$T$381,MATCH(Data!$B205&amp;Data!D$6,F_Inputs!$A$4:$A$381&amp;F_Inputs!$B$4:$B$381,0),MATCH(Data!$C205,F_Inputs!$G$2:$T$2,0))</f>
        <v>0</v>
      </c>
      <c r="E205" s="139">
        <f t="array" ref="E205">INDEX(F_Inputs!$G$4:$T$381,MATCH(Data!$B205&amp;Data!E$6,F_Inputs!$A$4:$A$381&amp;F_Inputs!$B$4:$B$381,0),MATCH(Data!$C205,F_Inputs!$G$2:$T$2,0))</f>
        <v>0</v>
      </c>
      <c r="F205" s="139">
        <f t="array" ref="F205">INDEX(F_Inputs!$G$4:$T$381,MATCH(Data!$B205&amp;Data!F$6,F_Inputs!$A$4:$A$381&amp;F_Inputs!$B$4:$B$381,0),MATCH(Data!$C205,F_Inputs!$G$2:$T$2,0))</f>
        <v>1.4999999999999999E-2</v>
      </c>
      <c r="G205" s="139">
        <f t="array" ref="G205">INDEX(F_Inputs!$G$4:$T$381,MATCH(Data!$B205&amp;Data!G$6,F_Inputs!$A$4:$A$381&amp;F_Inputs!$B$4:$B$381,0),MATCH(Data!$C205,F_Inputs!$G$2:$T$2,0))</f>
        <v>0</v>
      </c>
      <c r="I205" s="139">
        <f t="array" ref="I205">INDEX(F_Inputs!$G$4:$T$381,MATCH(Data!$B205&amp;Data!I$6,F_Inputs!$A$4:$A$381&amp;F_Inputs!$B$4:$B$381,0),MATCH(Data!$C205,F_Inputs!$G$2:$T$2,0))</f>
        <v>0</v>
      </c>
      <c r="J205" s="139">
        <f t="array" ref="J205">INDEX(F_Inputs!$G$4:$T$381,MATCH(Data!$B205&amp;Data!J$6,F_Inputs!$A$4:$A$381&amp;F_Inputs!$B$4:$B$381,0),MATCH(Data!$C205,F_Inputs!$G$2:$T$2,0))</f>
        <v>0</v>
      </c>
      <c r="K205" s="139">
        <f t="array" ref="K205">INDEX(F_Inputs!$G$4:$T$381,MATCH(Data!$B205&amp;Data!K$6,F_Inputs!$A$4:$A$381&amp;F_Inputs!$B$4:$B$381,0),MATCH(Data!$C205,F_Inputs!$G$2:$T$2,0))</f>
        <v>0</v>
      </c>
      <c r="L205" s="139">
        <f t="array" ref="L205">INDEX(F_Inputs!$G$4:$T$381,MATCH(Data!$B205&amp;Data!L$6,F_Inputs!$A$4:$A$381&amp;F_Inputs!$B$4:$B$381,0),MATCH(Data!$C205,F_Inputs!$G$2:$T$2,0))</f>
        <v>0</v>
      </c>
      <c r="N205" s="139">
        <f t="array" ref="N205">INDEX(F_Inputs!$G$4:$T$381,MATCH(Data!$B205&amp;Data!N$6,F_Inputs!$A$4:$A$381&amp;F_Inputs!$B$4:$B$381,0),MATCH(Data!$C205,F_Inputs!$G$2:$T$2,0))</f>
        <v>27.923999999999999</v>
      </c>
      <c r="O205" s="144"/>
      <c r="P205" s="139">
        <f t="array" ref="P205">INDEX(F_Inputs!$G$4:$T$381,MATCH(Data!$B205&amp;Data!P$6,F_Inputs!$A$4:$A$381&amp;F_Inputs!$B$4:$B$381,0),MATCH(Data!$C205,F_Inputs!$G$2:$T$2,0))</f>
        <v>0</v>
      </c>
      <c r="Q205" s="139">
        <f t="array" ref="Q205">INDEX(F_Inputs!$G$4:$T$381,MATCH(Data!$B205&amp;Data!Q$6,F_Inputs!$A$4:$A$381&amp;F_Inputs!$B$4:$B$381,0),MATCH(Data!$C205,F_Inputs!$G$2:$T$2,0))</f>
        <v>0</v>
      </c>
      <c r="R205" s="139">
        <f t="array" ref="R205">INDEX(F_Inputs!$G$4:$T$381,MATCH(Data!$B205&amp;Data!R$6,F_Inputs!$A$4:$A$381&amp;F_Inputs!$B$4:$B$381,0),MATCH(Data!$C205,F_Inputs!$G$2:$T$2,0))</f>
        <v>0</v>
      </c>
      <c r="S205" s="139">
        <f t="array" ref="S205">INDEX(F_Inputs!$G$4:$T$381,MATCH(Data!$B205&amp;Data!S$6,F_Inputs!$A$4:$A$381&amp;F_Inputs!$B$4:$B$381,0),MATCH(Data!$C205,F_Inputs!$G$2:$T$2,0))</f>
        <v>0</v>
      </c>
      <c r="U205" s="139">
        <f t="array" ref="U205">INDEX(F_Inputs!$G$4:$T$381,MATCH(Data!$B205&amp;Data!U$6,F_Inputs!$A$4:$A$381&amp;F_Inputs!$B$4:$B$381,0),MATCH(Data!$C205,F_Inputs!$G$2:$T$2,0))</f>
        <v>10.96</v>
      </c>
      <c r="V205" s="139">
        <f t="array" ref="V205">INDEX(F_Inputs!$G$4:$T$381,MATCH(Data!$B205&amp;Data!V$6,F_Inputs!$A$4:$A$381&amp;F_Inputs!$B$4:$B$381,0),MATCH(Data!$C205,F_Inputs!$G$2:$T$2,0))</f>
        <v>2015.1</v>
      </c>
      <c r="W205" s="139">
        <f t="array" ref="W205">INDEX(F_Inputs!$G$4:$T$381,MATCH(Data!$B205&amp;Data!W$6,F_Inputs!$A$4:$A$381&amp;F_Inputs!$B$4:$B$381,0),MATCH(Data!$C205,F_Inputs!$G$2:$T$2,0))</f>
        <v>127.93</v>
      </c>
    </row>
    <row r="206" spans="1:23" x14ac:dyDescent="0.2">
      <c r="A206" s="141" t="s">
        <v>247</v>
      </c>
      <c r="B206" s="142" t="s">
        <v>111</v>
      </c>
      <c r="C206" s="142" t="s">
        <v>71</v>
      </c>
      <c r="D206" s="139">
        <f t="array" ref="D206">INDEX(F_Inputs!$G$4:$T$381,MATCH(Data!$B206&amp;Data!D$6,F_Inputs!$A$4:$A$381&amp;F_Inputs!$B$4:$B$381,0),MATCH(Data!$C206,F_Inputs!$G$2:$T$2,0))</f>
        <v>0</v>
      </c>
      <c r="E206" s="139">
        <f t="array" ref="E206">INDEX(F_Inputs!$G$4:$T$381,MATCH(Data!$B206&amp;Data!E$6,F_Inputs!$A$4:$A$381&amp;F_Inputs!$B$4:$B$381,0),MATCH(Data!$C206,F_Inputs!$G$2:$T$2,0))</f>
        <v>0</v>
      </c>
      <c r="F206" s="139">
        <f t="array" ref="F206">INDEX(F_Inputs!$G$4:$T$381,MATCH(Data!$B206&amp;Data!F$6,F_Inputs!$A$4:$A$381&amp;F_Inputs!$B$4:$B$381,0),MATCH(Data!$C206,F_Inputs!$G$2:$T$2,0))</f>
        <v>0</v>
      </c>
      <c r="G206" s="139">
        <f t="array" ref="G206">INDEX(F_Inputs!$G$4:$T$381,MATCH(Data!$B206&amp;Data!G$6,F_Inputs!$A$4:$A$381&amp;F_Inputs!$B$4:$B$381,0),MATCH(Data!$C206,F_Inputs!$G$2:$T$2,0))</f>
        <v>0</v>
      </c>
      <c r="I206" s="139">
        <f t="array" ref="I206">INDEX(F_Inputs!$G$4:$T$381,MATCH(Data!$B206&amp;Data!I$6,F_Inputs!$A$4:$A$381&amp;F_Inputs!$B$4:$B$381,0),MATCH(Data!$C206,F_Inputs!$G$2:$T$2,0))</f>
        <v>0</v>
      </c>
      <c r="J206" s="139">
        <f t="array" ref="J206">INDEX(F_Inputs!$G$4:$T$381,MATCH(Data!$B206&amp;Data!J$6,F_Inputs!$A$4:$A$381&amp;F_Inputs!$B$4:$B$381,0),MATCH(Data!$C206,F_Inputs!$G$2:$T$2,0))</f>
        <v>0</v>
      </c>
      <c r="K206" s="139">
        <f t="array" ref="K206">INDEX(F_Inputs!$G$4:$T$381,MATCH(Data!$B206&amp;Data!K$6,F_Inputs!$A$4:$A$381&amp;F_Inputs!$B$4:$B$381,0),MATCH(Data!$C206,F_Inputs!$G$2:$T$2,0))</f>
        <v>0</v>
      </c>
      <c r="L206" s="139">
        <f t="array" ref="L206">INDEX(F_Inputs!$G$4:$T$381,MATCH(Data!$B206&amp;Data!L$6,F_Inputs!$A$4:$A$381&amp;F_Inputs!$B$4:$B$381,0),MATCH(Data!$C206,F_Inputs!$G$2:$T$2,0))</f>
        <v>0</v>
      </c>
      <c r="N206" s="139">
        <f t="array" ref="N206">INDEX(F_Inputs!$G$4:$T$381,MATCH(Data!$B206&amp;Data!N$6,F_Inputs!$A$4:$A$381&amp;F_Inputs!$B$4:$B$381,0),MATCH(Data!$C206,F_Inputs!$G$2:$T$2,0))</f>
        <v>0</v>
      </c>
      <c r="O206" s="144"/>
      <c r="P206" s="139">
        <f t="array" ref="P206">INDEX(F_Inputs!$G$4:$T$381,MATCH(Data!$B206&amp;Data!P$6,F_Inputs!$A$4:$A$381&amp;F_Inputs!$B$4:$B$381,0),MATCH(Data!$C206,F_Inputs!$G$2:$T$2,0))</f>
        <v>0</v>
      </c>
      <c r="Q206" s="139">
        <f t="array" ref="Q206">INDEX(F_Inputs!$G$4:$T$381,MATCH(Data!$B206&amp;Data!Q$6,F_Inputs!$A$4:$A$381&amp;F_Inputs!$B$4:$B$381,0),MATCH(Data!$C206,F_Inputs!$G$2:$T$2,0))</f>
        <v>0</v>
      </c>
      <c r="R206" s="139">
        <f t="array" ref="R206">INDEX(F_Inputs!$G$4:$T$381,MATCH(Data!$B206&amp;Data!R$6,F_Inputs!$A$4:$A$381&amp;F_Inputs!$B$4:$B$381,0),MATCH(Data!$C206,F_Inputs!$G$2:$T$2,0))</f>
        <v>0</v>
      </c>
      <c r="S206" s="139">
        <f t="array" ref="S206">INDEX(F_Inputs!$G$4:$T$381,MATCH(Data!$B206&amp;Data!S$6,F_Inputs!$A$4:$A$381&amp;F_Inputs!$B$4:$B$381,0),MATCH(Data!$C206,F_Inputs!$G$2:$T$2,0))</f>
        <v>0</v>
      </c>
      <c r="U206" s="139">
        <f t="array" ref="U206">INDEX(F_Inputs!$G$4:$T$381,MATCH(Data!$B206&amp;Data!U$6,F_Inputs!$A$4:$A$381&amp;F_Inputs!$B$4:$B$381,0),MATCH(Data!$C206,F_Inputs!$G$2:$T$2,0))</f>
        <v>0</v>
      </c>
      <c r="V206" s="139">
        <f t="array" ref="V206">INDEX(F_Inputs!$G$4:$T$381,MATCH(Data!$B206&amp;Data!V$6,F_Inputs!$A$4:$A$381&amp;F_Inputs!$B$4:$B$381,0),MATCH(Data!$C206,F_Inputs!$G$2:$T$2,0))</f>
        <v>0</v>
      </c>
      <c r="W206" s="139">
        <f t="array" ref="W206">INDEX(F_Inputs!$G$4:$T$381,MATCH(Data!$B206&amp;Data!W$6,F_Inputs!$A$4:$A$381&amp;F_Inputs!$B$4:$B$381,0),MATCH(Data!$C206,F_Inputs!$G$2:$T$2,0))</f>
        <v>0</v>
      </c>
    </row>
    <row r="207" spans="1:23" x14ac:dyDescent="0.2">
      <c r="A207" s="141" t="s">
        <v>248</v>
      </c>
      <c r="B207" s="142" t="s">
        <v>111</v>
      </c>
      <c r="C207" s="142" t="s">
        <v>72</v>
      </c>
      <c r="D207" s="139">
        <f t="array" ref="D207">INDEX(F_Inputs!$G$4:$T$381,MATCH(Data!$B207&amp;Data!D$6,F_Inputs!$A$4:$A$381&amp;F_Inputs!$B$4:$B$381,0),MATCH(Data!$C207,F_Inputs!$G$2:$T$2,0))</f>
        <v>0</v>
      </c>
      <c r="E207" s="139">
        <f t="array" ref="E207">INDEX(F_Inputs!$G$4:$T$381,MATCH(Data!$B207&amp;Data!E$6,F_Inputs!$A$4:$A$381&amp;F_Inputs!$B$4:$B$381,0),MATCH(Data!$C207,F_Inputs!$G$2:$T$2,0))</f>
        <v>0</v>
      </c>
      <c r="F207" s="139">
        <f t="array" ref="F207">INDEX(F_Inputs!$G$4:$T$381,MATCH(Data!$B207&amp;Data!F$6,F_Inputs!$A$4:$A$381&amp;F_Inputs!$B$4:$B$381,0),MATCH(Data!$C207,F_Inputs!$G$2:$T$2,0))</f>
        <v>0</v>
      </c>
      <c r="G207" s="139">
        <f t="array" ref="G207">INDEX(F_Inputs!$G$4:$T$381,MATCH(Data!$B207&amp;Data!G$6,F_Inputs!$A$4:$A$381&amp;F_Inputs!$B$4:$B$381,0),MATCH(Data!$C207,F_Inputs!$G$2:$T$2,0))</f>
        <v>0</v>
      </c>
      <c r="I207" s="139">
        <f t="array" ref="I207">INDEX(F_Inputs!$G$4:$T$381,MATCH(Data!$B207&amp;Data!I$6,F_Inputs!$A$4:$A$381&amp;F_Inputs!$B$4:$B$381,0),MATCH(Data!$C207,F_Inputs!$G$2:$T$2,0))</f>
        <v>0</v>
      </c>
      <c r="J207" s="139">
        <f t="array" ref="J207">INDEX(F_Inputs!$G$4:$T$381,MATCH(Data!$B207&amp;Data!J$6,F_Inputs!$A$4:$A$381&amp;F_Inputs!$B$4:$B$381,0),MATCH(Data!$C207,F_Inputs!$G$2:$T$2,0))</f>
        <v>0</v>
      </c>
      <c r="K207" s="139">
        <f t="array" ref="K207">INDEX(F_Inputs!$G$4:$T$381,MATCH(Data!$B207&amp;Data!K$6,F_Inputs!$A$4:$A$381&amp;F_Inputs!$B$4:$B$381,0),MATCH(Data!$C207,F_Inputs!$G$2:$T$2,0))</f>
        <v>0</v>
      </c>
      <c r="L207" s="139">
        <f t="array" ref="L207">INDEX(F_Inputs!$G$4:$T$381,MATCH(Data!$B207&amp;Data!L$6,F_Inputs!$A$4:$A$381&amp;F_Inputs!$B$4:$B$381,0),MATCH(Data!$C207,F_Inputs!$G$2:$T$2,0))</f>
        <v>0</v>
      </c>
      <c r="N207" s="139">
        <f t="array" ref="N207">INDEX(F_Inputs!$G$4:$T$381,MATCH(Data!$B207&amp;Data!N$6,F_Inputs!$A$4:$A$381&amp;F_Inputs!$B$4:$B$381,0),MATCH(Data!$C207,F_Inputs!$G$2:$T$2,0))</f>
        <v>0</v>
      </c>
      <c r="O207" s="144"/>
      <c r="P207" s="139">
        <f t="array" ref="P207">INDEX(F_Inputs!$G$4:$T$381,MATCH(Data!$B207&amp;Data!P$6,F_Inputs!$A$4:$A$381&amp;F_Inputs!$B$4:$B$381,0),MATCH(Data!$C207,F_Inputs!$G$2:$T$2,0))</f>
        <v>0</v>
      </c>
      <c r="Q207" s="139">
        <f t="array" ref="Q207">INDEX(F_Inputs!$G$4:$T$381,MATCH(Data!$B207&amp;Data!Q$6,F_Inputs!$A$4:$A$381&amp;F_Inputs!$B$4:$B$381,0),MATCH(Data!$C207,F_Inputs!$G$2:$T$2,0))</f>
        <v>0</v>
      </c>
      <c r="R207" s="139">
        <f t="array" ref="R207">INDEX(F_Inputs!$G$4:$T$381,MATCH(Data!$B207&amp;Data!R$6,F_Inputs!$A$4:$A$381&amp;F_Inputs!$B$4:$B$381,0),MATCH(Data!$C207,F_Inputs!$G$2:$T$2,0))</f>
        <v>0</v>
      </c>
      <c r="S207" s="139">
        <f t="array" ref="S207">INDEX(F_Inputs!$G$4:$T$381,MATCH(Data!$B207&amp;Data!S$6,F_Inputs!$A$4:$A$381&amp;F_Inputs!$B$4:$B$381,0),MATCH(Data!$C207,F_Inputs!$G$2:$T$2,0))</f>
        <v>0</v>
      </c>
      <c r="U207" s="139">
        <f t="array" ref="U207">INDEX(F_Inputs!$G$4:$T$381,MATCH(Data!$B207&amp;Data!U$6,F_Inputs!$A$4:$A$381&amp;F_Inputs!$B$4:$B$381,0),MATCH(Data!$C207,F_Inputs!$G$2:$T$2,0))</f>
        <v>0</v>
      </c>
      <c r="V207" s="139">
        <f t="array" ref="V207">INDEX(F_Inputs!$G$4:$T$381,MATCH(Data!$B207&amp;Data!V$6,F_Inputs!$A$4:$A$381&amp;F_Inputs!$B$4:$B$381,0),MATCH(Data!$C207,F_Inputs!$G$2:$T$2,0))</f>
        <v>0</v>
      </c>
      <c r="W207" s="139">
        <f t="array" ref="W207">INDEX(F_Inputs!$G$4:$T$381,MATCH(Data!$B207&amp;Data!W$6,F_Inputs!$A$4:$A$381&amp;F_Inputs!$B$4:$B$381,0),MATCH(Data!$C207,F_Inputs!$G$2:$T$2,0))</f>
        <v>0</v>
      </c>
    </row>
    <row r="208" spans="1:23" x14ac:dyDescent="0.2">
      <c r="A208" s="141" t="s">
        <v>249</v>
      </c>
      <c r="B208" s="142" t="s">
        <v>111</v>
      </c>
      <c r="C208" s="142" t="s">
        <v>73</v>
      </c>
      <c r="D208" s="139">
        <f t="array" ref="D208">INDEX(F_Inputs!$G$4:$T$381,MATCH(Data!$B208&amp;Data!D$6,F_Inputs!$A$4:$A$381&amp;F_Inputs!$B$4:$B$381,0),MATCH(Data!$C208,F_Inputs!$G$2:$T$2,0))</f>
        <v>0</v>
      </c>
      <c r="E208" s="139">
        <f t="array" ref="E208">INDEX(F_Inputs!$G$4:$T$381,MATCH(Data!$B208&amp;Data!E$6,F_Inputs!$A$4:$A$381&amp;F_Inputs!$B$4:$B$381,0),MATCH(Data!$C208,F_Inputs!$G$2:$T$2,0))</f>
        <v>0</v>
      </c>
      <c r="F208" s="139">
        <f t="array" ref="F208">INDEX(F_Inputs!$G$4:$T$381,MATCH(Data!$B208&amp;Data!F$6,F_Inputs!$A$4:$A$381&amp;F_Inputs!$B$4:$B$381,0),MATCH(Data!$C208,F_Inputs!$G$2:$T$2,0))</f>
        <v>0</v>
      </c>
      <c r="G208" s="139">
        <f t="array" ref="G208">INDEX(F_Inputs!$G$4:$T$381,MATCH(Data!$B208&amp;Data!G$6,F_Inputs!$A$4:$A$381&amp;F_Inputs!$B$4:$B$381,0),MATCH(Data!$C208,F_Inputs!$G$2:$T$2,0))</f>
        <v>0</v>
      </c>
      <c r="I208" s="139">
        <f t="array" ref="I208">INDEX(F_Inputs!$G$4:$T$381,MATCH(Data!$B208&amp;Data!I$6,F_Inputs!$A$4:$A$381&amp;F_Inputs!$B$4:$B$381,0),MATCH(Data!$C208,F_Inputs!$G$2:$T$2,0))</f>
        <v>0</v>
      </c>
      <c r="J208" s="139">
        <f t="array" ref="J208">INDEX(F_Inputs!$G$4:$T$381,MATCH(Data!$B208&amp;Data!J$6,F_Inputs!$A$4:$A$381&amp;F_Inputs!$B$4:$B$381,0),MATCH(Data!$C208,F_Inputs!$G$2:$T$2,0))</f>
        <v>0</v>
      </c>
      <c r="K208" s="139">
        <f t="array" ref="K208">INDEX(F_Inputs!$G$4:$T$381,MATCH(Data!$B208&amp;Data!K$6,F_Inputs!$A$4:$A$381&amp;F_Inputs!$B$4:$B$381,0),MATCH(Data!$C208,F_Inputs!$G$2:$T$2,0))</f>
        <v>0</v>
      </c>
      <c r="L208" s="139">
        <f t="array" ref="L208">INDEX(F_Inputs!$G$4:$T$381,MATCH(Data!$B208&amp;Data!L$6,F_Inputs!$A$4:$A$381&amp;F_Inputs!$B$4:$B$381,0),MATCH(Data!$C208,F_Inputs!$G$2:$T$2,0))</f>
        <v>0</v>
      </c>
      <c r="N208" s="139">
        <f t="array" ref="N208">INDEX(F_Inputs!$G$4:$T$381,MATCH(Data!$B208&amp;Data!N$6,F_Inputs!$A$4:$A$381&amp;F_Inputs!$B$4:$B$381,0),MATCH(Data!$C208,F_Inputs!$G$2:$T$2,0))</f>
        <v>0</v>
      </c>
      <c r="O208" s="144"/>
      <c r="P208" s="139">
        <f t="array" ref="P208">INDEX(F_Inputs!$G$4:$T$381,MATCH(Data!$B208&amp;Data!P$6,F_Inputs!$A$4:$A$381&amp;F_Inputs!$B$4:$B$381,0),MATCH(Data!$C208,F_Inputs!$G$2:$T$2,0))</f>
        <v>0</v>
      </c>
      <c r="Q208" s="139">
        <f t="array" ref="Q208">INDEX(F_Inputs!$G$4:$T$381,MATCH(Data!$B208&amp;Data!Q$6,F_Inputs!$A$4:$A$381&amp;F_Inputs!$B$4:$B$381,0),MATCH(Data!$C208,F_Inputs!$G$2:$T$2,0))</f>
        <v>0</v>
      </c>
      <c r="R208" s="139">
        <f t="array" ref="R208">INDEX(F_Inputs!$G$4:$T$381,MATCH(Data!$B208&amp;Data!R$6,F_Inputs!$A$4:$A$381&amp;F_Inputs!$B$4:$B$381,0),MATCH(Data!$C208,F_Inputs!$G$2:$T$2,0))</f>
        <v>0</v>
      </c>
      <c r="S208" s="139">
        <f t="array" ref="S208">INDEX(F_Inputs!$G$4:$T$381,MATCH(Data!$B208&amp;Data!S$6,F_Inputs!$A$4:$A$381&amp;F_Inputs!$B$4:$B$381,0),MATCH(Data!$C208,F_Inputs!$G$2:$T$2,0))</f>
        <v>0</v>
      </c>
      <c r="U208" s="139">
        <f t="array" ref="U208">INDEX(F_Inputs!$G$4:$T$381,MATCH(Data!$B208&amp;Data!U$6,F_Inputs!$A$4:$A$381&amp;F_Inputs!$B$4:$B$381,0),MATCH(Data!$C208,F_Inputs!$G$2:$T$2,0))</f>
        <v>0</v>
      </c>
      <c r="V208" s="139">
        <f t="array" ref="V208">INDEX(F_Inputs!$G$4:$T$381,MATCH(Data!$B208&amp;Data!V$6,F_Inputs!$A$4:$A$381&amp;F_Inputs!$B$4:$B$381,0),MATCH(Data!$C208,F_Inputs!$G$2:$T$2,0))</f>
        <v>0</v>
      </c>
      <c r="W208" s="139">
        <f t="array" ref="W208">INDEX(F_Inputs!$G$4:$T$381,MATCH(Data!$B208&amp;Data!W$6,F_Inputs!$A$4:$A$381&amp;F_Inputs!$B$4:$B$381,0),MATCH(Data!$C208,F_Inputs!$G$2:$T$2,0))</f>
        <v>0</v>
      </c>
    </row>
    <row r="209" spans="1:23" x14ac:dyDescent="0.2">
      <c r="A209" s="141" t="s">
        <v>250</v>
      </c>
      <c r="B209" s="142" t="s">
        <v>111</v>
      </c>
      <c r="C209" s="142" t="s">
        <v>74</v>
      </c>
      <c r="D209" s="139">
        <f t="array" ref="D209">INDEX(F_Inputs!$G$4:$T$381,MATCH(Data!$B209&amp;Data!D$6,F_Inputs!$A$4:$A$381&amp;F_Inputs!$B$4:$B$381,0),MATCH(Data!$C209,F_Inputs!$G$2:$T$2,0))</f>
        <v>0</v>
      </c>
      <c r="E209" s="139">
        <f t="array" ref="E209">INDEX(F_Inputs!$G$4:$T$381,MATCH(Data!$B209&amp;Data!E$6,F_Inputs!$A$4:$A$381&amp;F_Inputs!$B$4:$B$381,0),MATCH(Data!$C209,F_Inputs!$G$2:$T$2,0))</f>
        <v>0</v>
      </c>
      <c r="F209" s="139">
        <f t="array" ref="F209">INDEX(F_Inputs!$G$4:$T$381,MATCH(Data!$B209&amp;Data!F$6,F_Inputs!$A$4:$A$381&amp;F_Inputs!$B$4:$B$381,0),MATCH(Data!$C209,F_Inputs!$G$2:$T$2,0))</f>
        <v>0</v>
      </c>
      <c r="G209" s="139">
        <f t="array" ref="G209">INDEX(F_Inputs!$G$4:$T$381,MATCH(Data!$B209&amp;Data!G$6,F_Inputs!$A$4:$A$381&amp;F_Inputs!$B$4:$B$381,0),MATCH(Data!$C209,F_Inputs!$G$2:$T$2,0))</f>
        <v>0</v>
      </c>
      <c r="I209" s="139">
        <f t="array" ref="I209">INDEX(F_Inputs!$G$4:$T$381,MATCH(Data!$B209&amp;Data!I$6,F_Inputs!$A$4:$A$381&amp;F_Inputs!$B$4:$B$381,0),MATCH(Data!$C209,F_Inputs!$G$2:$T$2,0))</f>
        <v>0</v>
      </c>
      <c r="J209" s="139">
        <f t="array" ref="J209">INDEX(F_Inputs!$G$4:$T$381,MATCH(Data!$B209&amp;Data!J$6,F_Inputs!$A$4:$A$381&amp;F_Inputs!$B$4:$B$381,0),MATCH(Data!$C209,F_Inputs!$G$2:$T$2,0))</f>
        <v>0</v>
      </c>
      <c r="K209" s="139">
        <f t="array" ref="K209">INDEX(F_Inputs!$G$4:$T$381,MATCH(Data!$B209&amp;Data!K$6,F_Inputs!$A$4:$A$381&amp;F_Inputs!$B$4:$B$381,0),MATCH(Data!$C209,F_Inputs!$G$2:$T$2,0))</f>
        <v>0</v>
      </c>
      <c r="L209" s="139">
        <f t="array" ref="L209">INDEX(F_Inputs!$G$4:$T$381,MATCH(Data!$B209&amp;Data!L$6,F_Inputs!$A$4:$A$381&amp;F_Inputs!$B$4:$B$381,0),MATCH(Data!$C209,F_Inputs!$G$2:$T$2,0))</f>
        <v>0</v>
      </c>
      <c r="N209" s="139">
        <f t="array" ref="N209">INDEX(F_Inputs!$G$4:$T$381,MATCH(Data!$B209&amp;Data!N$6,F_Inputs!$A$4:$A$381&amp;F_Inputs!$B$4:$B$381,0),MATCH(Data!$C209,F_Inputs!$G$2:$T$2,0))</f>
        <v>0</v>
      </c>
      <c r="O209" s="144"/>
      <c r="P209" s="139">
        <f t="array" ref="P209">INDEX(F_Inputs!$G$4:$T$381,MATCH(Data!$B209&amp;Data!P$6,F_Inputs!$A$4:$A$381&amp;F_Inputs!$B$4:$B$381,0),MATCH(Data!$C209,F_Inputs!$G$2:$T$2,0))</f>
        <v>0</v>
      </c>
      <c r="Q209" s="139">
        <f t="array" ref="Q209">INDEX(F_Inputs!$G$4:$T$381,MATCH(Data!$B209&amp;Data!Q$6,F_Inputs!$A$4:$A$381&amp;F_Inputs!$B$4:$B$381,0),MATCH(Data!$C209,F_Inputs!$G$2:$T$2,0))</f>
        <v>0</v>
      </c>
      <c r="R209" s="139">
        <f t="array" ref="R209">INDEX(F_Inputs!$G$4:$T$381,MATCH(Data!$B209&amp;Data!R$6,F_Inputs!$A$4:$A$381&amp;F_Inputs!$B$4:$B$381,0),MATCH(Data!$C209,F_Inputs!$G$2:$T$2,0))</f>
        <v>0</v>
      </c>
      <c r="S209" s="139">
        <f t="array" ref="S209">INDEX(F_Inputs!$G$4:$T$381,MATCH(Data!$B209&amp;Data!S$6,F_Inputs!$A$4:$A$381&amp;F_Inputs!$B$4:$B$381,0),MATCH(Data!$C209,F_Inputs!$G$2:$T$2,0))</f>
        <v>0</v>
      </c>
      <c r="U209" s="139">
        <f t="array" ref="U209">INDEX(F_Inputs!$G$4:$T$381,MATCH(Data!$B209&amp;Data!U$6,F_Inputs!$A$4:$A$381&amp;F_Inputs!$B$4:$B$381,0),MATCH(Data!$C209,F_Inputs!$G$2:$T$2,0))</f>
        <v>0</v>
      </c>
      <c r="V209" s="139">
        <f t="array" ref="V209">INDEX(F_Inputs!$G$4:$T$381,MATCH(Data!$B209&amp;Data!V$6,F_Inputs!$A$4:$A$381&amp;F_Inputs!$B$4:$B$381,0),MATCH(Data!$C209,F_Inputs!$G$2:$T$2,0))</f>
        <v>0</v>
      </c>
      <c r="W209" s="139">
        <f t="array" ref="W209">INDEX(F_Inputs!$G$4:$T$381,MATCH(Data!$B209&amp;Data!W$6,F_Inputs!$A$4:$A$381&amp;F_Inputs!$B$4:$B$381,0),MATCH(Data!$C209,F_Inputs!$G$2:$T$2,0))</f>
        <v>0</v>
      </c>
    </row>
    <row r="210" spans="1:23" x14ac:dyDescent="0.2">
      <c r="A210" s="141" t="s">
        <v>251</v>
      </c>
      <c r="B210" s="142" t="s">
        <v>111</v>
      </c>
      <c r="C210" s="142" t="s">
        <v>75</v>
      </c>
      <c r="D210" s="139">
        <f t="array" ref="D210">INDEX(F_Inputs!$G$4:$T$381,MATCH(Data!$B210&amp;Data!D$6,F_Inputs!$A$4:$A$381&amp;F_Inputs!$B$4:$B$381,0),MATCH(Data!$C210,F_Inputs!$G$2:$T$2,0))</f>
        <v>0</v>
      </c>
      <c r="E210" s="139">
        <f t="array" ref="E210">INDEX(F_Inputs!$G$4:$T$381,MATCH(Data!$B210&amp;Data!E$6,F_Inputs!$A$4:$A$381&amp;F_Inputs!$B$4:$B$381,0),MATCH(Data!$C210,F_Inputs!$G$2:$T$2,0))</f>
        <v>0</v>
      </c>
      <c r="F210" s="139">
        <f t="array" ref="F210">INDEX(F_Inputs!$G$4:$T$381,MATCH(Data!$B210&amp;Data!F$6,F_Inputs!$A$4:$A$381&amp;F_Inputs!$B$4:$B$381,0),MATCH(Data!$C210,F_Inputs!$G$2:$T$2,0))</f>
        <v>0</v>
      </c>
      <c r="G210" s="139">
        <f t="array" ref="G210">INDEX(F_Inputs!$G$4:$T$381,MATCH(Data!$B210&amp;Data!G$6,F_Inputs!$A$4:$A$381&amp;F_Inputs!$B$4:$B$381,0),MATCH(Data!$C210,F_Inputs!$G$2:$T$2,0))</f>
        <v>0</v>
      </c>
      <c r="I210" s="139">
        <f t="array" ref="I210">INDEX(F_Inputs!$G$4:$T$381,MATCH(Data!$B210&amp;Data!I$6,F_Inputs!$A$4:$A$381&amp;F_Inputs!$B$4:$B$381,0),MATCH(Data!$C210,F_Inputs!$G$2:$T$2,0))</f>
        <v>0</v>
      </c>
      <c r="J210" s="139">
        <f t="array" ref="J210">INDEX(F_Inputs!$G$4:$T$381,MATCH(Data!$B210&amp;Data!J$6,F_Inputs!$A$4:$A$381&amp;F_Inputs!$B$4:$B$381,0),MATCH(Data!$C210,F_Inputs!$G$2:$T$2,0))</f>
        <v>0</v>
      </c>
      <c r="K210" s="139">
        <f t="array" ref="K210">INDEX(F_Inputs!$G$4:$T$381,MATCH(Data!$B210&amp;Data!K$6,F_Inputs!$A$4:$A$381&amp;F_Inputs!$B$4:$B$381,0),MATCH(Data!$C210,F_Inputs!$G$2:$T$2,0))</f>
        <v>0</v>
      </c>
      <c r="L210" s="139">
        <f t="array" ref="L210">INDEX(F_Inputs!$G$4:$T$381,MATCH(Data!$B210&amp;Data!L$6,F_Inputs!$A$4:$A$381&amp;F_Inputs!$B$4:$B$381,0),MATCH(Data!$C210,F_Inputs!$G$2:$T$2,0))</f>
        <v>0</v>
      </c>
      <c r="N210" s="139">
        <f t="array" ref="N210">INDEX(F_Inputs!$G$4:$T$381,MATCH(Data!$B210&amp;Data!N$6,F_Inputs!$A$4:$A$381&amp;F_Inputs!$B$4:$B$381,0),MATCH(Data!$C210,F_Inputs!$G$2:$T$2,0))</f>
        <v>0</v>
      </c>
      <c r="O210" s="144"/>
      <c r="P210" s="139">
        <f t="array" ref="P210">INDEX(F_Inputs!$G$4:$T$381,MATCH(Data!$B210&amp;Data!P$6,F_Inputs!$A$4:$A$381&amp;F_Inputs!$B$4:$B$381,0),MATCH(Data!$C210,F_Inputs!$G$2:$T$2,0))</f>
        <v>0</v>
      </c>
      <c r="Q210" s="139">
        <f t="array" ref="Q210">INDEX(F_Inputs!$G$4:$T$381,MATCH(Data!$B210&amp;Data!Q$6,F_Inputs!$A$4:$A$381&amp;F_Inputs!$B$4:$B$381,0),MATCH(Data!$C210,F_Inputs!$G$2:$T$2,0))</f>
        <v>0</v>
      </c>
      <c r="R210" s="139">
        <f t="array" ref="R210">INDEX(F_Inputs!$G$4:$T$381,MATCH(Data!$B210&amp;Data!R$6,F_Inputs!$A$4:$A$381&amp;F_Inputs!$B$4:$B$381,0),MATCH(Data!$C210,F_Inputs!$G$2:$T$2,0))</f>
        <v>0</v>
      </c>
      <c r="S210" s="139">
        <f t="array" ref="S210">INDEX(F_Inputs!$G$4:$T$381,MATCH(Data!$B210&amp;Data!S$6,F_Inputs!$A$4:$A$381&amp;F_Inputs!$B$4:$B$381,0),MATCH(Data!$C210,F_Inputs!$G$2:$T$2,0))</f>
        <v>0</v>
      </c>
      <c r="U210" s="139">
        <f t="array" ref="U210">INDEX(F_Inputs!$G$4:$T$381,MATCH(Data!$B210&amp;Data!U$6,F_Inputs!$A$4:$A$381&amp;F_Inputs!$B$4:$B$381,0),MATCH(Data!$C210,F_Inputs!$G$2:$T$2,0))</f>
        <v>0</v>
      </c>
      <c r="V210" s="139">
        <f t="array" ref="V210">INDEX(F_Inputs!$G$4:$T$381,MATCH(Data!$B210&amp;Data!V$6,F_Inputs!$A$4:$A$381&amp;F_Inputs!$B$4:$B$381,0),MATCH(Data!$C210,F_Inputs!$G$2:$T$2,0))</f>
        <v>0</v>
      </c>
      <c r="W210" s="139">
        <f t="array" ref="W210">INDEX(F_Inputs!$G$4:$T$381,MATCH(Data!$B210&amp;Data!W$6,F_Inputs!$A$4:$A$381&amp;F_Inputs!$B$4:$B$381,0),MATCH(Data!$C210,F_Inputs!$G$2:$T$2,0))</f>
        <v>0</v>
      </c>
    </row>
    <row r="211" spans="1:23" x14ac:dyDescent="0.2">
      <c r="A211" s="141" t="s">
        <v>252</v>
      </c>
      <c r="B211" s="142" t="s">
        <v>111</v>
      </c>
      <c r="C211" s="142" t="s">
        <v>76</v>
      </c>
      <c r="D211" s="139">
        <f t="array" ref="D211">INDEX(F_Inputs!$G$4:$T$381,MATCH(Data!$B211&amp;Data!D$6,F_Inputs!$A$4:$A$381&amp;F_Inputs!$B$4:$B$381,0),MATCH(Data!$C211,F_Inputs!$G$2:$T$2,0))</f>
        <v>0</v>
      </c>
      <c r="E211" s="139">
        <f t="array" ref="E211">INDEX(F_Inputs!$G$4:$T$381,MATCH(Data!$B211&amp;Data!E$6,F_Inputs!$A$4:$A$381&amp;F_Inputs!$B$4:$B$381,0),MATCH(Data!$C211,F_Inputs!$G$2:$T$2,0))</f>
        <v>0</v>
      </c>
      <c r="F211" s="139">
        <f t="array" ref="F211">INDEX(F_Inputs!$G$4:$T$381,MATCH(Data!$B211&amp;Data!F$6,F_Inputs!$A$4:$A$381&amp;F_Inputs!$B$4:$B$381,0),MATCH(Data!$C211,F_Inputs!$G$2:$T$2,0))</f>
        <v>0</v>
      </c>
      <c r="G211" s="139">
        <f t="array" ref="G211">INDEX(F_Inputs!$G$4:$T$381,MATCH(Data!$B211&amp;Data!G$6,F_Inputs!$A$4:$A$381&amp;F_Inputs!$B$4:$B$381,0),MATCH(Data!$C211,F_Inputs!$G$2:$T$2,0))</f>
        <v>0</v>
      </c>
      <c r="I211" s="139">
        <f t="array" ref="I211">INDEX(F_Inputs!$G$4:$T$381,MATCH(Data!$B211&amp;Data!I$6,F_Inputs!$A$4:$A$381&amp;F_Inputs!$B$4:$B$381,0),MATCH(Data!$C211,F_Inputs!$G$2:$T$2,0))</f>
        <v>0</v>
      </c>
      <c r="J211" s="139">
        <f t="array" ref="J211">INDEX(F_Inputs!$G$4:$T$381,MATCH(Data!$B211&amp;Data!J$6,F_Inputs!$A$4:$A$381&amp;F_Inputs!$B$4:$B$381,0),MATCH(Data!$C211,F_Inputs!$G$2:$T$2,0))</f>
        <v>0</v>
      </c>
      <c r="K211" s="139">
        <f t="array" ref="K211">INDEX(F_Inputs!$G$4:$T$381,MATCH(Data!$B211&amp;Data!K$6,F_Inputs!$A$4:$A$381&amp;F_Inputs!$B$4:$B$381,0),MATCH(Data!$C211,F_Inputs!$G$2:$T$2,0))</f>
        <v>0</v>
      </c>
      <c r="L211" s="139">
        <f t="array" ref="L211">INDEX(F_Inputs!$G$4:$T$381,MATCH(Data!$B211&amp;Data!L$6,F_Inputs!$A$4:$A$381&amp;F_Inputs!$B$4:$B$381,0),MATCH(Data!$C211,F_Inputs!$G$2:$T$2,0))</f>
        <v>0</v>
      </c>
      <c r="N211" s="139">
        <f t="array" ref="N211">INDEX(F_Inputs!$G$4:$T$381,MATCH(Data!$B211&amp;Data!N$6,F_Inputs!$A$4:$A$381&amp;F_Inputs!$B$4:$B$381,0),MATCH(Data!$C211,F_Inputs!$G$2:$T$2,0))</f>
        <v>0</v>
      </c>
      <c r="O211" s="144"/>
      <c r="P211" s="139">
        <f t="array" ref="P211">INDEX(F_Inputs!$G$4:$T$381,MATCH(Data!$B211&amp;Data!P$6,F_Inputs!$A$4:$A$381&amp;F_Inputs!$B$4:$B$381,0),MATCH(Data!$C211,F_Inputs!$G$2:$T$2,0))</f>
        <v>0</v>
      </c>
      <c r="Q211" s="139">
        <f t="array" ref="Q211">INDEX(F_Inputs!$G$4:$T$381,MATCH(Data!$B211&amp;Data!Q$6,F_Inputs!$A$4:$A$381&amp;F_Inputs!$B$4:$B$381,0),MATCH(Data!$C211,F_Inputs!$G$2:$T$2,0))</f>
        <v>0</v>
      </c>
      <c r="R211" s="139">
        <f t="array" ref="R211">INDEX(F_Inputs!$G$4:$T$381,MATCH(Data!$B211&amp;Data!R$6,F_Inputs!$A$4:$A$381&amp;F_Inputs!$B$4:$B$381,0),MATCH(Data!$C211,F_Inputs!$G$2:$T$2,0))</f>
        <v>0</v>
      </c>
      <c r="S211" s="139">
        <f t="array" ref="S211">INDEX(F_Inputs!$G$4:$T$381,MATCH(Data!$B211&amp;Data!S$6,F_Inputs!$A$4:$A$381&amp;F_Inputs!$B$4:$B$381,0),MATCH(Data!$C211,F_Inputs!$G$2:$T$2,0))</f>
        <v>0</v>
      </c>
      <c r="U211" s="139">
        <f t="array" ref="U211">INDEX(F_Inputs!$G$4:$T$381,MATCH(Data!$B211&amp;Data!U$6,F_Inputs!$A$4:$A$381&amp;F_Inputs!$B$4:$B$381,0),MATCH(Data!$C211,F_Inputs!$G$2:$T$2,0))</f>
        <v>0</v>
      </c>
      <c r="V211" s="139">
        <f t="array" ref="V211">INDEX(F_Inputs!$G$4:$T$381,MATCH(Data!$B211&amp;Data!V$6,F_Inputs!$A$4:$A$381&amp;F_Inputs!$B$4:$B$381,0),MATCH(Data!$C211,F_Inputs!$G$2:$T$2,0))</f>
        <v>0</v>
      </c>
      <c r="W211" s="139">
        <f t="array" ref="W211">INDEX(F_Inputs!$G$4:$T$381,MATCH(Data!$B211&amp;Data!W$6,F_Inputs!$A$4:$A$381&amp;F_Inputs!$B$4:$B$381,0),MATCH(Data!$C211,F_Inputs!$G$2:$T$2,0))</f>
        <v>0</v>
      </c>
    </row>
    <row r="212" spans="1:23" x14ac:dyDescent="0.2">
      <c r="A212" s="141" t="s">
        <v>253</v>
      </c>
      <c r="B212" s="142" t="s">
        <v>111</v>
      </c>
      <c r="C212" s="142" t="s">
        <v>24</v>
      </c>
      <c r="D212" s="139">
        <f t="array" ref="D212">INDEX(F_Inputs!$G$4:$T$381,MATCH(Data!$B212&amp;Data!D$6,F_Inputs!$A$4:$A$381&amp;F_Inputs!$B$4:$B$381,0),MATCH(Data!$C212,F_Inputs!$G$2:$T$2,0))</f>
        <v>0</v>
      </c>
      <c r="E212" s="139">
        <f t="array" ref="E212">INDEX(F_Inputs!$G$4:$T$381,MATCH(Data!$B212&amp;Data!E$6,F_Inputs!$A$4:$A$381&amp;F_Inputs!$B$4:$B$381,0),MATCH(Data!$C212,F_Inputs!$G$2:$T$2,0))</f>
        <v>0</v>
      </c>
      <c r="F212" s="139">
        <f t="array" ref="F212">INDEX(F_Inputs!$G$4:$T$381,MATCH(Data!$B212&amp;Data!F$6,F_Inputs!$A$4:$A$381&amp;F_Inputs!$B$4:$B$381,0),MATCH(Data!$C212,F_Inputs!$G$2:$T$2,0))</f>
        <v>0</v>
      </c>
      <c r="G212" s="139">
        <f t="array" ref="G212">INDEX(F_Inputs!$G$4:$T$381,MATCH(Data!$B212&amp;Data!G$6,F_Inputs!$A$4:$A$381&amp;F_Inputs!$B$4:$B$381,0),MATCH(Data!$C212,F_Inputs!$G$2:$T$2,0))</f>
        <v>0</v>
      </c>
      <c r="I212" s="139">
        <f t="array" ref="I212">INDEX(F_Inputs!$G$4:$T$381,MATCH(Data!$B212&amp;Data!I$6,F_Inputs!$A$4:$A$381&amp;F_Inputs!$B$4:$B$381,0),MATCH(Data!$C212,F_Inputs!$G$2:$T$2,0))</f>
        <v>0</v>
      </c>
      <c r="J212" s="139">
        <f t="array" ref="J212">INDEX(F_Inputs!$G$4:$T$381,MATCH(Data!$B212&amp;Data!J$6,F_Inputs!$A$4:$A$381&amp;F_Inputs!$B$4:$B$381,0),MATCH(Data!$C212,F_Inputs!$G$2:$T$2,0))</f>
        <v>0</v>
      </c>
      <c r="K212" s="139">
        <f t="array" ref="K212">INDEX(F_Inputs!$G$4:$T$381,MATCH(Data!$B212&amp;Data!K$6,F_Inputs!$A$4:$A$381&amp;F_Inputs!$B$4:$B$381,0),MATCH(Data!$C212,F_Inputs!$G$2:$T$2,0))</f>
        <v>0</v>
      </c>
      <c r="L212" s="139">
        <f t="array" ref="L212">INDEX(F_Inputs!$G$4:$T$381,MATCH(Data!$B212&amp;Data!L$6,F_Inputs!$A$4:$A$381&amp;F_Inputs!$B$4:$B$381,0),MATCH(Data!$C212,F_Inputs!$G$2:$T$2,0))</f>
        <v>0</v>
      </c>
      <c r="N212" s="139">
        <f t="array" ref="N212">INDEX(F_Inputs!$G$4:$T$381,MATCH(Data!$B212&amp;Data!N$6,F_Inputs!$A$4:$A$381&amp;F_Inputs!$B$4:$B$381,0),MATCH(Data!$C212,F_Inputs!$G$2:$T$2,0))</f>
        <v>0</v>
      </c>
      <c r="O212" s="144"/>
      <c r="P212" s="139">
        <f t="array" ref="P212">INDEX(F_Inputs!$G$4:$T$381,MATCH(Data!$B212&amp;Data!P$6,F_Inputs!$A$4:$A$381&amp;F_Inputs!$B$4:$B$381,0),MATCH(Data!$C212,F_Inputs!$G$2:$T$2,0))</f>
        <v>0</v>
      </c>
      <c r="Q212" s="139">
        <f t="array" ref="Q212">INDEX(F_Inputs!$G$4:$T$381,MATCH(Data!$B212&amp;Data!Q$6,F_Inputs!$A$4:$A$381&amp;F_Inputs!$B$4:$B$381,0),MATCH(Data!$C212,F_Inputs!$G$2:$T$2,0))</f>
        <v>0</v>
      </c>
      <c r="R212" s="139">
        <f t="array" ref="R212">INDEX(F_Inputs!$G$4:$T$381,MATCH(Data!$B212&amp;Data!R$6,F_Inputs!$A$4:$A$381&amp;F_Inputs!$B$4:$B$381,0),MATCH(Data!$C212,F_Inputs!$G$2:$T$2,0))</f>
        <v>0</v>
      </c>
      <c r="S212" s="139">
        <f t="array" ref="S212">INDEX(F_Inputs!$G$4:$T$381,MATCH(Data!$B212&amp;Data!S$6,F_Inputs!$A$4:$A$381&amp;F_Inputs!$B$4:$B$381,0),MATCH(Data!$C212,F_Inputs!$G$2:$T$2,0))</f>
        <v>0</v>
      </c>
      <c r="U212" s="139">
        <f t="array" ref="U212">INDEX(F_Inputs!$G$4:$T$381,MATCH(Data!$B212&amp;Data!U$6,F_Inputs!$A$4:$A$381&amp;F_Inputs!$B$4:$B$381,0),MATCH(Data!$C212,F_Inputs!$G$2:$T$2,0))</f>
        <v>0</v>
      </c>
      <c r="V212" s="139">
        <f t="array" ref="V212">INDEX(F_Inputs!$G$4:$T$381,MATCH(Data!$B212&amp;Data!V$6,F_Inputs!$A$4:$A$381&amp;F_Inputs!$B$4:$B$381,0),MATCH(Data!$C212,F_Inputs!$G$2:$T$2,0))</f>
        <v>0</v>
      </c>
      <c r="W212" s="139">
        <f t="array" ref="W212">INDEX(F_Inputs!$G$4:$T$381,MATCH(Data!$B212&amp;Data!W$6,F_Inputs!$A$4:$A$381&amp;F_Inputs!$B$4:$B$381,0),MATCH(Data!$C212,F_Inputs!$G$2:$T$2,0))</f>
        <v>0</v>
      </c>
    </row>
    <row r="213" spans="1:23" x14ac:dyDescent="0.2">
      <c r="A213" s="138" t="str">
        <f t="shared" ref="A213" si="12">B213&amp;RIGHT(C213,2)</f>
        <v>PRT12</v>
      </c>
      <c r="B213" s="19" t="s">
        <v>37</v>
      </c>
      <c r="C213" s="143" t="s">
        <v>64</v>
      </c>
      <c r="D213" s="139">
        <f t="array" ref="D213">INDEX(F_Inputs!$G$4:$T$381,MATCH(Data!$B213&amp;Data!D$6,F_Inputs!$A$4:$A$381&amp;F_Inputs!$B$4:$B$381,0),MATCH(Data!$C213,F_Inputs!$G$2:$T$2,0))</f>
        <v>0</v>
      </c>
      <c r="E213" s="139">
        <f t="array" ref="E213">INDEX(F_Inputs!$G$4:$T$381,MATCH(Data!$B213&amp;Data!E$6,F_Inputs!$A$4:$A$381&amp;F_Inputs!$B$4:$B$381,0),MATCH(Data!$C213,F_Inputs!$G$2:$T$2,0))</f>
        <v>0</v>
      </c>
      <c r="F213" s="139">
        <f t="array" ref="F213">INDEX(F_Inputs!$G$4:$T$381,MATCH(Data!$B213&amp;Data!F$6,F_Inputs!$A$4:$A$381&amp;F_Inputs!$B$4:$B$381,0),MATCH(Data!$C213,F_Inputs!$G$2:$T$2,0))</f>
        <v>0</v>
      </c>
      <c r="G213" s="139">
        <f t="array" ref="G213">INDEX(F_Inputs!$G$4:$T$381,MATCH(Data!$B213&amp;Data!G$6,F_Inputs!$A$4:$A$381&amp;F_Inputs!$B$4:$B$381,0),MATCH(Data!$C213,F_Inputs!$G$2:$T$2,0))</f>
        <v>0</v>
      </c>
      <c r="I213" s="139">
        <f t="array" ref="I213">INDEX(F_Inputs!$G$4:$T$381,MATCH(Data!$B213&amp;Data!I$6,F_Inputs!$A$4:$A$381&amp;F_Inputs!$B$4:$B$381,0),MATCH(Data!$C213,F_Inputs!$G$2:$T$2,0))</f>
        <v>0</v>
      </c>
      <c r="J213" s="139">
        <f t="array" ref="J213">INDEX(F_Inputs!$G$4:$T$381,MATCH(Data!$B213&amp;Data!J$6,F_Inputs!$A$4:$A$381&amp;F_Inputs!$B$4:$B$381,0),MATCH(Data!$C213,F_Inputs!$G$2:$T$2,0))</f>
        <v>0</v>
      </c>
      <c r="K213" s="139">
        <f t="array" ref="K213">INDEX(F_Inputs!$G$4:$T$381,MATCH(Data!$B213&amp;Data!K$6,F_Inputs!$A$4:$A$381&amp;F_Inputs!$B$4:$B$381,0),MATCH(Data!$C213,F_Inputs!$G$2:$T$2,0))</f>
        <v>0</v>
      </c>
      <c r="L213" s="139">
        <f t="array" ref="L213">INDEX(F_Inputs!$G$4:$T$381,MATCH(Data!$B213&amp;Data!L$6,F_Inputs!$A$4:$A$381&amp;F_Inputs!$B$4:$B$381,0),MATCH(Data!$C213,F_Inputs!$G$2:$T$2,0))</f>
        <v>0</v>
      </c>
      <c r="N213" s="139">
        <f t="array" ref="N213">INDEX(F_Inputs!$G$4:$T$381,MATCH(Data!$B213&amp;Data!N$6,F_Inputs!$A$4:$A$381&amp;F_Inputs!$B$4:$B$381,0),MATCH(Data!$C213,F_Inputs!$G$2:$T$2,0))</f>
        <v>28.1061769020057</v>
      </c>
      <c r="O213" s="144"/>
      <c r="P213" s="139">
        <f t="array" ref="P213">INDEX(F_Inputs!$G$4:$T$381,MATCH(Data!$B213&amp;Data!P$6,F_Inputs!$A$4:$A$381&amp;F_Inputs!$B$4:$B$381,0),MATCH(Data!$C213,F_Inputs!$G$2:$T$2,0))</f>
        <v>0</v>
      </c>
      <c r="Q213" s="139">
        <f t="array" ref="Q213">INDEX(F_Inputs!$G$4:$T$381,MATCH(Data!$B213&amp;Data!Q$6,F_Inputs!$A$4:$A$381&amp;F_Inputs!$B$4:$B$381,0),MATCH(Data!$C213,F_Inputs!$G$2:$T$2,0))</f>
        <v>0</v>
      </c>
      <c r="R213" s="139">
        <f t="array" ref="R213">INDEX(F_Inputs!$G$4:$T$381,MATCH(Data!$B213&amp;Data!R$6,F_Inputs!$A$4:$A$381&amp;F_Inputs!$B$4:$B$381,0),MATCH(Data!$C213,F_Inputs!$G$2:$T$2,0))</f>
        <v>0</v>
      </c>
      <c r="S213" s="139">
        <f t="array" ref="S213">INDEX(F_Inputs!$G$4:$T$381,MATCH(Data!$B213&amp;Data!S$6,F_Inputs!$A$4:$A$381&amp;F_Inputs!$B$4:$B$381,0),MATCH(Data!$C213,F_Inputs!$G$2:$T$2,0))</f>
        <v>0</v>
      </c>
      <c r="U213" s="139">
        <f t="array" ref="U213">INDEX(F_Inputs!$G$4:$T$381,MATCH(Data!$B213&amp;Data!U$6,F_Inputs!$A$4:$A$381&amp;F_Inputs!$B$4:$B$381,0),MATCH(Data!$C213,F_Inputs!$G$2:$T$2,0))</f>
        <v>0</v>
      </c>
      <c r="V213" s="139">
        <f t="array" ref="V213">INDEX(F_Inputs!$G$4:$T$381,MATCH(Data!$B213&amp;Data!V$6,F_Inputs!$A$4:$A$381&amp;F_Inputs!$B$4:$B$381,0),MATCH(Data!$C213,F_Inputs!$G$2:$T$2,0))</f>
        <v>0</v>
      </c>
      <c r="W213" s="139">
        <f t="array" ref="W213">INDEX(F_Inputs!$G$4:$T$381,MATCH(Data!$B213&amp;Data!W$6,F_Inputs!$A$4:$A$381&amp;F_Inputs!$B$4:$B$381,0),MATCH(Data!$C213,F_Inputs!$G$2:$T$2,0))</f>
        <v>0</v>
      </c>
    </row>
    <row r="214" spans="1:23" x14ac:dyDescent="0.2">
      <c r="A214" s="138" t="str">
        <f>B214&amp;RIGHT(C214,2)</f>
        <v>PRT13</v>
      </c>
      <c r="B214" s="19" t="s">
        <v>37</v>
      </c>
      <c r="C214" s="143" t="s">
        <v>65</v>
      </c>
      <c r="D214" s="139">
        <f t="array" ref="D214">INDEX(F_Inputs!$G$4:$T$381,MATCH(Data!$B214&amp;Data!D$6,F_Inputs!$A$4:$A$381&amp;F_Inputs!$B$4:$B$381,0),MATCH(Data!$C214,F_Inputs!$G$2:$T$2,0))</f>
        <v>0</v>
      </c>
      <c r="E214" s="139">
        <f t="array" ref="E214">INDEX(F_Inputs!$G$4:$T$381,MATCH(Data!$B214&amp;Data!E$6,F_Inputs!$A$4:$A$381&amp;F_Inputs!$B$4:$B$381,0),MATCH(Data!$C214,F_Inputs!$G$2:$T$2,0))</f>
        <v>0</v>
      </c>
      <c r="F214" s="139">
        <f t="array" ref="F214">INDEX(F_Inputs!$G$4:$T$381,MATCH(Data!$B214&amp;Data!F$6,F_Inputs!$A$4:$A$381&amp;F_Inputs!$B$4:$B$381,0),MATCH(Data!$C214,F_Inputs!$G$2:$T$2,0))</f>
        <v>0</v>
      </c>
      <c r="G214" s="139">
        <f t="array" ref="G214">INDEX(F_Inputs!$G$4:$T$381,MATCH(Data!$B214&amp;Data!G$6,F_Inputs!$A$4:$A$381&amp;F_Inputs!$B$4:$B$381,0),MATCH(Data!$C214,F_Inputs!$G$2:$T$2,0))</f>
        <v>0</v>
      </c>
      <c r="I214" s="139">
        <f t="array" ref="I214">INDEX(F_Inputs!$G$4:$T$381,MATCH(Data!$B214&amp;Data!I$6,F_Inputs!$A$4:$A$381&amp;F_Inputs!$B$4:$B$381,0),MATCH(Data!$C214,F_Inputs!$G$2:$T$2,0))</f>
        <v>0</v>
      </c>
      <c r="J214" s="139">
        <f t="array" ref="J214">INDEX(F_Inputs!$G$4:$T$381,MATCH(Data!$B214&amp;Data!J$6,F_Inputs!$A$4:$A$381&amp;F_Inputs!$B$4:$B$381,0),MATCH(Data!$C214,F_Inputs!$G$2:$T$2,0))</f>
        <v>0</v>
      </c>
      <c r="K214" s="139">
        <f t="array" ref="K214">INDEX(F_Inputs!$G$4:$T$381,MATCH(Data!$B214&amp;Data!K$6,F_Inputs!$A$4:$A$381&amp;F_Inputs!$B$4:$B$381,0),MATCH(Data!$C214,F_Inputs!$G$2:$T$2,0))</f>
        <v>0</v>
      </c>
      <c r="L214" s="139">
        <f t="array" ref="L214">INDEX(F_Inputs!$G$4:$T$381,MATCH(Data!$B214&amp;Data!L$6,F_Inputs!$A$4:$A$381&amp;F_Inputs!$B$4:$B$381,0),MATCH(Data!$C214,F_Inputs!$G$2:$T$2,0))</f>
        <v>0</v>
      </c>
      <c r="N214" s="139">
        <f t="array" ref="N214">INDEX(F_Inputs!$G$4:$T$381,MATCH(Data!$B214&amp;Data!N$6,F_Inputs!$A$4:$A$381&amp;F_Inputs!$B$4:$B$381,0),MATCH(Data!$C214,F_Inputs!$G$2:$T$2,0))</f>
        <v>32.868444003451302</v>
      </c>
      <c r="O214" s="144"/>
      <c r="P214" s="139">
        <f t="array" ref="P214">INDEX(F_Inputs!$G$4:$T$381,MATCH(Data!$B214&amp;Data!P$6,F_Inputs!$A$4:$A$381&amp;F_Inputs!$B$4:$B$381,0),MATCH(Data!$C214,F_Inputs!$G$2:$T$2,0))</f>
        <v>0</v>
      </c>
      <c r="Q214" s="139">
        <f t="array" ref="Q214">INDEX(F_Inputs!$G$4:$T$381,MATCH(Data!$B214&amp;Data!Q$6,F_Inputs!$A$4:$A$381&amp;F_Inputs!$B$4:$B$381,0),MATCH(Data!$C214,F_Inputs!$G$2:$T$2,0))</f>
        <v>0</v>
      </c>
      <c r="R214" s="139">
        <f t="array" ref="R214">INDEX(F_Inputs!$G$4:$T$381,MATCH(Data!$B214&amp;Data!R$6,F_Inputs!$A$4:$A$381&amp;F_Inputs!$B$4:$B$381,0),MATCH(Data!$C214,F_Inputs!$G$2:$T$2,0))</f>
        <v>0</v>
      </c>
      <c r="S214" s="139">
        <f t="array" ref="S214">INDEX(F_Inputs!$G$4:$T$381,MATCH(Data!$B214&amp;Data!S$6,F_Inputs!$A$4:$A$381&amp;F_Inputs!$B$4:$B$381,0),MATCH(Data!$C214,F_Inputs!$G$2:$T$2,0))</f>
        <v>0</v>
      </c>
      <c r="U214" s="139">
        <f t="array" ref="U214">INDEX(F_Inputs!$G$4:$T$381,MATCH(Data!$B214&amp;Data!U$6,F_Inputs!$A$4:$A$381&amp;F_Inputs!$B$4:$B$381,0),MATCH(Data!$C214,F_Inputs!$G$2:$T$2,0))</f>
        <v>0</v>
      </c>
      <c r="V214" s="139">
        <f t="array" ref="V214">INDEX(F_Inputs!$G$4:$T$381,MATCH(Data!$B214&amp;Data!V$6,F_Inputs!$A$4:$A$381&amp;F_Inputs!$B$4:$B$381,0),MATCH(Data!$C214,F_Inputs!$G$2:$T$2,0))</f>
        <v>0</v>
      </c>
      <c r="W214" s="139">
        <f t="array" ref="W214">INDEX(F_Inputs!$G$4:$T$381,MATCH(Data!$B214&amp;Data!W$6,F_Inputs!$A$4:$A$381&amp;F_Inputs!$B$4:$B$381,0),MATCH(Data!$C214,F_Inputs!$G$2:$T$2,0))</f>
        <v>0</v>
      </c>
    </row>
    <row r="215" spans="1:23" x14ac:dyDescent="0.2">
      <c r="A215" s="138" t="str">
        <f>B215&amp;RIGHT(C215,2)</f>
        <v>PRT14</v>
      </c>
      <c r="B215" s="19" t="s">
        <v>37</v>
      </c>
      <c r="C215" s="143" t="s">
        <v>66</v>
      </c>
      <c r="D215" s="139">
        <f t="array" ref="D215">INDEX(F_Inputs!$G$4:$T$381,MATCH(Data!$B215&amp;Data!D$6,F_Inputs!$A$4:$A$381&amp;F_Inputs!$B$4:$B$381,0),MATCH(Data!$C215,F_Inputs!$G$2:$T$2,0))</f>
        <v>0</v>
      </c>
      <c r="E215" s="139">
        <f t="array" ref="E215">INDEX(F_Inputs!$G$4:$T$381,MATCH(Data!$B215&amp;Data!E$6,F_Inputs!$A$4:$A$381&amp;F_Inputs!$B$4:$B$381,0),MATCH(Data!$C215,F_Inputs!$G$2:$T$2,0))</f>
        <v>0</v>
      </c>
      <c r="F215" s="139">
        <f t="array" ref="F215">INDEX(F_Inputs!$G$4:$T$381,MATCH(Data!$B215&amp;Data!F$6,F_Inputs!$A$4:$A$381&amp;F_Inputs!$B$4:$B$381,0),MATCH(Data!$C215,F_Inputs!$G$2:$T$2,0))</f>
        <v>0</v>
      </c>
      <c r="G215" s="139">
        <f t="array" ref="G215">INDEX(F_Inputs!$G$4:$T$381,MATCH(Data!$B215&amp;Data!G$6,F_Inputs!$A$4:$A$381&amp;F_Inputs!$B$4:$B$381,0),MATCH(Data!$C215,F_Inputs!$G$2:$T$2,0))</f>
        <v>0</v>
      </c>
      <c r="I215" s="139">
        <f t="array" ref="I215">INDEX(F_Inputs!$G$4:$T$381,MATCH(Data!$B215&amp;Data!I$6,F_Inputs!$A$4:$A$381&amp;F_Inputs!$B$4:$B$381,0),MATCH(Data!$C215,F_Inputs!$G$2:$T$2,0))</f>
        <v>0</v>
      </c>
      <c r="J215" s="139">
        <f t="array" ref="J215">INDEX(F_Inputs!$G$4:$T$381,MATCH(Data!$B215&amp;Data!J$6,F_Inputs!$A$4:$A$381&amp;F_Inputs!$B$4:$B$381,0),MATCH(Data!$C215,F_Inputs!$G$2:$T$2,0))</f>
        <v>0</v>
      </c>
      <c r="K215" s="139">
        <f t="array" ref="K215">INDEX(F_Inputs!$G$4:$T$381,MATCH(Data!$B215&amp;Data!K$6,F_Inputs!$A$4:$A$381&amp;F_Inputs!$B$4:$B$381,0),MATCH(Data!$C215,F_Inputs!$G$2:$T$2,0))</f>
        <v>0</v>
      </c>
      <c r="L215" s="139">
        <f t="array" ref="L215">INDEX(F_Inputs!$G$4:$T$381,MATCH(Data!$B215&amp;Data!L$6,F_Inputs!$A$4:$A$381&amp;F_Inputs!$B$4:$B$381,0),MATCH(Data!$C215,F_Inputs!$G$2:$T$2,0))</f>
        <v>0</v>
      </c>
      <c r="N215" s="139">
        <f t="array" ref="N215">INDEX(F_Inputs!$G$4:$T$381,MATCH(Data!$B215&amp;Data!N$6,F_Inputs!$A$4:$A$381&amp;F_Inputs!$B$4:$B$381,0),MATCH(Data!$C215,F_Inputs!$G$2:$T$2,0))</f>
        <v>27.5265177484787</v>
      </c>
      <c r="O215" s="144"/>
      <c r="P215" s="139">
        <f t="array" ref="P215">INDEX(F_Inputs!$G$4:$T$381,MATCH(Data!$B215&amp;Data!P$6,F_Inputs!$A$4:$A$381&amp;F_Inputs!$B$4:$B$381,0),MATCH(Data!$C215,F_Inputs!$G$2:$T$2,0))</f>
        <v>0</v>
      </c>
      <c r="Q215" s="139">
        <f t="array" ref="Q215">INDEX(F_Inputs!$G$4:$T$381,MATCH(Data!$B215&amp;Data!Q$6,F_Inputs!$A$4:$A$381&amp;F_Inputs!$B$4:$B$381,0),MATCH(Data!$C215,F_Inputs!$G$2:$T$2,0))</f>
        <v>0</v>
      </c>
      <c r="R215" s="139">
        <f t="array" ref="R215">INDEX(F_Inputs!$G$4:$T$381,MATCH(Data!$B215&amp;Data!R$6,F_Inputs!$A$4:$A$381&amp;F_Inputs!$B$4:$B$381,0),MATCH(Data!$C215,F_Inputs!$G$2:$T$2,0))</f>
        <v>0</v>
      </c>
      <c r="S215" s="139">
        <f t="array" ref="S215">INDEX(F_Inputs!$G$4:$T$381,MATCH(Data!$B215&amp;Data!S$6,F_Inputs!$A$4:$A$381&amp;F_Inputs!$B$4:$B$381,0),MATCH(Data!$C215,F_Inputs!$G$2:$T$2,0))</f>
        <v>0</v>
      </c>
      <c r="U215" s="139">
        <f t="array" ref="U215">INDEX(F_Inputs!$G$4:$T$381,MATCH(Data!$B215&amp;Data!U$6,F_Inputs!$A$4:$A$381&amp;F_Inputs!$B$4:$B$381,0),MATCH(Data!$C215,F_Inputs!$G$2:$T$2,0))</f>
        <v>0</v>
      </c>
      <c r="V215" s="139">
        <f t="array" ref="V215">INDEX(F_Inputs!$G$4:$T$381,MATCH(Data!$B215&amp;Data!V$6,F_Inputs!$A$4:$A$381&amp;F_Inputs!$B$4:$B$381,0),MATCH(Data!$C215,F_Inputs!$G$2:$T$2,0))</f>
        <v>0</v>
      </c>
      <c r="W215" s="139">
        <f t="array" ref="W215">INDEX(F_Inputs!$G$4:$T$381,MATCH(Data!$B215&amp;Data!W$6,F_Inputs!$A$4:$A$381&amp;F_Inputs!$B$4:$B$381,0),MATCH(Data!$C215,F_Inputs!$G$2:$T$2,0))</f>
        <v>0</v>
      </c>
    </row>
    <row r="216" spans="1:23" x14ac:dyDescent="0.2">
      <c r="A216" s="138" t="str">
        <f>B216&amp;RIGHT(C216,2)</f>
        <v>PRT15</v>
      </c>
      <c r="B216" s="19" t="s">
        <v>37</v>
      </c>
      <c r="C216" s="143" t="s">
        <v>67</v>
      </c>
      <c r="D216" s="139">
        <f t="array" ref="D216">INDEX(F_Inputs!$G$4:$T$381,MATCH(Data!$B216&amp;Data!D$6,F_Inputs!$A$4:$A$381&amp;F_Inputs!$B$4:$B$381,0),MATCH(Data!$C216,F_Inputs!$G$2:$T$2,0))</f>
        <v>0</v>
      </c>
      <c r="E216" s="139">
        <f t="array" ref="E216">INDEX(F_Inputs!$G$4:$T$381,MATCH(Data!$B216&amp;Data!E$6,F_Inputs!$A$4:$A$381&amp;F_Inputs!$B$4:$B$381,0),MATCH(Data!$C216,F_Inputs!$G$2:$T$2,0))</f>
        <v>0</v>
      </c>
      <c r="F216" s="139">
        <f t="array" ref="F216">INDEX(F_Inputs!$G$4:$T$381,MATCH(Data!$B216&amp;Data!F$6,F_Inputs!$A$4:$A$381&amp;F_Inputs!$B$4:$B$381,0),MATCH(Data!$C216,F_Inputs!$G$2:$T$2,0))</f>
        <v>0</v>
      </c>
      <c r="G216" s="139">
        <f t="array" ref="G216">INDEX(F_Inputs!$G$4:$T$381,MATCH(Data!$B216&amp;Data!G$6,F_Inputs!$A$4:$A$381&amp;F_Inputs!$B$4:$B$381,0),MATCH(Data!$C216,F_Inputs!$G$2:$T$2,0))</f>
        <v>0</v>
      </c>
      <c r="I216" s="139">
        <f t="array" ref="I216">INDEX(F_Inputs!$G$4:$T$381,MATCH(Data!$B216&amp;Data!I$6,F_Inputs!$A$4:$A$381&amp;F_Inputs!$B$4:$B$381,0),MATCH(Data!$C216,F_Inputs!$G$2:$T$2,0))</f>
        <v>0</v>
      </c>
      <c r="J216" s="139">
        <f t="array" ref="J216">INDEX(F_Inputs!$G$4:$T$381,MATCH(Data!$B216&amp;Data!J$6,F_Inputs!$A$4:$A$381&amp;F_Inputs!$B$4:$B$381,0),MATCH(Data!$C216,F_Inputs!$G$2:$T$2,0))</f>
        <v>0</v>
      </c>
      <c r="K216" s="139">
        <f t="array" ref="K216">INDEX(F_Inputs!$G$4:$T$381,MATCH(Data!$B216&amp;Data!K$6,F_Inputs!$A$4:$A$381&amp;F_Inputs!$B$4:$B$381,0),MATCH(Data!$C216,F_Inputs!$G$2:$T$2,0))</f>
        <v>0</v>
      </c>
      <c r="L216" s="139">
        <f t="array" ref="L216">INDEX(F_Inputs!$G$4:$T$381,MATCH(Data!$B216&amp;Data!L$6,F_Inputs!$A$4:$A$381&amp;F_Inputs!$B$4:$B$381,0),MATCH(Data!$C216,F_Inputs!$G$2:$T$2,0))</f>
        <v>0</v>
      </c>
      <c r="N216" s="139">
        <f t="array" ref="N216">INDEX(F_Inputs!$G$4:$T$381,MATCH(Data!$B216&amp;Data!N$6,F_Inputs!$A$4:$A$381&amp;F_Inputs!$B$4:$B$381,0),MATCH(Data!$C216,F_Inputs!$G$2:$T$2,0))</f>
        <v>27.2786929054901</v>
      </c>
      <c r="O216" s="144"/>
      <c r="P216" s="139">
        <f t="array" ref="P216">INDEX(F_Inputs!$G$4:$T$381,MATCH(Data!$B216&amp;Data!P$6,F_Inputs!$A$4:$A$381&amp;F_Inputs!$B$4:$B$381,0),MATCH(Data!$C216,F_Inputs!$G$2:$T$2,0))</f>
        <v>0</v>
      </c>
      <c r="Q216" s="139">
        <f t="array" ref="Q216">INDEX(F_Inputs!$G$4:$T$381,MATCH(Data!$B216&amp;Data!Q$6,F_Inputs!$A$4:$A$381&amp;F_Inputs!$B$4:$B$381,0),MATCH(Data!$C216,F_Inputs!$G$2:$T$2,0))</f>
        <v>0</v>
      </c>
      <c r="R216" s="139">
        <f t="array" ref="R216">INDEX(F_Inputs!$G$4:$T$381,MATCH(Data!$B216&amp;Data!R$6,F_Inputs!$A$4:$A$381&amp;F_Inputs!$B$4:$B$381,0),MATCH(Data!$C216,F_Inputs!$G$2:$T$2,0))</f>
        <v>0</v>
      </c>
      <c r="S216" s="139">
        <f t="array" ref="S216">INDEX(F_Inputs!$G$4:$T$381,MATCH(Data!$B216&amp;Data!S$6,F_Inputs!$A$4:$A$381&amp;F_Inputs!$B$4:$B$381,0),MATCH(Data!$C216,F_Inputs!$G$2:$T$2,0))</f>
        <v>0</v>
      </c>
      <c r="U216" s="139">
        <f t="array" ref="U216">INDEX(F_Inputs!$G$4:$T$381,MATCH(Data!$B216&amp;Data!U$6,F_Inputs!$A$4:$A$381&amp;F_Inputs!$B$4:$B$381,0),MATCH(Data!$C216,F_Inputs!$G$2:$T$2,0))</f>
        <v>0</v>
      </c>
      <c r="V216" s="139">
        <f t="array" ref="V216">INDEX(F_Inputs!$G$4:$T$381,MATCH(Data!$B216&amp;Data!V$6,F_Inputs!$A$4:$A$381&amp;F_Inputs!$B$4:$B$381,0),MATCH(Data!$C216,F_Inputs!$G$2:$T$2,0))</f>
        <v>0</v>
      </c>
      <c r="W216" s="139">
        <f t="array" ref="W216">INDEX(F_Inputs!$G$4:$T$381,MATCH(Data!$B216&amp;Data!W$6,F_Inputs!$A$4:$A$381&amp;F_Inputs!$B$4:$B$381,0),MATCH(Data!$C216,F_Inputs!$G$2:$T$2,0))</f>
        <v>0</v>
      </c>
    </row>
    <row r="217" spans="1:23" x14ac:dyDescent="0.2">
      <c r="A217" s="138" t="str">
        <f>B217&amp;RIGHT(C217,2)</f>
        <v>PRT16</v>
      </c>
      <c r="B217" s="19" t="s">
        <v>37</v>
      </c>
      <c r="C217" s="143" t="s">
        <v>68</v>
      </c>
      <c r="D217" s="139">
        <f t="array" ref="D217">INDEX(F_Inputs!$G$4:$T$381,MATCH(Data!$B217&amp;Data!D$6,F_Inputs!$A$4:$A$381&amp;F_Inputs!$B$4:$B$381,0),MATCH(Data!$C217,F_Inputs!$G$2:$T$2,0))</f>
        <v>0</v>
      </c>
      <c r="E217" s="139">
        <f t="array" ref="E217">INDEX(F_Inputs!$G$4:$T$381,MATCH(Data!$B217&amp;Data!E$6,F_Inputs!$A$4:$A$381&amp;F_Inputs!$B$4:$B$381,0),MATCH(Data!$C217,F_Inputs!$G$2:$T$2,0))</f>
        <v>0</v>
      </c>
      <c r="F217" s="139">
        <f t="array" ref="F217">INDEX(F_Inputs!$G$4:$T$381,MATCH(Data!$B217&amp;Data!F$6,F_Inputs!$A$4:$A$381&amp;F_Inputs!$B$4:$B$381,0),MATCH(Data!$C217,F_Inputs!$G$2:$T$2,0))</f>
        <v>0</v>
      </c>
      <c r="G217" s="139">
        <f t="array" ref="G217">INDEX(F_Inputs!$G$4:$T$381,MATCH(Data!$B217&amp;Data!G$6,F_Inputs!$A$4:$A$381&amp;F_Inputs!$B$4:$B$381,0),MATCH(Data!$C217,F_Inputs!$G$2:$T$2,0))</f>
        <v>0</v>
      </c>
      <c r="I217" s="139">
        <f t="array" ref="I217">INDEX(F_Inputs!$G$4:$T$381,MATCH(Data!$B217&amp;Data!I$6,F_Inputs!$A$4:$A$381&amp;F_Inputs!$B$4:$B$381,0),MATCH(Data!$C217,F_Inputs!$G$2:$T$2,0))</f>
        <v>0</v>
      </c>
      <c r="J217" s="139">
        <f t="array" ref="J217">INDEX(F_Inputs!$G$4:$T$381,MATCH(Data!$B217&amp;Data!J$6,F_Inputs!$A$4:$A$381&amp;F_Inputs!$B$4:$B$381,0),MATCH(Data!$C217,F_Inputs!$G$2:$T$2,0))</f>
        <v>0</v>
      </c>
      <c r="K217" s="139">
        <f t="array" ref="K217">INDEX(F_Inputs!$G$4:$T$381,MATCH(Data!$B217&amp;Data!K$6,F_Inputs!$A$4:$A$381&amp;F_Inputs!$B$4:$B$381,0),MATCH(Data!$C217,F_Inputs!$G$2:$T$2,0))</f>
        <v>0</v>
      </c>
      <c r="L217" s="139">
        <f t="array" ref="L217">INDEX(F_Inputs!$G$4:$T$381,MATCH(Data!$B217&amp;Data!L$6,F_Inputs!$A$4:$A$381&amp;F_Inputs!$B$4:$B$381,0),MATCH(Data!$C217,F_Inputs!$G$2:$T$2,0))</f>
        <v>0</v>
      </c>
      <c r="N217" s="139">
        <f t="array" ref="N217">INDEX(F_Inputs!$G$4:$T$381,MATCH(Data!$B217&amp;Data!N$6,F_Inputs!$A$4:$A$381&amp;F_Inputs!$B$4:$B$381,0),MATCH(Data!$C217,F_Inputs!$G$2:$T$2,0))</f>
        <v>28.655595008319501</v>
      </c>
      <c r="O217" s="144"/>
      <c r="P217" s="139">
        <f t="array" ref="P217">INDEX(F_Inputs!$G$4:$T$381,MATCH(Data!$B217&amp;Data!P$6,F_Inputs!$A$4:$A$381&amp;F_Inputs!$B$4:$B$381,0),MATCH(Data!$C217,F_Inputs!$G$2:$T$2,0))</f>
        <v>0</v>
      </c>
      <c r="Q217" s="139">
        <f t="array" ref="Q217">INDEX(F_Inputs!$G$4:$T$381,MATCH(Data!$B217&amp;Data!Q$6,F_Inputs!$A$4:$A$381&amp;F_Inputs!$B$4:$B$381,0),MATCH(Data!$C217,F_Inputs!$G$2:$T$2,0))</f>
        <v>0</v>
      </c>
      <c r="R217" s="139">
        <f t="array" ref="R217">INDEX(F_Inputs!$G$4:$T$381,MATCH(Data!$B217&amp;Data!R$6,F_Inputs!$A$4:$A$381&amp;F_Inputs!$B$4:$B$381,0),MATCH(Data!$C217,F_Inputs!$G$2:$T$2,0))</f>
        <v>0</v>
      </c>
      <c r="S217" s="139">
        <f t="array" ref="S217">INDEX(F_Inputs!$G$4:$T$381,MATCH(Data!$B217&amp;Data!S$6,F_Inputs!$A$4:$A$381&amp;F_Inputs!$B$4:$B$381,0),MATCH(Data!$C217,F_Inputs!$G$2:$T$2,0))</f>
        <v>0</v>
      </c>
      <c r="U217" s="139">
        <f t="array" ref="U217">INDEX(F_Inputs!$G$4:$T$381,MATCH(Data!$B217&amp;Data!U$6,F_Inputs!$A$4:$A$381&amp;F_Inputs!$B$4:$B$381,0),MATCH(Data!$C217,F_Inputs!$G$2:$T$2,0))</f>
        <v>0</v>
      </c>
      <c r="V217" s="139">
        <f t="array" ref="V217">INDEX(F_Inputs!$G$4:$T$381,MATCH(Data!$B217&amp;Data!V$6,F_Inputs!$A$4:$A$381&amp;F_Inputs!$B$4:$B$381,0),MATCH(Data!$C217,F_Inputs!$G$2:$T$2,0))</f>
        <v>0</v>
      </c>
      <c r="W217" s="139">
        <f t="array" ref="W217">INDEX(F_Inputs!$G$4:$T$381,MATCH(Data!$B217&amp;Data!W$6,F_Inputs!$A$4:$A$381&amp;F_Inputs!$B$4:$B$381,0),MATCH(Data!$C217,F_Inputs!$G$2:$T$2,0))</f>
        <v>0</v>
      </c>
    </row>
    <row r="218" spans="1:23" x14ac:dyDescent="0.2">
      <c r="A218" s="138" t="str">
        <f>B218&amp;RIGHT(C218,2)</f>
        <v>PRT17</v>
      </c>
      <c r="B218" s="19" t="s">
        <v>37</v>
      </c>
      <c r="C218" s="143" t="s">
        <v>69</v>
      </c>
      <c r="D218" s="139">
        <f t="array" ref="D218">INDEX(F_Inputs!$G$4:$T$381,MATCH(Data!$B218&amp;Data!D$6,F_Inputs!$A$4:$A$381&amp;F_Inputs!$B$4:$B$381,0),MATCH(Data!$C218,F_Inputs!$G$2:$T$2,0))</f>
        <v>0</v>
      </c>
      <c r="E218" s="139">
        <f t="array" ref="E218">INDEX(F_Inputs!$G$4:$T$381,MATCH(Data!$B218&amp;Data!E$6,F_Inputs!$A$4:$A$381&amp;F_Inputs!$B$4:$B$381,0),MATCH(Data!$C218,F_Inputs!$G$2:$T$2,0))</f>
        <v>0</v>
      </c>
      <c r="F218" s="139">
        <f t="array" ref="F218">INDEX(F_Inputs!$G$4:$T$381,MATCH(Data!$B218&amp;Data!F$6,F_Inputs!$A$4:$A$381&amp;F_Inputs!$B$4:$B$381,0),MATCH(Data!$C218,F_Inputs!$G$2:$T$2,0))</f>
        <v>0</v>
      </c>
      <c r="G218" s="139">
        <f t="array" ref="G218">INDEX(F_Inputs!$G$4:$T$381,MATCH(Data!$B218&amp;Data!G$6,F_Inputs!$A$4:$A$381&amp;F_Inputs!$B$4:$B$381,0),MATCH(Data!$C218,F_Inputs!$G$2:$T$2,0))</f>
        <v>0</v>
      </c>
      <c r="I218" s="139">
        <f t="array" ref="I218">INDEX(F_Inputs!$G$4:$T$381,MATCH(Data!$B218&amp;Data!I$6,F_Inputs!$A$4:$A$381&amp;F_Inputs!$B$4:$B$381,0),MATCH(Data!$C218,F_Inputs!$G$2:$T$2,0))</f>
        <v>0</v>
      </c>
      <c r="J218" s="139">
        <f t="array" ref="J218">INDEX(F_Inputs!$G$4:$T$381,MATCH(Data!$B218&amp;Data!J$6,F_Inputs!$A$4:$A$381&amp;F_Inputs!$B$4:$B$381,0),MATCH(Data!$C218,F_Inputs!$G$2:$T$2,0))</f>
        <v>0</v>
      </c>
      <c r="K218" s="139">
        <f t="array" ref="K218">INDEX(F_Inputs!$G$4:$T$381,MATCH(Data!$B218&amp;Data!K$6,F_Inputs!$A$4:$A$381&amp;F_Inputs!$B$4:$B$381,0),MATCH(Data!$C218,F_Inputs!$G$2:$T$2,0))</f>
        <v>0</v>
      </c>
      <c r="L218" s="139">
        <f t="array" ref="L218">INDEX(F_Inputs!$G$4:$T$381,MATCH(Data!$B218&amp;Data!L$6,F_Inputs!$A$4:$A$381&amp;F_Inputs!$B$4:$B$381,0),MATCH(Data!$C218,F_Inputs!$G$2:$T$2,0))</f>
        <v>0</v>
      </c>
      <c r="N218" s="139">
        <f t="array" ref="N218">INDEX(F_Inputs!$G$4:$T$381,MATCH(Data!$B218&amp;Data!N$6,F_Inputs!$A$4:$A$381&amp;F_Inputs!$B$4:$B$381,0),MATCH(Data!$C218,F_Inputs!$G$2:$T$2,0))</f>
        <v>32.4848096840377</v>
      </c>
      <c r="O218" s="144"/>
      <c r="P218" s="139">
        <f t="array" ref="P218">INDEX(F_Inputs!$G$4:$T$381,MATCH(Data!$B218&amp;Data!P$6,F_Inputs!$A$4:$A$381&amp;F_Inputs!$B$4:$B$381,0),MATCH(Data!$C218,F_Inputs!$G$2:$T$2,0))</f>
        <v>0</v>
      </c>
      <c r="Q218" s="139">
        <f t="array" ref="Q218">INDEX(F_Inputs!$G$4:$T$381,MATCH(Data!$B218&amp;Data!Q$6,F_Inputs!$A$4:$A$381&amp;F_Inputs!$B$4:$B$381,0),MATCH(Data!$C218,F_Inputs!$G$2:$T$2,0))</f>
        <v>0</v>
      </c>
      <c r="R218" s="139">
        <f t="array" ref="R218">INDEX(F_Inputs!$G$4:$T$381,MATCH(Data!$B218&amp;Data!R$6,F_Inputs!$A$4:$A$381&amp;F_Inputs!$B$4:$B$381,0),MATCH(Data!$C218,F_Inputs!$G$2:$T$2,0))</f>
        <v>0</v>
      </c>
      <c r="S218" s="139">
        <f t="array" ref="S218">INDEX(F_Inputs!$G$4:$T$381,MATCH(Data!$B218&amp;Data!S$6,F_Inputs!$A$4:$A$381&amp;F_Inputs!$B$4:$B$381,0),MATCH(Data!$C218,F_Inputs!$G$2:$T$2,0))</f>
        <v>0</v>
      </c>
      <c r="U218" s="139">
        <f t="array" ref="U218">INDEX(F_Inputs!$G$4:$T$381,MATCH(Data!$B218&amp;Data!U$6,F_Inputs!$A$4:$A$381&amp;F_Inputs!$B$4:$B$381,0),MATCH(Data!$C218,F_Inputs!$G$2:$T$2,0))</f>
        <v>0</v>
      </c>
      <c r="V218" s="139">
        <f t="array" ref="V218">INDEX(F_Inputs!$G$4:$T$381,MATCH(Data!$B218&amp;Data!V$6,F_Inputs!$A$4:$A$381&amp;F_Inputs!$B$4:$B$381,0),MATCH(Data!$C218,F_Inputs!$G$2:$T$2,0))</f>
        <v>0</v>
      </c>
      <c r="W218" s="139">
        <f t="array" ref="W218">INDEX(F_Inputs!$G$4:$T$381,MATCH(Data!$B218&amp;Data!W$6,F_Inputs!$A$4:$A$381&amp;F_Inputs!$B$4:$B$381,0),MATCH(Data!$C218,F_Inputs!$G$2:$T$2,0))</f>
        <v>0</v>
      </c>
    </row>
    <row r="219" spans="1:23" x14ac:dyDescent="0.2">
      <c r="A219" s="141" t="s">
        <v>254</v>
      </c>
      <c r="B219" s="142" t="s">
        <v>37</v>
      </c>
      <c r="C219" s="142" t="s">
        <v>70</v>
      </c>
      <c r="D219" s="139">
        <f t="array" ref="D219">INDEX(F_Inputs!$G$4:$T$381,MATCH(Data!$B219&amp;Data!D$6,F_Inputs!$A$4:$A$381&amp;F_Inputs!$B$4:$B$381,0),MATCH(Data!$C219,F_Inputs!$G$2:$T$2,0))</f>
        <v>0</v>
      </c>
      <c r="E219" s="139">
        <f t="array" ref="E219">INDEX(F_Inputs!$G$4:$T$381,MATCH(Data!$B219&amp;Data!E$6,F_Inputs!$A$4:$A$381&amp;F_Inputs!$B$4:$B$381,0),MATCH(Data!$C219,F_Inputs!$G$2:$T$2,0))</f>
        <v>0</v>
      </c>
      <c r="F219" s="139">
        <f t="array" ref="F219">INDEX(F_Inputs!$G$4:$T$381,MATCH(Data!$B219&amp;Data!F$6,F_Inputs!$A$4:$A$381&amp;F_Inputs!$B$4:$B$381,0),MATCH(Data!$C219,F_Inputs!$G$2:$T$2,0))</f>
        <v>0</v>
      </c>
      <c r="G219" s="139">
        <f t="array" ref="G219">INDEX(F_Inputs!$G$4:$T$381,MATCH(Data!$B219&amp;Data!G$6,F_Inputs!$A$4:$A$381&amp;F_Inputs!$B$4:$B$381,0),MATCH(Data!$C219,F_Inputs!$G$2:$T$2,0))</f>
        <v>0</v>
      </c>
      <c r="I219" s="139">
        <f t="array" ref="I219">INDEX(F_Inputs!$G$4:$T$381,MATCH(Data!$B219&amp;Data!I$6,F_Inputs!$A$4:$A$381&amp;F_Inputs!$B$4:$B$381,0),MATCH(Data!$C219,F_Inputs!$G$2:$T$2,0))</f>
        <v>0</v>
      </c>
      <c r="J219" s="139">
        <f t="array" ref="J219">INDEX(F_Inputs!$G$4:$T$381,MATCH(Data!$B219&amp;Data!J$6,F_Inputs!$A$4:$A$381&amp;F_Inputs!$B$4:$B$381,0),MATCH(Data!$C219,F_Inputs!$G$2:$T$2,0))</f>
        <v>0</v>
      </c>
      <c r="K219" s="139">
        <f t="array" ref="K219">INDEX(F_Inputs!$G$4:$T$381,MATCH(Data!$B219&amp;Data!K$6,F_Inputs!$A$4:$A$381&amp;F_Inputs!$B$4:$B$381,0),MATCH(Data!$C219,F_Inputs!$G$2:$T$2,0))</f>
        <v>0</v>
      </c>
      <c r="L219" s="139">
        <f t="array" ref="L219">INDEX(F_Inputs!$G$4:$T$381,MATCH(Data!$B219&amp;Data!L$6,F_Inputs!$A$4:$A$381&amp;F_Inputs!$B$4:$B$381,0),MATCH(Data!$C219,F_Inputs!$G$2:$T$2,0))</f>
        <v>0</v>
      </c>
      <c r="N219" s="139">
        <f t="array" ref="N219">INDEX(F_Inputs!$G$4:$T$381,MATCH(Data!$B219&amp;Data!N$6,F_Inputs!$A$4:$A$381&amp;F_Inputs!$B$4:$B$381,0),MATCH(Data!$C219,F_Inputs!$G$2:$T$2,0))</f>
        <v>27.995999999999999</v>
      </c>
      <c r="O219" s="144"/>
      <c r="P219" s="139">
        <f t="array" ref="P219">INDEX(F_Inputs!$G$4:$T$381,MATCH(Data!$B219&amp;Data!P$6,F_Inputs!$A$4:$A$381&amp;F_Inputs!$B$4:$B$381,0),MATCH(Data!$C219,F_Inputs!$G$2:$T$2,0))</f>
        <v>0</v>
      </c>
      <c r="Q219" s="139">
        <f t="array" ref="Q219">INDEX(F_Inputs!$G$4:$T$381,MATCH(Data!$B219&amp;Data!Q$6,F_Inputs!$A$4:$A$381&amp;F_Inputs!$B$4:$B$381,0),MATCH(Data!$C219,F_Inputs!$G$2:$T$2,0))</f>
        <v>0</v>
      </c>
      <c r="R219" s="139">
        <f t="array" ref="R219">INDEX(F_Inputs!$G$4:$T$381,MATCH(Data!$B219&amp;Data!R$6,F_Inputs!$A$4:$A$381&amp;F_Inputs!$B$4:$B$381,0),MATCH(Data!$C219,F_Inputs!$G$2:$T$2,0))</f>
        <v>0</v>
      </c>
      <c r="S219" s="139">
        <f t="array" ref="S219">INDEX(F_Inputs!$G$4:$T$381,MATCH(Data!$B219&amp;Data!S$6,F_Inputs!$A$4:$A$381&amp;F_Inputs!$B$4:$B$381,0),MATCH(Data!$C219,F_Inputs!$G$2:$T$2,0))</f>
        <v>0</v>
      </c>
      <c r="U219" s="139">
        <f t="array" ref="U219">INDEX(F_Inputs!$G$4:$T$381,MATCH(Data!$B219&amp;Data!U$6,F_Inputs!$A$4:$A$381&amp;F_Inputs!$B$4:$B$381,0),MATCH(Data!$C219,F_Inputs!$G$2:$T$2,0))</f>
        <v>37</v>
      </c>
      <c r="V219" s="139">
        <f t="array" ref="V219">INDEX(F_Inputs!$G$4:$T$381,MATCH(Data!$B219&amp;Data!V$6,F_Inputs!$A$4:$A$381&amp;F_Inputs!$B$4:$B$381,0),MATCH(Data!$C219,F_Inputs!$G$2:$T$2,0))</f>
        <v>3337</v>
      </c>
      <c r="W219" s="139">
        <f t="array" ref="W219">INDEX(F_Inputs!$G$4:$T$381,MATCH(Data!$B219&amp;Data!W$6,F_Inputs!$A$4:$A$381&amp;F_Inputs!$B$4:$B$381,0),MATCH(Data!$C219,F_Inputs!$G$2:$T$2,0))</f>
        <v>319.80599999999998</v>
      </c>
    </row>
    <row r="220" spans="1:23" x14ac:dyDescent="0.2">
      <c r="A220" s="141" t="s">
        <v>255</v>
      </c>
      <c r="B220" s="142" t="s">
        <v>37</v>
      </c>
      <c r="C220" s="142" t="s">
        <v>71</v>
      </c>
      <c r="D220" s="139">
        <f t="array" ref="D220">INDEX(F_Inputs!$G$4:$T$381,MATCH(Data!$B220&amp;Data!D$6,F_Inputs!$A$4:$A$381&amp;F_Inputs!$B$4:$B$381,0),MATCH(Data!$C220,F_Inputs!$G$2:$T$2,0))</f>
        <v>0</v>
      </c>
      <c r="E220" s="139">
        <f t="array" ref="E220">INDEX(F_Inputs!$G$4:$T$381,MATCH(Data!$B220&amp;Data!E$6,F_Inputs!$A$4:$A$381&amp;F_Inputs!$B$4:$B$381,0),MATCH(Data!$C220,F_Inputs!$G$2:$T$2,0))</f>
        <v>1.9049019607843201</v>
      </c>
      <c r="F220" s="139">
        <f t="array" ref="F220">INDEX(F_Inputs!$G$4:$T$381,MATCH(Data!$B220&amp;Data!F$6,F_Inputs!$A$4:$A$381&amp;F_Inputs!$B$4:$B$381,0),MATCH(Data!$C220,F_Inputs!$G$2:$T$2,0))</f>
        <v>0</v>
      </c>
      <c r="G220" s="139">
        <f t="array" ref="G220">INDEX(F_Inputs!$G$4:$T$381,MATCH(Data!$B220&amp;Data!G$6,F_Inputs!$A$4:$A$381&amp;F_Inputs!$B$4:$B$381,0),MATCH(Data!$C220,F_Inputs!$G$2:$T$2,0))</f>
        <v>0</v>
      </c>
      <c r="I220" s="139">
        <f t="array" ref="I220">INDEX(F_Inputs!$G$4:$T$381,MATCH(Data!$B220&amp;Data!I$6,F_Inputs!$A$4:$A$381&amp;F_Inputs!$B$4:$B$381,0),MATCH(Data!$C220,F_Inputs!$G$2:$T$2,0))</f>
        <v>0</v>
      </c>
      <c r="J220" s="139">
        <f t="array" ref="J220">INDEX(F_Inputs!$G$4:$T$381,MATCH(Data!$B220&amp;Data!J$6,F_Inputs!$A$4:$A$381&amp;F_Inputs!$B$4:$B$381,0),MATCH(Data!$C220,F_Inputs!$G$2:$T$2,0))</f>
        <v>0</v>
      </c>
      <c r="K220" s="139">
        <f t="array" ref="K220">INDEX(F_Inputs!$G$4:$T$381,MATCH(Data!$B220&amp;Data!K$6,F_Inputs!$A$4:$A$381&amp;F_Inputs!$B$4:$B$381,0),MATCH(Data!$C220,F_Inputs!$G$2:$T$2,0))</f>
        <v>0</v>
      </c>
      <c r="L220" s="139">
        <f t="array" ref="L220">INDEX(F_Inputs!$G$4:$T$381,MATCH(Data!$B220&amp;Data!L$6,F_Inputs!$A$4:$A$381&amp;F_Inputs!$B$4:$B$381,0),MATCH(Data!$C220,F_Inputs!$G$2:$T$2,0))</f>
        <v>0</v>
      </c>
      <c r="N220" s="139">
        <f t="array" ref="N220">INDEX(F_Inputs!$G$4:$T$381,MATCH(Data!$B220&amp;Data!N$6,F_Inputs!$A$4:$A$381&amp;F_Inputs!$B$4:$B$381,0),MATCH(Data!$C220,F_Inputs!$G$2:$T$2,0))</f>
        <v>36.004901960784402</v>
      </c>
      <c r="O220" s="144"/>
      <c r="P220" s="139">
        <f t="array" ref="P220">INDEX(F_Inputs!$G$4:$T$381,MATCH(Data!$B220&amp;Data!P$6,F_Inputs!$A$4:$A$381&amp;F_Inputs!$B$4:$B$381,0),MATCH(Data!$C220,F_Inputs!$G$2:$T$2,0))</f>
        <v>0</v>
      </c>
      <c r="Q220" s="139">
        <f t="array" ref="Q220">INDEX(F_Inputs!$G$4:$T$381,MATCH(Data!$B220&amp;Data!Q$6,F_Inputs!$A$4:$A$381&amp;F_Inputs!$B$4:$B$381,0),MATCH(Data!$C220,F_Inputs!$G$2:$T$2,0))</f>
        <v>0</v>
      </c>
      <c r="R220" s="139">
        <f t="array" ref="R220">INDEX(F_Inputs!$G$4:$T$381,MATCH(Data!$B220&amp;Data!R$6,F_Inputs!$A$4:$A$381&amp;F_Inputs!$B$4:$B$381,0),MATCH(Data!$C220,F_Inputs!$G$2:$T$2,0))</f>
        <v>0</v>
      </c>
      <c r="S220" s="139">
        <f t="array" ref="S220">INDEX(F_Inputs!$G$4:$T$381,MATCH(Data!$B220&amp;Data!S$6,F_Inputs!$A$4:$A$381&amp;F_Inputs!$B$4:$B$381,0),MATCH(Data!$C220,F_Inputs!$G$2:$T$2,0))</f>
        <v>0</v>
      </c>
      <c r="U220" s="139">
        <f t="array" ref="U220">INDEX(F_Inputs!$G$4:$T$381,MATCH(Data!$B220&amp;Data!U$6,F_Inputs!$A$4:$A$381&amp;F_Inputs!$B$4:$B$381,0),MATCH(Data!$C220,F_Inputs!$G$2:$T$2,0))</f>
        <v>34.950000000000003</v>
      </c>
      <c r="V220" s="139">
        <f t="array" ref="V220">INDEX(F_Inputs!$G$4:$T$381,MATCH(Data!$B220&amp;Data!V$6,F_Inputs!$A$4:$A$381&amp;F_Inputs!$B$4:$B$381,0),MATCH(Data!$C220,F_Inputs!$G$2:$T$2,0))</f>
        <v>3347</v>
      </c>
      <c r="W220" s="139">
        <f t="array" ref="W220">INDEX(F_Inputs!$G$4:$T$381,MATCH(Data!$B220&amp;Data!W$6,F_Inputs!$A$4:$A$381&amp;F_Inputs!$B$4:$B$381,0),MATCH(Data!$C220,F_Inputs!$G$2:$T$2,0))</f>
        <v>322.37099999999998</v>
      </c>
    </row>
    <row r="221" spans="1:23" x14ac:dyDescent="0.2">
      <c r="A221" s="141" t="s">
        <v>256</v>
      </c>
      <c r="B221" s="142" t="s">
        <v>37</v>
      </c>
      <c r="C221" s="142" t="s">
        <v>72</v>
      </c>
      <c r="D221" s="139">
        <f t="array" ref="D221">INDEX(F_Inputs!$G$4:$T$381,MATCH(Data!$B221&amp;Data!D$6,F_Inputs!$A$4:$A$381&amp;F_Inputs!$B$4:$B$381,0),MATCH(Data!$C221,F_Inputs!$G$2:$T$2,0))</f>
        <v>0</v>
      </c>
      <c r="E221" s="139">
        <f t="array" ref="E221">INDEX(F_Inputs!$G$4:$T$381,MATCH(Data!$B221&amp;Data!E$6,F_Inputs!$A$4:$A$381&amp;F_Inputs!$B$4:$B$381,0),MATCH(Data!$C221,F_Inputs!$G$2:$T$2,0))</f>
        <v>2.06555171088044</v>
      </c>
      <c r="F221" s="139">
        <f t="array" ref="F221">INDEX(F_Inputs!$G$4:$T$381,MATCH(Data!$B221&amp;Data!F$6,F_Inputs!$A$4:$A$381&amp;F_Inputs!$B$4:$B$381,0),MATCH(Data!$C221,F_Inputs!$G$2:$T$2,0))</f>
        <v>0</v>
      </c>
      <c r="G221" s="139">
        <f t="array" ref="G221">INDEX(F_Inputs!$G$4:$T$381,MATCH(Data!$B221&amp;Data!G$6,F_Inputs!$A$4:$A$381&amp;F_Inputs!$B$4:$B$381,0),MATCH(Data!$C221,F_Inputs!$G$2:$T$2,0))</f>
        <v>0</v>
      </c>
      <c r="I221" s="139">
        <f t="array" ref="I221">INDEX(F_Inputs!$G$4:$T$381,MATCH(Data!$B221&amp;Data!I$6,F_Inputs!$A$4:$A$381&amp;F_Inputs!$B$4:$B$381,0),MATCH(Data!$C221,F_Inputs!$G$2:$T$2,0))</f>
        <v>0</v>
      </c>
      <c r="J221" s="139">
        <f t="array" ref="J221">INDEX(F_Inputs!$G$4:$T$381,MATCH(Data!$B221&amp;Data!J$6,F_Inputs!$A$4:$A$381&amp;F_Inputs!$B$4:$B$381,0),MATCH(Data!$C221,F_Inputs!$G$2:$T$2,0))</f>
        <v>0</v>
      </c>
      <c r="K221" s="139">
        <f t="array" ref="K221">INDEX(F_Inputs!$G$4:$T$381,MATCH(Data!$B221&amp;Data!K$6,F_Inputs!$A$4:$A$381&amp;F_Inputs!$B$4:$B$381,0),MATCH(Data!$C221,F_Inputs!$G$2:$T$2,0))</f>
        <v>0</v>
      </c>
      <c r="L221" s="139">
        <f t="array" ref="L221">INDEX(F_Inputs!$G$4:$T$381,MATCH(Data!$B221&amp;Data!L$6,F_Inputs!$A$4:$A$381&amp;F_Inputs!$B$4:$B$381,0),MATCH(Data!$C221,F_Inputs!$G$2:$T$2,0))</f>
        <v>0</v>
      </c>
      <c r="N221" s="139">
        <f t="array" ref="N221">INDEX(F_Inputs!$G$4:$T$381,MATCH(Data!$B221&amp;Data!N$6,F_Inputs!$A$4:$A$381&amp;F_Inputs!$B$4:$B$381,0),MATCH(Data!$C221,F_Inputs!$G$2:$T$2,0))</f>
        <v>35.879469434832899</v>
      </c>
      <c r="O221" s="144"/>
      <c r="P221" s="139">
        <f t="array" ref="P221">INDEX(F_Inputs!$G$4:$T$381,MATCH(Data!$B221&amp;Data!P$6,F_Inputs!$A$4:$A$381&amp;F_Inputs!$B$4:$B$381,0),MATCH(Data!$C221,F_Inputs!$G$2:$T$2,0))</f>
        <v>0</v>
      </c>
      <c r="Q221" s="139">
        <f t="array" ref="Q221">INDEX(F_Inputs!$G$4:$T$381,MATCH(Data!$B221&amp;Data!Q$6,F_Inputs!$A$4:$A$381&amp;F_Inputs!$B$4:$B$381,0),MATCH(Data!$C221,F_Inputs!$G$2:$T$2,0))</f>
        <v>0</v>
      </c>
      <c r="R221" s="139">
        <f t="array" ref="R221">INDEX(F_Inputs!$G$4:$T$381,MATCH(Data!$B221&amp;Data!R$6,F_Inputs!$A$4:$A$381&amp;F_Inputs!$B$4:$B$381,0),MATCH(Data!$C221,F_Inputs!$G$2:$T$2,0))</f>
        <v>0</v>
      </c>
      <c r="S221" s="139">
        <f t="array" ref="S221">INDEX(F_Inputs!$G$4:$T$381,MATCH(Data!$B221&amp;Data!S$6,F_Inputs!$A$4:$A$381&amp;F_Inputs!$B$4:$B$381,0),MATCH(Data!$C221,F_Inputs!$G$2:$T$2,0))</f>
        <v>0</v>
      </c>
      <c r="U221" s="139">
        <f t="array" ref="U221">INDEX(F_Inputs!$G$4:$T$381,MATCH(Data!$B221&amp;Data!U$6,F_Inputs!$A$4:$A$381&amp;F_Inputs!$B$4:$B$381,0),MATCH(Data!$C221,F_Inputs!$G$2:$T$2,0))</f>
        <v>34.869999999999997</v>
      </c>
      <c r="V221" s="139">
        <f t="array" ref="V221">INDEX(F_Inputs!$G$4:$T$381,MATCH(Data!$B221&amp;Data!V$6,F_Inputs!$A$4:$A$381&amp;F_Inputs!$B$4:$B$381,0),MATCH(Data!$C221,F_Inputs!$G$2:$T$2,0))</f>
        <v>3357</v>
      </c>
      <c r="W221" s="139">
        <f t="array" ref="W221">INDEX(F_Inputs!$G$4:$T$381,MATCH(Data!$B221&amp;Data!W$6,F_Inputs!$A$4:$A$381&amp;F_Inputs!$B$4:$B$381,0),MATCH(Data!$C221,F_Inputs!$G$2:$T$2,0))</f>
        <v>324.87099999999998</v>
      </c>
    </row>
    <row r="222" spans="1:23" x14ac:dyDescent="0.2">
      <c r="A222" s="141" t="s">
        <v>257</v>
      </c>
      <c r="B222" s="142" t="s">
        <v>37</v>
      </c>
      <c r="C222" s="142" t="s">
        <v>73</v>
      </c>
      <c r="D222" s="139">
        <f t="array" ref="D222">INDEX(F_Inputs!$G$4:$T$381,MATCH(Data!$B222&amp;Data!D$6,F_Inputs!$A$4:$A$381&amp;F_Inputs!$B$4:$B$381,0),MATCH(Data!$C222,F_Inputs!$G$2:$T$2,0))</f>
        <v>0</v>
      </c>
      <c r="E222" s="139">
        <f t="array" ref="E222">INDEX(F_Inputs!$G$4:$T$381,MATCH(Data!$B222&amp;Data!E$6,F_Inputs!$A$4:$A$381&amp;F_Inputs!$B$4:$B$381,0),MATCH(Data!$C222,F_Inputs!$G$2:$T$2,0))</f>
        <v>10.773999999999999</v>
      </c>
      <c r="F222" s="139">
        <f t="array" ref="F222">INDEX(F_Inputs!$G$4:$T$381,MATCH(Data!$B222&amp;Data!F$6,F_Inputs!$A$4:$A$381&amp;F_Inputs!$B$4:$B$381,0),MATCH(Data!$C222,F_Inputs!$G$2:$T$2,0))</f>
        <v>0</v>
      </c>
      <c r="G222" s="139">
        <f t="array" ref="G222">INDEX(F_Inputs!$G$4:$T$381,MATCH(Data!$B222&amp;Data!G$6,F_Inputs!$A$4:$A$381&amp;F_Inputs!$B$4:$B$381,0),MATCH(Data!$C222,F_Inputs!$G$2:$T$2,0))</f>
        <v>1.1599999999999999</v>
      </c>
      <c r="I222" s="139">
        <f t="array" ref="I222">INDEX(F_Inputs!$G$4:$T$381,MATCH(Data!$B222&amp;Data!I$6,F_Inputs!$A$4:$A$381&amp;F_Inputs!$B$4:$B$381,0),MATCH(Data!$C222,F_Inputs!$G$2:$T$2,0))</f>
        <v>0</v>
      </c>
      <c r="J222" s="139">
        <f t="array" ref="J222">INDEX(F_Inputs!$G$4:$T$381,MATCH(Data!$B222&amp;Data!J$6,F_Inputs!$A$4:$A$381&amp;F_Inputs!$B$4:$B$381,0),MATCH(Data!$C222,F_Inputs!$G$2:$T$2,0))</f>
        <v>0</v>
      </c>
      <c r="K222" s="139">
        <f t="array" ref="K222">INDEX(F_Inputs!$G$4:$T$381,MATCH(Data!$B222&amp;Data!K$6,F_Inputs!$A$4:$A$381&amp;F_Inputs!$B$4:$B$381,0),MATCH(Data!$C222,F_Inputs!$G$2:$T$2,0))</f>
        <v>0</v>
      </c>
      <c r="L222" s="139">
        <f t="array" ref="L222">INDEX(F_Inputs!$G$4:$T$381,MATCH(Data!$B222&amp;Data!L$6,F_Inputs!$A$4:$A$381&amp;F_Inputs!$B$4:$B$381,0),MATCH(Data!$C222,F_Inputs!$G$2:$T$2,0))</f>
        <v>0</v>
      </c>
      <c r="N222" s="139">
        <f t="array" ref="N222">INDEX(F_Inputs!$G$4:$T$381,MATCH(Data!$B222&amp;Data!N$6,F_Inputs!$A$4:$A$381&amp;F_Inputs!$B$4:$B$381,0),MATCH(Data!$C222,F_Inputs!$G$2:$T$2,0))</f>
        <v>45.14</v>
      </c>
      <c r="O222" s="144"/>
      <c r="P222" s="139">
        <f t="array" ref="P222">INDEX(F_Inputs!$G$4:$T$381,MATCH(Data!$B222&amp;Data!P$6,F_Inputs!$A$4:$A$381&amp;F_Inputs!$B$4:$B$381,0),MATCH(Data!$C222,F_Inputs!$G$2:$T$2,0))</f>
        <v>11.8</v>
      </c>
      <c r="Q222" s="139">
        <f t="array" ref="Q222">INDEX(F_Inputs!$G$4:$T$381,MATCH(Data!$B222&amp;Data!Q$6,F_Inputs!$A$4:$A$381&amp;F_Inputs!$B$4:$B$381,0),MATCH(Data!$C222,F_Inputs!$G$2:$T$2,0))</f>
        <v>7.8</v>
      </c>
      <c r="R222" s="139">
        <f t="array" ref="R222">INDEX(F_Inputs!$G$4:$T$381,MATCH(Data!$B222&amp;Data!R$6,F_Inputs!$A$4:$A$381&amp;F_Inputs!$B$4:$B$381,0),MATCH(Data!$C222,F_Inputs!$G$2:$T$2,0))</f>
        <v>0</v>
      </c>
      <c r="S222" s="139">
        <f t="array" ref="S222">INDEX(F_Inputs!$G$4:$T$381,MATCH(Data!$B222&amp;Data!S$6,F_Inputs!$A$4:$A$381&amp;F_Inputs!$B$4:$B$381,0),MATCH(Data!$C222,F_Inputs!$G$2:$T$2,0))</f>
        <v>0</v>
      </c>
      <c r="U222" s="139">
        <f t="array" ref="U222">INDEX(F_Inputs!$G$4:$T$381,MATCH(Data!$B222&amp;Data!U$6,F_Inputs!$A$4:$A$381&amp;F_Inputs!$B$4:$B$381,0),MATCH(Data!$C222,F_Inputs!$G$2:$T$2,0))</f>
        <v>33.770000000000003</v>
      </c>
      <c r="V222" s="139">
        <f t="array" ref="V222">INDEX(F_Inputs!$G$4:$T$381,MATCH(Data!$B222&amp;Data!V$6,F_Inputs!$A$4:$A$381&amp;F_Inputs!$B$4:$B$381,0),MATCH(Data!$C222,F_Inputs!$G$2:$T$2,0))</f>
        <v>3369</v>
      </c>
      <c r="W222" s="139">
        <f t="array" ref="W222">INDEX(F_Inputs!$G$4:$T$381,MATCH(Data!$B222&amp;Data!W$6,F_Inputs!$A$4:$A$381&amp;F_Inputs!$B$4:$B$381,0),MATCH(Data!$C222,F_Inputs!$G$2:$T$2,0))</f>
        <v>326.78699999999998</v>
      </c>
    </row>
    <row r="223" spans="1:23" x14ac:dyDescent="0.2">
      <c r="A223" s="141" t="s">
        <v>258</v>
      </c>
      <c r="B223" s="142" t="s">
        <v>37</v>
      </c>
      <c r="C223" s="142" t="s">
        <v>74</v>
      </c>
      <c r="D223" s="139">
        <f t="array" ref="D223">INDEX(F_Inputs!$G$4:$T$381,MATCH(Data!$B223&amp;Data!D$6,F_Inputs!$A$4:$A$381&amp;F_Inputs!$B$4:$B$381,0),MATCH(Data!$C223,F_Inputs!$G$2:$T$2,0))</f>
        <v>0</v>
      </c>
      <c r="E223" s="139">
        <f t="array" ref="E223">INDEX(F_Inputs!$G$4:$T$381,MATCH(Data!$B223&amp;Data!E$6,F_Inputs!$A$4:$A$381&amp;F_Inputs!$B$4:$B$381,0),MATCH(Data!$C223,F_Inputs!$G$2:$T$2,0))</f>
        <v>6.5090000000000003</v>
      </c>
      <c r="F223" s="139">
        <f t="array" ref="F223">INDEX(F_Inputs!$G$4:$T$381,MATCH(Data!$B223&amp;Data!F$6,F_Inputs!$A$4:$A$381&amp;F_Inputs!$B$4:$B$381,0),MATCH(Data!$C223,F_Inputs!$G$2:$T$2,0))</f>
        <v>0</v>
      </c>
      <c r="G223" s="139">
        <f t="array" ref="G223">INDEX(F_Inputs!$G$4:$T$381,MATCH(Data!$B223&amp;Data!G$6,F_Inputs!$A$4:$A$381&amp;F_Inputs!$B$4:$B$381,0),MATCH(Data!$C223,F_Inputs!$G$2:$T$2,0))</f>
        <v>0.38700000000000001</v>
      </c>
      <c r="I223" s="139">
        <f t="array" ref="I223">INDEX(F_Inputs!$G$4:$T$381,MATCH(Data!$B223&amp;Data!I$6,F_Inputs!$A$4:$A$381&amp;F_Inputs!$B$4:$B$381,0),MATCH(Data!$C223,F_Inputs!$G$2:$T$2,0))</f>
        <v>0</v>
      </c>
      <c r="J223" s="139">
        <f t="array" ref="J223">INDEX(F_Inputs!$G$4:$T$381,MATCH(Data!$B223&amp;Data!J$6,F_Inputs!$A$4:$A$381&amp;F_Inputs!$B$4:$B$381,0),MATCH(Data!$C223,F_Inputs!$G$2:$T$2,0))</f>
        <v>0</v>
      </c>
      <c r="K223" s="139">
        <f t="array" ref="K223">INDEX(F_Inputs!$G$4:$T$381,MATCH(Data!$B223&amp;Data!K$6,F_Inputs!$A$4:$A$381&amp;F_Inputs!$B$4:$B$381,0),MATCH(Data!$C223,F_Inputs!$G$2:$T$2,0))</f>
        <v>0</v>
      </c>
      <c r="L223" s="139">
        <f t="array" ref="L223">INDEX(F_Inputs!$G$4:$T$381,MATCH(Data!$B223&amp;Data!L$6,F_Inputs!$A$4:$A$381&amp;F_Inputs!$B$4:$B$381,0),MATCH(Data!$C223,F_Inputs!$G$2:$T$2,0))</f>
        <v>0</v>
      </c>
      <c r="N223" s="139">
        <f t="array" ref="N223">INDEX(F_Inputs!$G$4:$T$381,MATCH(Data!$B223&amp;Data!N$6,F_Inputs!$A$4:$A$381&amp;F_Inputs!$B$4:$B$381,0),MATCH(Data!$C223,F_Inputs!$G$2:$T$2,0))</f>
        <v>38.365000000000002</v>
      </c>
      <c r="O223" s="144"/>
      <c r="P223" s="139">
        <f t="array" ref="P223">INDEX(F_Inputs!$G$4:$T$381,MATCH(Data!$B223&amp;Data!P$6,F_Inputs!$A$4:$A$381&amp;F_Inputs!$B$4:$B$381,0),MATCH(Data!$C223,F_Inputs!$G$2:$T$2,0))</f>
        <v>0</v>
      </c>
      <c r="Q223" s="139">
        <f t="array" ref="Q223">INDEX(F_Inputs!$G$4:$T$381,MATCH(Data!$B223&amp;Data!Q$6,F_Inputs!$A$4:$A$381&amp;F_Inputs!$B$4:$B$381,0),MATCH(Data!$C223,F_Inputs!$G$2:$T$2,0))</f>
        <v>0</v>
      </c>
      <c r="R223" s="139">
        <f t="array" ref="R223">INDEX(F_Inputs!$G$4:$T$381,MATCH(Data!$B223&amp;Data!R$6,F_Inputs!$A$4:$A$381&amp;F_Inputs!$B$4:$B$381,0),MATCH(Data!$C223,F_Inputs!$G$2:$T$2,0))</f>
        <v>0</v>
      </c>
      <c r="S223" s="139">
        <f t="array" ref="S223">INDEX(F_Inputs!$G$4:$T$381,MATCH(Data!$B223&amp;Data!S$6,F_Inputs!$A$4:$A$381&amp;F_Inputs!$B$4:$B$381,0),MATCH(Data!$C223,F_Inputs!$G$2:$T$2,0))</f>
        <v>0</v>
      </c>
      <c r="U223" s="139">
        <f t="array" ref="U223">INDEX(F_Inputs!$G$4:$T$381,MATCH(Data!$B223&amp;Data!U$6,F_Inputs!$A$4:$A$381&amp;F_Inputs!$B$4:$B$381,0),MATCH(Data!$C223,F_Inputs!$G$2:$T$2,0))</f>
        <v>32.69</v>
      </c>
      <c r="V223" s="139">
        <f t="array" ref="V223">INDEX(F_Inputs!$G$4:$T$381,MATCH(Data!$B223&amp;Data!V$6,F_Inputs!$A$4:$A$381&amp;F_Inputs!$B$4:$B$381,0),MATCH(Data!$C223,F_Inputs!$G$2:$T$2,0))</f>
        <v>3380</v>
      </c>
      <c r="W223" s="139">
        <f t="array" ref="W223">INDEX(F_Inputs!$G$4:$T$381,MATCH(Data!$B223&amp;Data!W$6,F_Inputs!$A$4:$A$381&amp;F_Inputs!$B$4:$B$381,0),MATCH(Data!$C223,F_Inputs!$G$2:$T$2,0))</f>
        <v>328.67099999999999</v>
      </c>
    </row>
    <row r="224" spans="1:23" x14ac:dyDescent="0.2">
      <c r="A224" s="141" t="s">
        <v>259</v>
      </c>
      <c r="B224" s="142" t="s">
        <v>37</v>
      </c>
      <c r="C224" s="142" t="s">
        <v>75</v>
      </c>
      <c r="D224" s="139">
        <f t="array" ref="D224">INDEX(F_Inputs!$G$4:$T$381,MATCH(Data!$B224&amp;Data!D$6,F_Inputs!$A$4:$A$381&amp;F_Inputs!$B$4:$B$381,0),MATCH(Data!$C224,F_Inputs!$G$2:$T$2,0))</f>
        <v>0</v>
      </c>
      <c r="E224" s="139">
        <f t="array" ref="E224">INDEX(F_Inputs!$G$4:$T$381,MATCH(Data!$B224&amp;Data!E$6,F_Inputs!$A$4:$A$381&amp;F_Inputs!$B$4:$B$381,0),MATCH(Data!$C224,F_Inputs!$G$2:$T$2,0))</f>
        <v>7.569</v>
      </c>
      <c r="F224" s="139">
        <f t="array" ref="F224">INDEX(F_Inputs!$G$4:$T$381,MATCH(Data!$B224&amp;Data!F$6,F_Inputs!$A$4:$A$381&amp;F_Inputs!$B$4:$B$381,0),MATCH(Data!$C224,F_Inputs!$G$2:$T$2,0))</f>
        <v>0</v>
      </c>
      <c r="G224" s="139">
        <f t="array" ref="G224">INDEX(F_Inputs!$G$4:$T$381,MATCH(Data!$B224&amp;Data!G$6,F_Inputs!$A$4:$A$381&amp;F_Inputs!$B$4:$B$381,0),MATCH(Data!$C224,F_Inputs!$G$2:$T$2,0))</f>
        <v>0</v>
      </c>
      <c r="I224" s="139">
        <f t="array" ref="I224">INDEX(F_Inputs!$G$4:$T$381,MATCH(Data!$B224&amp;Data!I$6,F_Inputs!$A$4:$A$381&amp;F_Inputs!$B$4:$B$381,0),MATCH(Data!$C224,F_Inputs!$G$2:$T$2,0))</f>
        <v>0</v>
      </c>
      <c r="J224" s="139">
        <f t="array" ref="J224">INDEX(F_Inputs!$G$4:$T$381,MATCH(Data!$B224&amp;Data!J$6,F_Inputs!$A$4:$A$381&amp;F_Inputs!$B$4:$B$381,0),MATCH(Data!$C224,F_Inputs!$G$2:$T$2,0))</f>
        <v>0</v>
      </c>
      <c r="K224" s="139">
        <f t="array" ref="K224">INDEX(F_Inputs!$G$4:$T$381,MATCH(Data!$B224&amp;Data!K$6,F_Inputs!$A$4:$A$381&amp;F_Inputs!$B$4:$B$381,0),MATCH(Data!$C224,F_Inputs!$G$2:$T$2,0))</f>
        <v>0</v>
      </c>
      <c r="L224" s="139">
        <f t="array" ref="L224">INDEX(F_Inputs!$G$4:$T$381,MATCH(Data!$B224&amp;Data!L$6,F_Inputs!$A$4:$A$381&amp;F_Inputs!$B$4:$B$381,0),MATCH(Data!$C224,F_Inputs!$G$2:$T$2,0))</f>
        <v>0</v>
      </c>
      <c r="N224" s="139">
        <f t="array" ref="N224">INDEX(F_Inputs!$G$4:$T$381,MATCH(Data!$B224&amp;Data!N$6,F_Inputs!$A$4:$A$381&amp;F_Inputs!$B$4:$B$381,0),MATCH(Data!$C224,F_Inputs!$G$2:$T$2,0))</f>
        <v>39.048000000000002</v>
      </c>
      <c r="O224" s="144"/>
      <c r="P224" s="139">
        <f t="array" ref="P224">INDEX(F_Inputs!$G$4:$T$381,MATCH(Data!$B224&amp;Data!P$6,F_Inputs!$A$4:$A$381&amp;F_Inputs!$B$4:$B$381,0),MATCH(Data!$C224,F_Inputs!$G$2:$T$2,0))</f>
        <v>15</v>
      </c>
      <c r="Q224" s="139">
        <f t="array" ref="Q224">INDEX(F_Inputs!$G$4:$T$381,MATCH(Data!$B224&amp;Data!Q$6,F_Inputs!$A$4:$A$381&amp;F_Inputs!$B$4:$B$381,0),MATCH(Data!$C224,F_Inputs!$G$2:$T$2,0))</f>
        <v>12.5</v>
      </c>
      <c r="R224" s="139">
        <f t="array" ref="R224">INDEX(F_Inputs!$G$4:$T$381,MATCH(Data!$B224&amp;Data!R$6,F_Inputs!$A$4:$A$381&amp;F_Inputs!$B$4:$B$381,0),MATCH(Data!$C224,F_Inputs!$G$2:$T$2,0))</f>
        <v>0</v>
      </c>
      <c r="S224" s="139">
        <f t="array" ref="S224">INDEX(F_Inputs!$G$4:$T$381,MATCH(Data!$B224&amp;Data!S$6,F_Inputs!$A$4:$A$381&amp;F_Inputs!$B$4:$B$381,0),MATCH(Data!$C224,F_Inputs!$G$2:$T$2,0))</f>
        <v>0</v>
      </c>
      <c r="U224" s="139">
        <f t="array" ref="U224">INDEX(F_Inputs!$G$4:$T$381,MATCH(Data!$B224&amp;Data!U$6,F_Inputs!$A$4:$A$381&amp;F_Inputs!$B$4:$B$381,0),MATCH(Data!$C224,F_Inputs!$G$2:$T$2,0))</f>
        <v>31.64</v>
      </c>
      <c r="V224" s="139">
        <f t="array" ref="V224">INDEX(F_Inputs!$G$4:$T$381,MATCH(Data!$B224&amp;Data!V$6,F_Inputs!$A$4:$A$381&amp;F_Inputs!$B$4:$B$381,0),MATCH(Data!$C224,F_Inputs!$G$2:$T$2,0))</f>
        <v>3392</v>
      </c>
      <c r="W224" s="139">
        <f t="array" ref="W224">INDEX(F_Inputs!$G$4:$T$381,MATCH(Data!$B224&amp;Data!W$6,F_Inputs!$A$4:$A$381&amp;F_Inputs!$B$4:$B$381,0),MATCH(Data!$C224,F_Inputs!$G$2:$T$2,0))</f>
        <v>330.56799999999998</v>
      </c>
    </row>
    <row r="225" spans="1:23" x14ac:dyDescent="0.2">
      <c r="A225" s="141" t="s">
        <v>260</v>
      </c>
      <c r="B225" s="142" t="s">
        <v>37</v>
      </c>
      <c r="C225" s="142" t="s">
        <v>76</v>
      </c>
      <c r="D225" s="139">
        <f t="array" ref="D225">INDEX(F_Inputs!$G$4:$T$381,MATCH(Data!$B225&amp;Data!D$6,F_Inputs!$A$4:$A$381&amp;F_Inputs!$B$4:$B$381,0),MATCH(Data!$C225,F_Inputs!$G$2:$T$2,0))</f>
        <v>0</v>
      </c>
      <c r="E225" s="139">
        <f t="array" ref="E225">INDEX(F_Inputs!$G$4:$T$381,MATCH(Data!$B225&amp;Data!E$6,F_Inputs!$A$4:$A$381&amp;F_Inputs!$B$4:$B$381,0),MATCH(Data!$C225,F_Inputs!$G$2:$T$2,0))</f>
        <v>20.262</v>
      </c>
      <c r="F225" s="139">
        <f t="array" ref="F225">INDEX(F_Inputs!$G$4:$T$381,MATCH(Data!$B225&amp;Data!F$6,F_Inputs!$A$4:$A$381&amp;F_Inputs!$B$4:$B$381,0),MATCH(Data!$C225,F_Inputs!$G$2:$T$2,0))</f>
        <v>0</v>
      </c>
      <c r="G225" s="139">
        <f t="array" ref="G225">INDEX(F_Inputs!$G$4:$T$381,MATCH(Data!$B225&amp;Data!G$6,F_Inputs!$A$4:$A$381&amp;F_Inputs!$B$4:$B$381,0),MATCH(Data!$C225,F_Inputs!$G$2:$T$2,0))</f>
        <v>0</v>
      </c>
      <c r="I225" s="139">
        <f t="array" ref="I225">INDEX(F_Inputs!$G$4:$T$381,MATCH(Data!$B225&amp;Data!I$6,F_Inputs!$A$4:$A$381&amp;F_Inputs!$B$4:$B$381,0),MATCH(Data!$C225,F_Inputs!$G$2:$T$2,0))</f>
        <v>0</v>
      </c>
      <c r="J225" s="139">
        <f t="array" ref="J225">INDEX(F_Inputs!$G$4:$T$381,MATCH(Data!$B225&amp;Data!J$6,F_Inputs!$A$4:$A$381&amp;F_Inputs!$B$4:$B$381,0),MATCH(Data!$C225,F_Inputs!$G$2:$T$2,0))</f>
        <v>0</v>
      </c>
      <c r="K225" s="139">
        <f t="array" ref="K225">INDEX(F_Inputs!$G$4:$T$381,MATCH(Data!$B225&amp;Data!K$6,F_Inputs!$A$4:$A$381&amp;F_Inputs!$B$4:$B$381,0),MATCH(Data!$C225,F_Inputs!$G$2:$T$2,0))</f>
        <v>0</v>
      </c>
      <c r="L225" s="139">
        <f t="array" ref="L225">INDEX(F_Inputs!$G$4:$T$381,MATCH(Data!$B225&amp;Data!L$6,F_Inputs!$A$4:$A$381&amp;F_Inputs!$B$4:$B$381,0),MATCH(Data!$C225,F_Inputs!$G$2:$T$2,0))</f>
        <v>0</v>
      </c>
      <c r="N225" s="139">
        <f t="array" ref="N225">INDEX(F_Inputs!$G$4:$T$381,MATCH(Data!$B225&amp;Data!N$6,F_Inputs!$A$4:$A$381&amp;F_Inputs!$B$4:$B$381,0),MATCH(Data!$C225,F_Inputs!$G$2:$T$2,0))</f>
        <v>51.654000000000003</v>
      </c>
      <c r="O225" s="144"/>
      <c r="P225" s="139">
        <f t="array" ref="P225">INDEX(F_Inputs!$G$4:$T$381,MATCH(Data!$B225&amp;Data!P$6,F_Inputs!$A$4:$A$381&amp;F_Inputs!$B$4:$B$381,0),MATCH(Data!$C225,F_Inputs!$G$2:$T$2,0))</f>
        <v>0</v>
      </c>
      <c r="Q225" s="139">
        <f t="array" ref="Q225">INDEX(F_Inputs!$G$4:$T$381,MATCH(Data!$B225&amp;Data!Q$6,F_Inputs!$A$4:$A$381&amp;F_Inputs!$B$4:$B$381,0),MATCH(Data!$C225,F_Inputs!$G$2:$T$2,0))</f>
        <v>0</v>
      </c>
      <c r="R225" s="139">
        <f t="array" ref="R225">INDEX(F_Inputs!$G$4:$T$381,MATCH(Data!$B225&amp;Data!R$6,F_Inputs!$A$4:$A$381&amp;F_Inputs!$B$4:$B$381,0),MATCH(Data!$C225,F_Inputs!$G$2:$T$2,0))</f>
        <v>0</v>
      </c>
      <c r="S225" s="139">
        <f t="array" ref="S225">INDEX(F_Inputs!$G$4:$T$381,MATCH(Data!$B225&amp;Data!S$6,F_Inputs!$A$4:$A$381&amp;F_Inputs!$B$4:$B$381,0),MATCH(Data!$C225,F_Inputs!$G$2:$T$2,0))</f>
        <v>0</v>
      </c>
      <c r="U225" s="139">
        <f t="array" ref="U225">INDEX(F_Inputs!$G$4:$T$381,MATCH(Data!$B225&amp;Data!U$6,F_Inputs!$A$4:$A$381&amp;F_Inputs!$B$4:$B$381,0),MATCH(Data!$C225,F_Inputs!$G$2:$T$2,0))</f>
        <v>30.6</v>
      </c>
      <c r="V225" s="139">
        <f t="array" ref="V225">INDEX(F_Inputs!$G$4:$T$381,MATCH(Data!$B225&amp;Data!V$6,F_Inputs!$A$4:$A$381&amp;F_Inputs!$B$4:$B$381,0),MATCH(Data!$C225,F_Inputs!$G$2:$T$2,0))</f>
        <v>3404</v>
      </c>
      <c r="W225" s="139">
        <f t="array" ref="W225">INDEX(F_Inputs!$G$4:$T$381,MATCH(Data!$B225&amp;Data!W$6,F_Inputs!$A$4:$A$381&amp;F_Inputs!$B$4:$B$381,0),MATCH(Data!$C225,F_Inputs!$G$2:$T$2,0))</f>
        <v>332.50200000000001</v>
      </c>
    </row>
    <row r="226" spans="1:23" x14ac:dyDescent="0.2">
      <c r="A226" s="141" t="s">
        <v>261</v>
      </c>
      <c r="B226" s="142" t="s">
        <v>37</v>
      </c>
      <c r="C226" s="142" t="s">
        <v>24</v>
      </c>
      <c r="D226" s="139">
        <f t="array" ref="D226">INDEX(F_Inputs!$G$4:$T$381,MATCH(Data!$B226&amp;Data!D$6,F_Inputs!$A$4:$A$381&amp;F_Inputs!$B$4:$B$381,0),MATCH(Data!$C226,F_Inputs!$G$2:$T$2,0))</f>
        <v>0</v>
      </c>
      <c r="E226" s="139">
        <f t="array" ref="E226">INDEX(F_Inputs!$G$4:$T$381,MATCH(Data!$B226&amp;Data!E$6,F_Inputs!$A$4:$A$381&amp;F_Inputs!$B$4:$B$381,0),MATCH(Data!$C226,F_Inputs!$G$2:$T$2,0))</f>
        <v>23.026</v>
      </c>
      <c r="F226" s="139">
        <f t="array" ref="F226">INDEX(F_Inputs!$G$4:$T$381,MATCH(Data!$B226&amp;Data!F$6,F_Inputs!$A$4:$A$381&amp;F_Inputs!$B$4:$B$381,0),MATCH(Data!$C226,F_Inputs!$G$2:$T$2,0))</f>
        <v>0</v>
      </c>
      <c r="G226" s="139">
        <f t="array" ref="G226">INDEX(F_Inputs!$G$4:$T$381,MATCH(Data!$B226&amp;Data!G$6,F_Inputs!$A$4:$A$381&amp;F_Inputs!$B$4:$B$381,0),MATCH(Data!$C226,F_Inputs!$G$2:$T$2,0))</f>
        <v>0</v>
      </c>
      <c r="I226" s="139">
        <f t="array" ref="I226">INDEX(F_Inputs!$G$4:$T$381,MATCH(Data!$B226&amp;Data!I$6,F_Inputs!$A$4:$A$381&amp;F_Inputs!$B$4:$B$381,0),MATCH(Data!$C226,F_Inputs!$G$2:$T$2,0))</f>
        <v>0</v>
      </c>
      <c r="J226" s="139">
        <f t="array" ref="J226">INDEX(F_Inputs!$G$4:$T$381,MATCH(Data!$B226&amp;Data!J$6,F_Inputs!$A$4:$A$381&amp;F_Inputs!$B$4:$B$381,0),MATCH(Data!$C226,F_Inputs!$G$2:$T$2,0))</f>
        <v>0</v>
      </c>
      <c r="K226" s="139">
        <f t="array" ref="K226">INDEX(F_Inputs!$G$4:$T$381,MATCH(Data!$B226&amp;Data!K$6,F_Inputs!$A$4:$A$381&amp;F_Inputs!$B$4:$B$381,0),MATCH(Data!$C226,F_Inputs!$G$2:$T$2,0))</f>
        <v>0</v>
      </c>
      <c r="L226" s="139">
        <f t="array" ref="L226">INDEX(F_Inputs!$G$4:$T$381,MATCH(Data!$B226&amp;Data!L$6,F_Inputs!$A$4:$A$381&amp;F_Inputs!$B$4:$B$381,0),MATCH(Data!$C226,F_Inputs!$G$2:$T$2,0))</f>
        <v>0</v>
      </c>
      <c r="N226" s="139">
        <f t="array" ref="N226">INDEX(F_Inputs!$G$4:$T$381,MATCH(Data!$B226&amp;Data!N$6,F_Inputs!$A$4:$A$381&amp;F_Inputs!$B$4:$B$381,0),MATCH(Data!$C226,F_Inputs!$G$2:$T$2,0))</f>
        <v>53.923000000000002</v>
      </c>
      <c r="O226" s="144"/>
      <c r="P226" s="139">
        <f t="array" ref="P226">INDEX(F_Inputs!$G$4:$T$381,MATCH(Data!$B226&amp;Data!P$6,F_Inputs!$A$4:$A$381&amp;F_Inputs!$B$4:$B$381,0),MATCH(Data!$C226,F_Inputs!$G$2:$T$2,0))</f>
        <v>0</v>
      </c>
      <c r="Q226" s="139">
        <f t="array" ref="Q226">INDEX(F_Inputs!$G$4:$T$381,MATCH(Data!$B226&amp;Data!Q$6,F_Inputs!$A$4:$A$381&amp;F_Inputs!$B$4:$B$381,0),MATCH(Data!$C226,F_Inputs!$G$2:$T$2,0))</f>
        <v>0</v>
      </c>
      <c r="R226" s="139">
        <f t="array" ref="R226">INDEX(F_Inputs!$G$4:$T$381,MATCH(Data!$B226&amp;Data!R$6,F_Inputs!$A$4:$A$381&amp;F_Inputs!$B$4:$B$381,0),MATCH(Data!$C226,F_Inputs!$G$2:$T$2,0))</f>
        <v>0</v>
      </c>
      <c r="S226" s="139">
        <f t="array" ref="S226">INDEX(F_Inputs!$G$4:$T$381,MATCH(Data!$B226&amp;Data!S$6,F_Inputs!$A$4:$A$381&amp;F_Inputs!$B$4:$B$381,0),MATCH(Data!$C226,F_Inputs!$G$2:$T$2,0))</f>
        <v>0</v>
      </c>
      <c r="U226" s="139">
        <f t="array" ref="U226">INDEX(F_Inputs!$G$4:$T$381,MATCH(Data!$B226&amp;Data!U$6,F_Inputs!$A$4:$A$381&amp;F_Inputs!$B$4:$B$381,0),MATCH(Data!$C226,F_Inputs!$G$2:$T$2,0))</f>
        <v>29.57</v>
      </c>
      <c r="V226" s="139">
        <f t="array" ref="V226">INDEX(F_Inputs!$G$4:$T$381,MATCH(Data!$B226&amp;Data!V$6,F_Inputs!$A$4:$A$381&amp;F_Inputs!$B$4:$B$381,0),MATCH(Data!$C226,F_Inputs!$G$2:$T$2,0))</f>
        <v>3416</v>
      </c>
      <c r="W226" s="139">
        <f t="array" ref="W226">INDEX(F_Inputs!$G$4:$T$381,MATCH(Data!$B226&amp;Data!W$6,F_Inputs!$A$4:$A$381&amp;F_Inputs!$B$4:$B$381,0),MATCH(Data!$C226,F_Inputs!$G$2:$T$2,0))</f>
        <v>334.5</v>
      </c>
    </row>
    <row r="227" spans="1:23" x14ac:dyDescent="0.2">
      <c r="A227" s="138" t="str">
        <f t="shared" ref="A227" si="13">B227&amp;RIGHT(C227,2)</f>
        <v>SES12</v>
      </c>
      <c r="B227" s="19" t="s">
        <v>40</v>
      </c>
      <c r="C227" s="143" t="s">
        <v>64</v>
      </c>
      <c r="D227" s="139">
        <f t="array" ref="D227">INDEX(F_Inputs!$G$4:$T$381,MATCH(Data!$B227&amp;Data!D$6,F_Inputs!$A$4:$A$381&amp;F_Inputs!$B$4:$B$381,0),MATCH(Data!$C227,F_Inputs!$G$2:$T$2,0))</f>
        <v>3.2720920738711698</v>
      </c>
      <c r="E227" s="139">
        <f t="array" ref="E227">INDEX(F_Inputs!$G$4:$T$381,MATCH(Data!$B227&amp;Data!E$6,F_Inputs!$A$4:$A$381&amp;F_Inputs!$B$4:$B$381,0),MATCH(Data!$C227,F_Inputs!$G$2:$T$2,0))</f>
        <v>0.27958098435981299</v>
      </c>
      <c r="F227" s="139">
        <f t="array" ref="F227">INDEX(F_Inputs!$G$4:$T$381,MATCH(Data!$B227&amp;Data!F$6,F_Inputs!$A$4:$A$381&amp;F_Inputs!$B$4:$B$381,0),MATCH(Data!$C227,F_Inputs!$G$2:$T$2,0))</f>
        <v>0</v>
      </c>
      <c r="G227" s="139">
        <f t="array" ref="G227">INDEX(F_Inputs!$G$4:$T$381,MATCH(Data!$B227&amp;Data!G$6,F_Inputs!$A$4:$A$381&amp;F_Inputs!$B$4:$B$381,0),MATCH(Data!$C227,F_Inputs!$G$2:$T$2,0))</f>
        <v>0.63099107537333199</v>
      </c>
      <c r="I227" s="139">
        <f t="array" ref="I227">INDEX(F_Inputs!$G$4:$T$381,MATCH(Data!$B227&amp;Data!I$6,F_Inputs!$A$4:$A$381&amp;F_Inputs!$B$4:$B$381,0),MATCH(Data!$C227,F_Inputs!$G$2:$T$2,0))</f>
        <v>0</v>
      </c>
      <c r="J227" s="139">
        <f t="array" ref="J227">INDEX(F_Inputs!$G$4:$T$381,MATCH(Data!$B227&amp;Data!J$6,F_Inputs!$A$4:$A$381&amp;F_Inputs!$B$4:$B$381,0),MATCH(Data!$C227,F_Inputs!$G$2:$T$2,0))</f>
        <v>0</v>
      </c>
      <c r="K227" s="139">
        <f t="array" ref="K227">INDEX(F_Inputs!$G$4:$T$381,MATCH(Data!$B227&amp;Data!K$6,F_Inputs!$A$4:$A$381&amp;F_Inputs!$B$4:$B$381,0),MATCH(Data!$C227,F_Inputs!$G$2:$T$2,0))</f>
        <v>0</v>
      </c>
      <c r="L227" s="139">
        <f t="array" ref="L227">INDEX(F_Inputs!$G$4:$T$381,MATCH(Data!$B227&amp;Data!L$6,F_Inputs!$A$4:$A$381&amp;F_Inputs!$B$4:$B$381,0),MATCH(Data!$C227,F_Inputs!$G$2:$T$2,0))</f>
        <v>0</v>
      </c>
      <c r="N227" s="139">
        <f t="array" ref="N227">INDEX(F_Inputs!$G$4:$T$381,MATCH(Data!$B227&amp;Data!N$6,F_Inputs!$A$4:$A$381&amp;F_Inputs!$B$4:$B$381,0),MATCH(Data!$C227,F_Inputs!$G$2:$T$2,0))</f>
        <v>52.168927630997601</v>
      </c>
      <c r="O227" s="144"/>
      <c r="P227" s="139">
        <f t="array" ref="P227">INDEX(F_Inputs!$G$4:$T$381,MATCH(Data!$B227&amp;Data!P$6,F_Inputs!$A$4:$A$381&amp;F_Inputs!$B$4:$B$381,0),MATCH(Data!$C227,F_Inputs!$G$2:$T$2,0))</f>
        <v>0</v>
      </c>
      <c r="Q227" s="139">
        <f t="array" ref="Q227">INDEX(F_Inputs!$G$4:$T$381,MATCH(Data!$B227&amp;Data!Q$6,F_Inputs!$A$4:$A$381&amp;F_Inputs!$B$4:$B$381,0),MATCH(Data!$C227,F_Inputs!$G$2:$T$2,0))</f>
        <v>0</v>
      </c>
      <c r="R227" s="139">
        <f t="array" ref="R227">INDEX(F_Inputs!$G$4:$T$381,MATCH(Data!$B227&amp;Data!R$6,F_Inputs!$A$4:$A$381&amp;F_Inputs!$B$4:$B$381,0),MATCH(Data!$C227,F_Inputs!$G$2:$T$2,0))</f>
        <v>0</v>
      </c>
      <c r="S227" s="139">
        <f t="array" ref="S227">INDEX(F_Inputs!$G$4:$T$381,MATCH(Data!$B227&amp;Data!S$6,F_Inputs!$A$4:$A$381&amp;F_Inputs!$B$4:$B$381,0),MATCH(Data!$C227,F_Inputs!$G$2:$T$2,0))</f>
        <v>0</v>
      </c>
      <c r="U227" s="139">
        <f t="array" ref="U227">INDEX(F_Inputs!$G$4:$T$381,MATCH(Data!$B227&amp;Data!U$6,F_Inputs!$A$4:$A$381&amp;F_Inputs!$B$4:$B$381,0),MATCH(Data!$C227,F_Inputs!$G$2:$T$2,0))</f>
        <v>0</v>
      </c>
      <c r="V227" s="139">
        <f t="array" ref="V227">INDEX(F_Inputs!$G$4:$T$381,MATCH(Data!$B227&amp;Data!V$6,F_Inputs!$A$4:$A$381&amp;F_Inputs!$B$4:$B$381,0),MATCH(Data!$C227,F_Inputs!$G$2:$T$2,0))</f>
        <v>0</v>
      </c>
      <c r="W227" s="139">
        <f t="array" ref="W227">INDEX(F_Inputs!$G$4:$T$381,MATCH(Data!$B227&amp;Data!W$6,F_Inputs!$A$4:$A$381&amp;F_Inputs!$B$4:$B$381,0),MATCH(Data!$C227,F_Inputs!$G$2:$T$2,0))</f>
        <v>0</v>
      </c>
    </row>
    <row r="228" spans="1:23" x14ac:dyDescent="0.2">
      <c r="A228" s="138" t="str">
        <f>B228&amp;RIGHT(C228,2)</f>
        <v>SES13</v>
      </c>
      <c r="B228" s="19" t="s">
        <v>40</v>
      </c>
      <c r="C228" s="143" t="s">
        <v>65</v>
      </c>
      <c r="D228" s="139">
        <f t="array" ref="D228">INDEX(F_Inputs!$G$4:$T$381,MATCH(Data!$B228&amp;Data!D$6,F_Inputs!$A$4:$A$381&amp;F_Inputs!$B$4:$B$381,0),MATCH(Data!$C228,F_Inputs!$G$2:$T$2,0))</f>
        <v>2.42782571182053</v>
      </c>
      <c r="E228" s="139">
        <f t="array" ref="E228">INDEX(F_Inputs!$G$4:$T$381,MATCH(Data!$B228&amp;Data!E$6,F_Inputs!$A$4:$A$381&amp;F_Inputs!$B$4:$B$381,0),MATCH(Data!$C228,F_Inputs!$G$2:$T$2,0))</f>
        <v>1.6185504745470199E-2</v>
      </c>
      <c r="F228" s="139">
        <f t="array" ref="F228">INDEX(F_Inputs!$G$4:$T$381,MATCH(Data!$B228&amp;Data!F$6,F_Inputs!$A$4:$A$381&amp;F_Inputs!$B$4:$B$381,0),MATCH(Data!$C228,F_Inputs!$G$2:$T$2,0))</f>
        <v>0</v>
      </c>
      <c r="G228" s="139">
        <f t="array" ref="G228">INDEX(F_Inputs!$G$4:$T$381,MATCH(Data!$B228&amp;Data!G$6,F_Inputs!$A$4:$A$381&amp;F_Inputs!$B$4:$B$381,0),MATCH(Data!$C228,F_Inputs!$G$2:$T$2,0))</f>
        <v>0.83948817946505605</v>
      </c>
      <c r="I228" s="139">
        <f t="array" ref="I228">INDEX(F_Inputs!$G$4:$T$381,MATCH(Data!$B228&amp;Data!I$6,F_Inputs!$A$4:$A$381&amp;F_Inputs!$B$4:$B$381,0),MATCH(Data!$C228,F_Inputs!$G$2:$T$2,0))</f>
        <v>0</v>
      </c>
      <c r="J228" s="139">
        <f t="array" ref="J228">INDEX(F_Inputs!$G$4:$T$381,MATCH(Data!$B228&amp;Data!J$6,F_Inputs!$A$4:$A$381&amp;F_Inputs!$B$4:$B$381,0),MATCH(Data!$C228,F_Inputs!$G$2:$T$2,0))</f>
        <v>0</v>
      </c>
      <c r="K228" s="139">
        <f t="array" ref="K228">INDEX(F_Inputs!$G$4:$T$381,MATCH(Data!$B228&amp;Data!K$6,F_Inputs!$A$4:$A$381&amp;F_Inputs!$B$4:$B$381,0),MATCH(Data!$C228,F_Inputs!$G$2:$T$2,0))</f>
        <v>0</v>
      </c>
      <c r="L228" s="139">
        <f t="array" ref="L228">INDEX(F_Inputs!$G$4:$T$381,MATCH(Data!$B228&amp;Data!L$6,F_Inputs!$A$4:$A$381&amp;F_Inputs!$B$4:$B$381,0),MATCH(Data!$C228,F_Inputs!$G$2:$T$2,0))</f>
        <v>0</v>
      </c>
      <c r="N228" s="139">
        <f t="array" ref="N228">INDEX(F_Inputs!$G$4:$T$381,MATCH(Data!$B228&amp;Data!N$6,F_Inputs!$A$4:$A$381&amp;F_Inputs!$B$4:$B$381,0),MATCH(Data!$C228,F_Inputs!$G$2:$T$2,0))</f>
        <v>46.444845383951602</v>
      </c>
      <c r="O228" s="144"/>
      <c r="P228" s="139">
        <f t="array" ref="P228">INDEX(F_Inputs!$G$4:$T$381,MATCH(Data!$B228&amp;Data!P$6,F_Inputs!$A$4:$A$381&amp;F_Inputs!$B$4:$B$381,0),MATCH(Data!$C228,F_Inputs!$G$2:$T$2,0))</f>
        <v>0</v>
      </c>
      <c r="Q228" s="139">
        <f t="array" ref="Q228">INDEX(F_Inputs!$G$4:$T$381,MATCH(Data!$B228&amp;Data!Q$6,F_Inputs!$A$4:$A$381&amp;F_Inputs!$B$4:$B$381,0),MATCH(Data!$C228,F_Inputs!$G$2:$T$2,0))</f>
        <v>0</v>
      </c>
      <c r="R228" s="139">
        <f t="array" ref="R228">INDEX(F_Inputs!$G$4:$T$381,MATCH(Data!$B228&amp;Data!R$6,F_Inputs!$A$4:$A$381&amp;F_Inputs!$B$4:$B$381,0),MATCH(Data!$C228,F_Inputs!$G$2:$T$2,0))</f>
        <v>0</v>
      </c>
      <c r="S228" s="139">
        <f t="array" ref="S228">INDEX(F_Inputs!$G$4:$T$381,MATCH(Data!$B228&amp;Data!S$6,F_Inputs!$A$4:$A$381&amp;F_Inputs!$B$4:$B$381,0),MATCH(Data!$C228,F_Inputs!$G$2:$T$2,0))</f>
        <v>0</v>
      </c>
      <c r="U228" s="139">
        <f t="array" ref="U228">INDEX(F_Inputs!$G$4:$T$381,MATCH(Data!$B228&amp;Data!U$6,F_Inputs!$A$4:$A$381&amp;F_Inputs!$B$4:$B$381,0),MATCH(Data!$C228,F_Inputs!$G$2:$T$2,0))</f>
        <v>0</v>
      </c>
      <c r="V228" s="139">
        <f t="array" ref="V228">INDEX(F_Inputs!$G$4:$T$381,MATCH(Data!$B228&amp;Data!V$6,F_Inputs!$A$4:$A$381&amp;F_Inputs!$B$4:$B$381,0),MATCH(Data!$C228,F_Inputs!$G$2:$T$2,0))</f>
        <v>0</v>
      </c>
      <c r="W228" s="139">
        <f t="array" ref="W228">INDEX(F_Inputs!$G$4:$T$381,MATCH(Data!$B228&amp;Data!W$6,F_Inputs!$A$4:$A$381&amp;F_Inputs!$B$4:$B$381,0),MATCH(Data!$C228,F_Inputs!$G$2:$T$2,0))</f>
        <v>0</v>
      </c>
    </row>
    <row r="229" spans="1:23" x14ac:dyDescent="0.2">
      <c r="A229" s="138" t="str">
        <f>B229&amp;RIGHT(C229,2)</f>
        <v>SES14</v>
      </c>
      <c r="B229" s="19" t="s">
        <v>40</v>
      </c>
      <c r="C229" s="143" t="s">
        <v>66</v>
      </c>
      <c r="D229" s="139">
        <f t="array" ref="D229">INDEX(F_Inputs!$G$4:$T$381,MATCH(Data!$B229&amp;Data!D$6,F_Inputs!$A$4:$A$381&amp;F_Inputs!$B$4:$B$381,0),MATCH(Data!$C229,F_Inputs!$G$2:$T$2,0))</f>
        <v>0.22196247464502999</v>
      </c>
      <c r="E229" s="139">
        <f t="array" ref="E229">INDEX(F_Inputs!$G$4:$T$381,MATCH(Data!$B229&amp;Data!E$6,F_Inputs!$A$4:$A$381&amp;F_Inputs!$B$4:$B$381,0),MATCH(Data!$C229,F_Inputs!$G$2:$T$2,0))</f>
        <v>5.2848208248816803E-3</v>
      </c>
      <c r="F229" s="139">
        <f t="array" ref="F229">INDEX(F_Inputs!$G$4:$T$381,MATCH(Data!$B229&amp;Data!F$6,F_Inputs!$A$4:$A$381&amp;F_Inputs!$B$4:$B$381,0),MATCH(Data!$C229,F_Inputs!$G$2:$T$2,0))</f>
        <v>0</v>
      </c>
      <c r="G229" s="139">
        <f t="array" ref="G229">INDEX(F_Inputs!$G$4:$T$381,MATCH(Data!$B229&amp;Data!G$6,F_Inputs!$A$4:$A$381&amp;F_Inputs!$B$4:$B$381,0),MATCH(Data!$C229,F_Inputs!$G$2:$T$2,0))</f>
        <v>0.66905831643002001</v>
      </c>
      <c r="I229" s="139">
        <f t="array" ref="I229">INDEX(F_Inputs!$G$4:$T$381,MATCH(Data!$B229&amp;Data!I$6,F_Inputs!$A$4:$A$381&amp;F_Inputs!$B$4:$B$381,0),MATCH(Data!$C229,F_Inputs!$G$2:$T$2,0))</f>
        <v>0</v>
      </c>
      <c r="J229" s="139">
        <f t="array" ref="J229">INDEX(F_Inputs!$G$4:$T$381,MATCH(Data!$B229&amp;Data!J$6,F_Inputs!$A$4:$A$381&amp;F_Inputs!$B$4:$B$381,0),MATCH(Data!$C229,F_Inputs!$G$2:$T$2,0))</f>
        <v>0</v>
      </c>
      <c r="K229" s="139">
        <f t="array" ref="K229">INDEX(F_Inputs!$G$4:$T$381,MATCH(Data!$B229&amp;Data!K$6,F_Inputs!$A$4:$A$381&amp;F_Inputs!$B$4:$B$381,0),MATCH(Data!$C229,F_Inputs!$G$2:$T$2,0))</f>
        <v>0</v>
      </c>
      <c r="L229" s="139">
        <f t="array" ref="L229">INDEX(F_Inputs!$G$4:$T$381,MATCH(Data!$B229&amp;Data!L$6,F_Inputs!$A$4:$A$381&amp;F_Inputs!$B$4:$B$381,0),MATCH(Data!$C229,F_Inputs!$G$2:$T$2,0))</f>
        <v>0</v>
      </c>
      <c r="N229" s="139">
        <f t="array" ref="N229">INDEX(F_Inputs!$G$4:$T$381,MATCH(Data!$B229&amp;Data!N$6,F_Inputs!$A$4:$A$381&amp;F_Inputs!$B$4:$B$381,0),MATCH(Data!$C229,F_Inputs!$G$2:$T$2,0))</f>
        <v>48.575959093982398</v>
      </c>
      <c r="O229" s="144"/>
      <c r="P229" s="139">
        <f t="array" ref="P229">INDEX(F_Inputs!$G$4:$T$381,MATCH(Data!$B229&amp;Data!P$6,F_Inputs!$A$4:$A$381&amp;F_Inputs!$B$4:$B$381,0),MATCH(Data!$C229,F_Inputs!$G$2:$T$2,0))</f>
        <v>0</v>
      </c>
      <c r="Q229" s="139">
        <f t="array" ref="Q229">INDEX(F_Inputs!$G$4:$T$381,MATCH(Data!$B229&amp;Data!Q$6,F_Inputs!$A$4:$A$381&amp;F_Inputs!$B$4:$B$381,0),MATCH(Data!$C229,F_Inputs!$G$2:$T$2,0))</f>
        <v>0</v>
      </c>
      <c r="R229" s="139">
        <f t="array" ref="R229">INDEX(F_Inputs!$G$4:$T$381,MATCH(Data!$B229&amp;Data!R$6,F_Inputs!$A$4:$A$381&amp;F_Inputs!$B$4:$B$381,0),MATCH(Data!$C229,F_Inputs!$G$2:$T$2,0))</f>
        <v>0</v>
      </c>
      <c r="S229" s="139">
        <f t="array" ref="S229">INDEX(F_Inputs!$G$4:$T$381,MATCH(Data!$B229&amp;Data!S$6,F_Inputs!$A$4:$A$381&amp;F_Inputs!$B$4:$B$381,0),MATCH(Data!$C229,F_Inputs!$G$2:$T$2,0))</f>
        <v>0</v>
      </c>
      <c r="U229" s="139">
        <f t="array" ref="U229">INDEX(F_Inputs!$G$4:$T$381,MATCH(Data!$B229&amp;Data!U$6,F_Inputs!$A$4:$A$381&amp;F_Inputs!$B$4:$B$381,0),MATCH(Data!$C229,F_Inputs!$G$2:$T$2,0))</f>
        <v>0</v>
      </c>
      <c r="V229" s="139">
        <f t="array" ref="V229">INDEX(F_Inputs!$G$4:$T$381,MATCH(Data!$B229&amp;Data!V$6,F_Inputs!$A$4:$A$381&amp;F_Inputs!$B$4:$B$381,0),MATCH(Data!$C229,F_Inputs!$G$2:$T$2,0))</f>
        <v>0</v>
      </c>
      <c r="W229" s="139">
        <f t="array" ref="W229">INDEX(F_Inputs!$G$4:$T$381,MATCH(Data!$B229&amp;Data!W$6,F_Inputs!$A$4:$A$381&amp;F_Inputs!$B$4:$B$381,0),MATCH(Data!$C229,F_Inputs!$G$2:$T$2,0))</f>
        <v>0</v>
      </c>
    </row>
    <row r="230" spans="1:23" x14ac:dyDescent="0.2">
      <c r="A230" s="138" t="str">
        <f>B230&amp;RIGHT(C230,2)</f>
        <v>SES15</v>
      </c>
      <c r="B230" s="19" t="s">
        <v>40</v>
      </c>
      <c r="C230" s="143" t="s">
        <v>67</v>
      </c>
      <c r="D230" s="139">
        <f t="array" ref="D230">INDEX(F_Inputs!$G$4:$T$381,MATCH(Data!$B230&amp;Data!D$6,F_Inputs!$A$4:$A$381&amp;F_Inputs!$B$4:$B$381,0),MATCH(Data!$C230,F_Inputs!$G$2:$T$2,0))</f>
        <v>1.35855268655469E-2</v>
      </c>
      <c r="E230" s="139">
        <f t="array" ref="E230">INDEX(F_Inputs!$G$4:$T$381,MATCH(Data!$B230&amp;Data!E$6,F_Inputs!$A$4:$A$381&amp;F_Inputs!$B$4:$B$381,0),MATCH(Data!$C230,F_Inputs!$G$2:$T$2,0))</f>
        <v>0</v>
      </c>
      <c r="F230" s="139">
        <f t="array" ref="F230">INDEX(F_Inputs!$G$4:$T$381,MATCH(Data!$B230&amp;Data!F$6,F_Inputs!$A$4:$A$381&amp;F_Inputs!$B$4:$B$381,0),MATCH(Data!$C230,F_Inputs!$G$2:$T$2,0))</f>
        <v>0</v>
      </c>
      <c r="G230" s="139">
        <f t="array" ref="G230">INDEX(F_Inputs!$G$4:$T$381,MATCH(Data!$B230&amp;Data!G$6,F_Inputs!$A$4:$A$381&amp;F_Inputs!$B$4:$B$381,0),MATCH(Data!$C230,F_Inputs!$G$2:$T$2,0))</f>
        <v>0.55805164201554303</v>
      </c>
      <c r="I230" s="139">
        <f t="array" ref="I230">INDEX(F_Inputs!$G$4:$T$381,MATCH(Data!$B230&amp;Data!I$6,F_Inputs!$A$4:$A$381&amp;F_Inputs!$B$4:$B$381,0),MATCH(Data!$C230,F_Inputs!$G$2:$T$2,0))</f>
        <v>0</v>
      </c>
      <c r="J230" s="139">
        <f t="array" ref="J230">INDEX(F_Inputs!$G$4:$T$381,MATCH(Data!$B230&amp;Data!J$6,F_Inputs!$A$4:$A$381&amp;F_Inputs!$B$4:$B$381,0),MATCH(Data!$C230,F_Inputs!$G$2:$T$2,0))</f>
        <v>0</v>
      </c>
      <c r="K230" s="139">
        <f t="array" ref="K230">INDEX(F_Inputs!$G$4:$T$381,MATCH(Data!$B230&amp;Data!K$6,F_Inputs!$A$4:$A$381&amp;F_Inputs!$B$4:$B$381,0),MATCH(Data!$C230,F_Inputs!$G$2:$T$2,0))</f>
        <v>0</v>
      </c>
      <c r="L230" s="139">
        <f t="array" ref="L230">INDEX(F_Inputs!$G$4:$T$381,MATCH(Data!$B230&amp;Data!L$6,F_Inputs!$A$4:$A$381&amp;F_Inputs!$B$4:$B$381,0),MATCH(Data!$C230,F_Inputs!$G$2:$T$2,0))</f>
        <v>0</v>
      </c>
      <c r="N230" s="139">
        <f t="array" ref="N230">INDEX(F_Inputs!$G$4:$T$381,MATCH(Data!$B230&amp;Data!N$6,F_Inputs!$A$4:$A$381&amp;F_Inputs!$B$4:$B$381,0),MATCH(Data!$C230,F_Inputs!$G$2:$T$2,0))</f>
        <v>46.034035263641698</v>
      </c>
      <c r="O230" s="144"/>
      <c r="P230" s="139">
        <f t="array" ref="P230">INDEX(F_Inputs!$G$4:$T$381,MATCH(Data!$B230&amp;Data!P$6,F_Inputs!$A$4:$A$381&amp;F_Inputs!$B$4:$B$381,0),MATCH(Data!$C230,F_Inputs!$G$2:$T$2,0))</f>
        <v>0</v>
      </c>
      <c r="Q230" s="139">
        <f t="array" ref="Q230">INDEX(F_Inputs!$G$4:$T$381,MATCH(Data!$B230&amp;Data!Q$6,F_Inputs!$A$4:$A$381&amp;F_Inputs!$B$4:$B$381,0),MATCH(Data!$C230,F_Inputs!$G$2:$T$2,0))</f>
        <v>0</v>
      </c>
      <c r="R230" s="139">
        <f t="array" ref="R230">INDEX(F_Inputs!$G$4:$T$381,MATCH(Data!$B230&amp;Data!R$6,F_Inputs!$A$4:$A$381&amp;F_Inputs!$B$4:$B$381,0),MATCH(Data!$C230,F_Inputs!$G$2:$T$2,0))</f>
        <v>0</v>
      </c>
      <c r="S230" s="139">
        <f t="array" ref="S230">INDEX(F_Inputs!$G$4:$T$381,MATCH(Data!$B230&amp;Data!S$6,F_Inputs!$A$4:$A$381&amp;F_Inputs!$B$4:$B$381,0),MATCH(Data!$C230,F_Inputs!$G$2:$T$2,0))</f>
        <v>0</v>
      </c>
      <c r="U230" s="139">
        <f t="array" ref="U230">INDEX(F_Inputs!$G$4:$T$381,MATCH(Data!$B230&amp;Data!U$6,F_Inputs!$A$4:$A$381&amp;F_Inputs!$B$4:$B$381,0),MATCH(Data!$C230,F_Inputs!$G$2:$T$2,0))</f>
        <v>0</v>
      </c>
      <c r="V230" s="139">
        <f t="array" ref="V230">INDEX(F_Inputs!$G$4:$T$381,MATCH(Data!$B230&amp;Data!V$6,F_Inputs!$A$4:$A$381&amp;F_Inputs!$B$4:$B$381,0),MATCH(Data!$C230,F_Inputs!$G$2:$T$2,0))</f>
        <v>0</v>
      </c>
      <c r="W230" s="139">
        <f t="array" ref="W230">INDEX(F_Inputs!$G$4:$T$381,MATCH(Data!$B230&amp;Data!W$6,F_Inputs!$A$4:$A$381&amp;F_Inputs!$B$4:$B$381,0),MATCH(Data!$C230,F_Inputs!$G$2:$T$2,0))</f>
        <v>0</v>
      </c>
    </row>
    <row r="231" spans="1:23" x14ac:dyDescent="0.2">
      <c r="A231" s="138" t="str">
        <f>B231&amp;RIGHT(C231,2)</f>
        <v>SES16</v>
      </c>
      <c r="B231" s="19" t="s">
        <v>40</v>
      </c>
      <c r="C231" s="143" t="s">
        <v>68</v>
      </c>
      <c r="D231" s="139">
        <f t="array" ref="D231">INDEX(F_Inputs!$G$4:$T$381,MATCH(Data!$B231&amp;Data!D$6,F_Inputs!$A$4:$A$381&amp;F_Inputs!$B$4:$B$381,0),MATCH(Data!$C231,F_Inputs!$G$2:$T$2,0))</f>
        <v>8.7396339434276202E-2</v>
      </c>
      <c r="E231" s="139">
        <f t="array" ref="E231">INDEX(F_Inputs!$G$4:$T$381,MATCH(Data!$B231&amp;Data!E$6,F_Inputs!$A$4:$A$381&amp;F_Inputs!$B$4:$B$381,0),MATCH(Data!$C231,F_Inputs!$G$2:$T$2,0))</f>
        <v>0</v>
      </c>
      <c r="F231" s="139">
        <f t="array" ref="F231">INDEX(F_Inputs!$G$4:$T$381,MATCH(Data!$B231&amp;Data!F$6,F_Inputs!$A$4:$A$381&amp;F_Inputs!$B$4:$B$381,0),MATCH(Data!$C231,F_Inputs!$G$2:$T$2,0))</f>
        <v>0</v>
      </c>
      <c r="G231" s="139">
        <f t="array" ref="G231">INDEX(F_Inputs!$G$4:$T$381,MATCH(Data!$B231&amp;Data!G$6,F_Inputs!$A$4:$A$381&amp;F_Inputs!$B$4:$B$381,0),MATCH(Data!$C231,F_Inputs!$G$2:$T$2,0))</f>
        <v>0.76575840266223005</v>
      </c>
      <c r="I231" s="139">
        <f t="array" ref="I231">INDEX(F_Inputs!$G$4:$T$381,MATCH(Data!$B231&amp;Data!I$6,F_Inputs!$A$4:$A$381&amp;F_Inputs!$B$4:$B$381,0),MATCH(Data!$C231,F_Inputs!$G$2:$T$2,0))</f>
        <v>0</v>
      </c>
      <c r="J231" s="139">
        <f t="array" ref="J231">INDEX(F_Inputs!$G$4:$T$381,MATCH(Data!$B231&amp;Data!J$6,F_Inputs!$A$4:$A$381&amp;F_Inputs!$B$4:$B$381,0),MATCH(Data!$C231,F_Inputs!$G$2:$T$2,0))</f>
        <v>0</v>
      </c>
      <c r="K231" s="139">
        <f t="array" ref="K231">INDEX(F_Inputs!$G$4:$T$381,MATCH(Data!$B231&amp;Data!K$6,F_Inputs!$A$4:$A$381&amp;F_Inputs!$B$4:$B$381,0),MATCH(Data!$C231,F_Inputs!$G$2:$T$2,0))</f>
        <v>0</v>
      </c>
      <c r="L231" s="139">
        <f t="array" ref="L231">INDEX(F_Inputs!$G$4:$T$381,MATCH(Data!$B231&amp;Data!L$6,F_Inputs!$A$4:$A$381&amp;F_Inputs!$B$4:$B$381,0),MATCH(Data!$C231,F_Inputs!$G$2:$T$2,0))</f>
        <v>0</v>
      </c>
      <c r="N231" s="139">
        <f t="array" ref="N231">INDEX(F_Inputs!$G$4:$T$381,MATCH(Data!$B231&amp;Data!N$6,F_Inputs!$A$4:$A$381&amp;F_Inputs!$B$4:$B$381,0),MATCH(Data!$C231,F_Inputs!$G$2:$T$2,0))</f>
        <v>44.751087520798698</v>
      </c>
      <c r="O231" s="144"/>
      <c r="P231" s="139">
        <f t="array" ref="P231">INDEX(F_Inputs!$G$4:$T$381,MATCH(Data!$B231&amp;Data!P$6,F_Inputs!$A$4:$A$381&amp;F_Inputs!$B$4:$B$381,0),MATCH(Data!$C231,F_Inputs!$G$2:$T$2,0))</f>
        <v>0</v>
      </c>
      <c r="Q231" s="139">
        <f t="array" ref="Q231">INDEX(F_Inputs!$G$4:$T$381,MATCH(Data!$B231&amp;Data!Q$6,F_Inputs!$A$4:$A$381&amp;F_Inputs!$B$4:$B$381,0),MATCH(Data!$C231,F_Inputs!$G$2:$T$2,0))</f>
        <v>0</v>
      </c>
      <c r="R231" s="139">
        <f t="array" ref="R231">INDEX(F_Inputs!$G$4:$T$381,MATCH(Data!$B231&amp;Data!R$6,F_Inputs!$A$4:$A$381&amp;F_Inputs!$B$4:$B$381,0),MATCH(Data!$C231,F_Inputs!$G$2:$T$2,0))</f>
        <v>0</v>
      </c>
      <c r="S231" s="139">
        <f t="array" ref="S231">INDEX(F_Inputs!$G$4:$T$381,MATCH(Data!$B231&amp;Data!S$6,F_Inputs!$A$4:$A$381&amp;F_Inputs!$B$4:$B$381,0),MATCH(Data!$C231,F_Inputs!$G$2:$T$2,0))</f>
        <v>0</v>
      </c>
      <c r="U231" s="139">
        <f t="array" ref="U231">INDEX(F_Inputs!$G$4:$T$381,MATCH(Data!$B231&amp;Data!U$6,F_Inputs!$A$4:$A$381&amp;F_Inputs!$B$4:$B$381,0),MATCH(Data!$C231,F_Inputs!$G$2:$T$2,0))</f>
        <v>0</v>
      </c>
      <c r="V231" s="139">
        <f t="array" ref="V231">INDEX(F_Inputs!$G$4:$T$381,MATCH(Data!$B231&amp;Data!V$6,F_Inputs!$A$4:$A$381&amp;F_Inputs!$B$4:$B$381,0),MATCH(Data!$C231,F_Inputs!$G$2:$T$2,0))</f>
        <v>0</v>
      </c>
      <c r="W231" s="139">
        <f t="array" ref="W231">INDEX(F_Inputs!$G$4:$T$381,MATCH(Data!$B231&amp;Data!W$6,F_Inputs!$A$4:$A$381&amp;F_Inputs!$B$4:$B$381,0),MATCH(Data!$C231,F_Inputs!$G$2:$T$2,0))</f>
        <v>0</v>
      </c>
    </row>
    <row r="232" spans="1:23" x14ac:dyDescent="0.2">
      <c r="A232" s="138" t="str">
        <f>B232&amp;RIGHT(C232,2)</f>
        <v>SES17</v>
      </c>
      <c r="B232" s="19" t="s">
        <v>40</v>
      </c>
      <c r="C232" s="143" t="s">
        <v>69</v>
      </c>
      <c r="D232" s="139">
        <f t="array" ref="D232">INDEX(F_Inputs!$G$4:$T$381,MATCH(Data!$B232&amp;Data!D$6,F_Inputs!$A$4:$A$381&amp;F_Inputs!$B$4:$B$381,0),MATCH(Data!$C232,F_Inputs!$G$2:$T$2,0))</f>
        <v>0</v>
      </c>
      <c r="E232" s="139">
        <f t="array" ref="E232">INDEX(F_Inputs!$G$4:$T$381,MATCH(Data!$B232&amp;Data!E$6,F_Inputs!$A$4:$A$381&amp;F_Inputs!$B$4:$B$381,0),MATCH(Data!$C232,F_Inputs!$G$2:$T$2,0))</f>
        <v>0</v>
      </c>
      <c r="F232" s="139">
        <f t="array" ref="F232">INDEX(F_Inputs!$G$4:$T$381,MATCH(Data!$B232&amp;Data!F$6,F_Inputs!$A$4:$A$381&amp;F_Inputs!$B$4:$B$381,0),MATCH(Data!$C232,F_Inputs!$G$2:$T$2,0))</f>
        <v>0</v>
      </c>
      <c r="G232" s="139">
        <f t="array" ref="G232">INDEX(F_Inputs!$G$4:$T$381,MATCH(Data!$B232&amp;Data!G$6,F_Inputs!$A$4:$A$381&amp;F_Inputs!$B$4:$B$381,0),MATCH(Data!$C232,F_Inputs!$G$2:$T$2,0))</f>
        <v>0.67122888797702096</v>
      </c>
      <c r="I232" s="139">
        <f t="array" ref="I232">INDEX(F_Inputs!$G$4:$T$381,MATCH(Data!$B232&amp;Data!I$6,F_Inputs!$A$4:$A$381&amp;F_Inputs!$B$4:$B$381,0),MATCH(Data!$C232,F_Inputs!$G$2:$T$2,0))</f>
        <v>0</v>
      </c>
      <c r="J232" s="139">
        <f t="array" ref="J232">INDEX(F_Inputs!$G$4:$T$381,MATCH(Data!$B232&amp;Data!J$6,F_Inputs!$A$4:$A$381&amp;F_Inputs!$B$4:$B$381,0),MATCH(Data!$C232,F_Inputs!$G$2:$T$2,0))</f>
        <v>0</v>
      </c>
      <c r="K232" s="139">
        <f t="array" ref="K232">INDEX(F_Inputs!$G$4:$T$381,MATCH(Data!$B232&amp;Data!K$6,F_Inputs!$A$4:$A$381&amp;F_Inputs!$B$4:$B$381,0),MATCH(Data!$C232,F_Inputs!$G$2:$T$2,0))</f>
        <v>0</v>
      </c>
      <c r="L232" s="139">
        <f t="array" ref="L232">INDEX(F_Inputs!$G$4:$T$381,MATCH(Data!$B232&amp;Data!L$6,F_Inputs!$A$4:$A$381&amp;F_Inputs!$B$4:$B$381,0),MATCH(Data!$C232,F_Inputs!$G$2:$T$2,0))</f>
        <v>0</v>
      </c>
      <c r="N232" s="139">
        <f t="array" ref="N232">INDEX(F_Inputs!$G$4:$T$381,MATCH(Data!$B232&amp;Data!N$6,F_Inputs!$A$4:$A$381&amp;F_Inputs!$B$4:$B$381,0),MATCH(Data!$C232,F_Inputs!$G$2:$T$2,0))</f>
        <v>49.336349610176299</v>
      </c>
      <c r="O232" s="144"/>
      <c r="P232" s="139">
        <f t="array" ref="P232">INDEX(F_Inputs!$G$4:$T$381,MATCH(Data!$B232&amp;Data!P$6,F_Inputs!$A$4:$A$381&amp;F_Inputs!$B$4:$B$381,0),MATCH(Data!$C232,F_Inputs!$G$2:$T$2,0))</f>
        <v>0</v>
      </c>
      <c r="Q232" s="139">
        <f t="array" ref="Q232">INDEX(F_Inputs!$G$4:$T$381,MATCH(Data!$B232&amp;Data!Q$6,F_Inputs!$A$4:$A$381&amp;F_Inputs!$B$4:$B$381,0),MATCH(Data!$C232,F_Inputs!$G$2:$T$2,0))</f>
        <v>0</v>
      </c>
      <c r="R232" s="139">
        <f t="array" ref="R232">INDEX(F_Inputs!$G$4:$T$381,MATCH(Data!$B232&amp;Data!R$6,F_Inputs!$A$4:$A$381&amp;F_Inputs!$B$4:$B$381,0),MATCH(Data!$C232,F_Inputs!$G$2:$T$2,0))</f>
        <v>0</v>
      </c>
      <c r="S232" s="139">
        <f t="array" ref="S232">INDEX(F_Inputs!$G$4:$T$381,MATCH(Data!$B232&amp;Data!S$6,F_Inputs!$A$4:$A$381&amp;F_Inputs!$B$4:$B$381,0),MATCH(Data!$C232,F_Inputs!$G$2:$T$2,0))</f>
        <v>0</v>
      </c>
      <c r="U232" s="139">
        <f t="array" ref="U232">INDEX(F_Inputs!$G$4:$T$381,MATCH(Data!$B232&amp;Data!U$6,F_Inputs!$A$4:$A$381&amp;F_Inputs!$B$4:$B$381,0),MATCH(Data!$C232,F_Inputs!$G$2:$T$2,0))</f>
        <v>0</v>
      </c>
      <c r="V232" s="139">
        <f t="array" ref="V232">INDEX(F_Inputs!$G$4:$T$381,MATCH(Data!$B232&amp;Data!V$6,F_Inputs!$A$4:$A$381&amp;F_Inputs!$B$4:$B$381,0),MATCH(Data!$C232,F_Inputs!$G$2:$T$2,0))</f>
        <v>0</v>
      </c>
      <c r="W232" s="139">
        <f t="array" ref="W232">INDEX(F_Inputs!$G$4:$T$381,MATCH(Data!$B232&amp;Data!W$6,F_Inputs!$A$4:$A$381&amp;F_Inputs!$B$4:$B$381,0),MATCH(Data!$C232,F_Inputs!$G$2:$T$2,0))</f>
        <v>0</v>
      </c>
    </row>
    <row r="233" spans="1:23" x14ac:dyDescent="0.2">
      <c r="A233" s="141" t="s">
        <v>262</v>
      </c>
      <c r="B233" s="142" t="s">
        <v>40</v>
      </c>
      <c r="C233" s="142" t="s">
        <v>70</v>
      </c>
      <c r="D233" s="139">
        <f t="array" ref="D233">INDEX(F_Inputs!$G$4:$T$381,MATCH(Data!$B233&amp;Data!D$6,F_Inputs!$A$4:$A$381&amp;F_Inputs!$B$4:$B$381,0),MATCH(Data!$C233,F_Inputs!$G$2:$T$2,0))</f>
        <v>0</v>
      </c>
      <c r="E233" s="139">
        <f t="array" ref="E233">INDEX(F_Inputs!$G$4:$T$381,MATCH(Data!$B233&amp;Data!E$6,F_Inputs!$A$4:$A$381&amp;F_Inputs!$B$4:$B$381,0),MATCH(Data!$C233,F_Inputs!$G$2:$T$2,0))</f>
        <v>0</v>
      </c>
      <c r="F233" s="139">
        <f t="array" ref="F233">INDEX(F_Inputs!$G$4:$T$381,MATCH(Data!$B233&amp;Data!F$6,F_Inputs!$A$4:$A$381&amp;F_Inputs!$B$4:$B$381,0),MATCH(Data!$C233,F_Inputs!$G$2:$T$2,0))</f>
        <v>0</v>
      </c>
      <c r="G233" s="139">
        <f t="array" ref="G233">INDEX(F_Inputs!$G$4:$T$381,MATCH(Data!$B233&amp;Data!G$6,F_Inputs!$A$4:$A$381&amp;F_Inputs!$B$4:$B$381,0),MATCH(Data!$C233,F_Inputs!$G$2:$T$2,0))</f>
        <v>1.1739999999999999</v>
      </c>
      <c r="I233" s="139">
        <f t="array" ref="I233">INDEX(F_Inputs!$G$4:$T$381,MATCH(Data!$B233&amp;Data!I$6,F_Inputs!$A$4:$A$381&amp;F_Inputs!$B$4:$B$381,0),MATCH(Data!$C233,F_Inputs!$G$2:$T$2,0))</f>
        <v>0</v>
      </c>
      <c r="J233" s="139">
        <f t="array" ref="J233">INDEX(F_Inputs!$G$4:$T$381,MATCH(Data!$B233&amp;Data!J$6,F_Inputs!$A$4:$A$381&amp;F_Inputs!$B$4:$B$381,0),MATCH(Data!$C233,F_Inputs!$G$2:$T$2,0))</f>
        <v>0</v>
      </c>
      <c r="K233" s="139">
        <f t="array" ref="K233">INDEX(F_Inputs!$G$4:$T$381,MATCH(Data!$B233&amp;Data!K$6,F_Inputs!$A$4:$A$381&amp;F_Inputs!$B$4:$B$381,0),MATCH(Data!$C233,F_Inputs!$G$2:$T$2,0))</f>
        <v>0</v>
      </c>
      <c r="L233" s="139">
        <f t="array" ref="L233">INDEX(F_Inputs!$G$4:$T$381,MATCH(Data!$B233&amp;Data!L$6,F_Inputs!$A$4:$A$381&amp;F_Inputs!$B$4:$B$381,0),MATCH(Data!$C233,F_Inputs!$G$2:$T$2,0))</f>
        <v>0</v>
      </c>
      <c r="N233" s="139">
        <f t="array" ref="N233">INDEX(F_Inputs!$G$4:$T$381,MATCH(Data!$B233&amp;Data!N$6,F_Inputs!$A$4:$A$381&amp;F_Inputs!$B$4:$B$381,0),MATCH(Data!$C233,F_Inputs!$G$2:$T$2,0))</f>
        <v>51.204999999999998</v>
      </c>
      <c r="O233" s="144"/>
      <c r="P233" s="139">
        <f t="array" ref="P233">INDEX(F_Inputs!$G$4:$T$381,MATCH(Data!$B233&amp;Data!P$6,F_Inputs!$A$4:$A$381&amp;F_Inputs!$B$4:$B$381,0),MATCH(Data!$C233,F_Inputs!$G$2:$T$2,0))</f>
        <v>0</v>
      </c>
      <c r="Q233" s="139">
        <f t="array" ref="Q233">INDEX(F_Inputs!$G$4:$T$381,MATCH(Data!$B233&amp;Data!Q$6,F_Inputs!$A$4:$A$381&amp;F_Inputs!$B$4:$B$381,0),MATCH(Data!$C233,F_Inputs!$G$2:$T$2,0))</f>
        <v>0</v>
      </c>
      <c r="R233" s="139">
        <f t="array" ref="R233">INDEX(F_Inputs!$G$4:$T$381,MATCH(Data!$B233&amp;Data!R$6,F_Inputs!$A$4:$A$381&amp;F_Inputs!$B$4:$B$381,0),MATCH(Data!$C233,F_Inputs!$G$2:$T$2,0))</f>
        <v>0</v>
      </c>
      <c r="S233" s="139">
        <f t="array" ref="S233">INDEX(F_Inputs!$G$4:$T$381,MATCH(Data!$B233&amp;Data!S$6,F_Inputs!$A$4:$A$381&amp;F_Inputs!$B$4:$B$381,0),MATCH(Data!$C233,F_Inputs!$G$2:$T$2,0))</f>
        <v>0</v>
      </c>
      <c r="U233" s="139">
        <f t="array" ref="U233">INDEX(F_Inputs!$G$4:$T$381,MATCH(Data!$B233&amp;Data!U$6,F_Inputs!$A$4:$A$381&amp;F_Inputs!$B$4:$B$381,0),MATCH(Data!$C233,F_Inputs!$G$2:$T$2,0))</f>
        <v>24.16</v>
      </c>
      <c r="V233" s="139">
        <f t="array" ref="V233">INDEX(F_Inputs!$G$4:$T$381,MATCH(Data!$B233&amp;Data!V$6,F_Inputs!$A$4:$A$381&amp;F_Inputs!$B$4:$B$381,0),MATCH(Data!$C233,F_Inputs!$G$2:$T$2,0))</f>
        <v>3481</v>
      </c>
      <c r="W233" s="139">
        <f t="array" ref="W233">INDEX(F_Inputs!$G$4:$T$381,MATCH(Data!$B233&amp;Data!W$6,F_Inputs!$A$4:$A$381&amp;F_Inputs!$B$4:$B$381,0),MATCH(Data!$C233,F_Inputs!$G$2:$T$2,0))</f>
        <v>291.35199999999998</v>
      </c>
    </row>
    <row r="234" spans="1:23" x14ac:dyDescent="0.2">
      <c r="A234" s="141" t="s">
        <v>263</v>
      </c>
      <c r="B234" s="142" t="s">
        <v>40</v>
      </c>
      <c r="C234" s="142" t="s">
        <v>71</v>
      </c>
      <c r="D234" s="139">
        <f t="array" ref="D234">INDEX(F_Inputs!$G$4:$T$381,MATCH(Data!$B234&amp;Data!D$6,F_Inputs!$A$4:$A$381&amp;F_Inputs!$B$4:$B$381,0),MATCH(Data!$C234,F_Inputs!$G$2:$T$2,0))</f>
        <v>0</v>
      </c>
      <c r="E234" s="139">
        <f t="array" ref="E234">INDEX(F_Inputs!$G$4:$T$381,MATCH(Data!$B234&amp;Data!E$6,F_Inputs!$A$4:$A$381&amp;F_Inputs!$B$4:$B$381,0),MATCH(Data!$C234,F_Inputs!$G$2:$T$2,0))</f>
        <v>0</v>
      </c>
      <c r="F234" s="139">
        <f t="array" ref="F234">INDEX(F_Inputs!$G$4:$T$381,MATCH(Data!$B234&amp;Data!F$6,F_Inputs!$A$4:$A$381&amp;F_Inputs!$B$4:$B$381,0),MATCH(Data!$C234,F_Inputs!$G$2:$T$2,0))</f>
        <v>0</v>
      </c>
      <c r="G234" s="139">
        <f t="array" ref="G234">INDEX(F_Inputs!$G$4:$T$381,MATCH(Data!$B234&amp;Data!G$6,F_Inputs!$A$4:$A$381&amp;F_Inputs!$B$4:$B$381,0),MATCH(Data!$C234,F_Inputs!$G$2:$T$2,0))</f>
        <v>0</v>
      </c>
      <c r="I234" s="139">
        <f t="array" ref="I234">INDEX(F_Inputs!$G$4:$T$381,MATCH(Data!$B234&amp;Data!I$6,F_Inputs!$A$4:$A$381&amp;F_Inputs!$B$4:$B$381,0),MATCH(Data!$C234,F_Inputs!$G$2:$T$2,0))</f>
        <v>0</v>
      </c>
      <c r="J234" s="139">
        <f t="array" ref="J234">INDEX(F_Inputs!$G$4:$T$381,MATCH(Data!$B234&amp;Data!J$6,F_Inputs!$A$4:$A$381&amp;F_Inputs!$B$4:$B$381,0),MATCH(Data!$C234,F_Inputs!$G$2:$T$2,0))</f>
        <v>0</v>
      </c>
      <c r="K234" s="139">
        <f t="array" ref="K234">INDEX(F_Inputs!$G$4:$T$381,MATCH(Data!$B234&amp;Data!K$6,F_Inputs!$A$4:$A$381&amp;F_Inputs!$B$4:$B$381,0),MATCH(Data!$C234,F_Inputs!$G$2:$T$2,0))</f>
        <v>0</v>
      </c>
      <c r="L234" s="139">
        <f t="array" ref="L234">INDEX(F_Inputs!$G$4:$T$381,MATCH(Data!$B234&amp;Data!L$6,F_Inputs!$A$4:$A$381&amp;F_Inputs!$B$4:$B$381,0),MATCH(Data!$C234,F_Inputs!$G$2:$T$2,0))</f>
        <v>0</v>
      </c>
      <c r="N234" s="139">
        <f t="array" ref="N234">INDEX(F_Inputs!$G$4:$T$381,MATCH(Data!$B234&amp;Data!N$6,F_Inputs!$A$4:$A$381&amp;F_Inputs!$B$4:$B$381,0),MATCH(Data!$C234,F_Inputs!$G$2:$T$2,0))</f>
        <v>52.362464734827803</v>
      </c>
      <c r="O234" s="144"/>
      <c r="P234" s="139">
        <f t="array" ref="P234">INDEX(F_Inputs!$G$4:$T$381,MATCH(Data!$B234&amp;Data!P$6,F_Inputs!$A$4:$A$381&amp;F_Inputs!$B$4:$B$381,0),MATCH(Data!$C234,F_Inputs!$G$2:$T$2,0))</f>
        <v>0</v>
      </c>
      <c r="Q234" s="139">
        <f t="array" ref="Q234">INDEX(F_Inputs!$G$4:$T$381,MATCH(Data!$B234&amp;Data!Q$6,F_Inputs!$A$4:$A$381&amp;F_Inputs!$B$4:$B$381,0),MATCH(Data!$C234,F_Inputs!$G$2:$T$2,0))</f>
        <v>0</v>
      </c>
      <c r="R234" s="139">
        <f t="array" ref="R234">INDEX(F_Inputs!$G$4:$T$381,MATCH(Data!$B234&amp;Data!R$6,F_Inputs!$A$4:$A$381&amp;F_Inputs!$B$4:$B$381,0),MATCH(Data!$C234,F_Inputs!$G$2:$T$2,0))</f>
        <v>0</v>
      </c>
      <c r="S234" s="139">
        <f t="array" ref="S234">INDEX(F_Inputs!$G$4:$T$381,MATCH(Data!$B234&amp;Data!S$6,F_Inputs!$A$4:$A$381&amp;F_Inputs!$B$4:$B$381,0),MATCH(Data!$C234,F_Inputs!$G$2:$T$2,0))</f>
        <v>0</v>
      </c>
      <c r="U234" s="139">
        <f t="array" ref="U234">INDEX(F_Inputs!$G$4:$T$381,MATCH(Data!$B234&amp;Data!U$6,F_Inputs!$A$4:$A$381&amp;F_Inputs!$B$4:$B$381,0),MATCH(Data!$C234,F_Inputs!$G$2:$T$2,0))</f>
        <v>24.1</v>
      </c>
      <c r="V234" s="139">
        <f t="array" ref="V234">INDEX(F_Inputs!$G$4:$T$381,MATCH(Data!$B234&amp;Data!V$6,F_Inputs!$A$4:$A$381&amp;F_Inputs!$B$4:$B$381,0),MATCH(Data!$C234,F_Inputs!$G$2:$T$2,0))</f>
        <v>3497</v>
      </c>
      <c r="W234" s="139">
        <f t="array" ref="W234">INDEX(F_Inputs!$G$4:$T$381,MATCH(Data!$B234&amp;Data!W$6,F_Inputs!$A$4:$A$381&amp;F_Inputs!$B$4:$B$381,0),MATCH(Data!$C234,F_Inputs!$G$2:$T$2,0))</f>
        <v>295.036</v>
      </c>
    </row>
    <row r="235" spans="1:23" x14ac:dyDescent="0.2">
      <c r="A235" s="141" t="s">
        <v>264</v>
      </c>
      <c r="B235" s="142" t="s">
        <v>40</v>
      </c>
      <c r="C235" s="142" t="s">
        <v>72</v>
      </c>
      <c r="D235" s="139">
        <f t="array" ref="D235">INDEX(F_Inputs!$G$4:$T$381,MATCH(Data!$B235&amp;Data!D$6,F_Inputs!$A$4:$A$381&amp;F_Inputs!$B$4:$B$381,0),MATCH(Data!$C235,F_Inputs!$G$2:$T$2,0))</f>
        <v>0</v>
      </c>
      <c r="E235" s="139">
        <f t="array" ref="E235">INDEX(F_Inputs!$G$4:$T$381,MATCH(Data!$B235&amp;Data!E$6,F_Inputs!$A$4:$A$381&amp;F_Inputs!$B$4:$B$381,0),MATCH(Data!$C235,F_Inputs!$G$2:$T$2,0))</f>
        <v>0</v>
      </c>
      <c r="F235" s="139">
        <f t="array" ref="F235">INDEX(F_Inputs!$G$4:$T$381,MATCH(Data!$B235&amp;Data!F$6,F_Inputs!$A$4:$A$381&amp;F_Inputs!$B$4:$B$381,0),MATCH(Data!$C235,F_Inputs!$G$2:$T$2,0))</f>
        <v>0</v>
      </c>
      <c r="G235" s="139">
        <f t="array" ref="G235">INDEX(F_Inputs!$G$4:$T$381,MATCH(Data!$B235&amp;Data!G$6,F_Inputs!$A$4:$A$381&amp;F_Inputs!$B$4:$B$381,0),MATCH(Data!$C235,F_Inputs!$G$2:$T$2,0))</f>
        <v>0</v>
      </c>
      <c r="I235" s="139">
        <f t="array" ref="I235">INDEX(F_Inputs!$G$4:$T$381,MATCH(Data!$B235&amp;Data!I$6,F_Inputs!$A$4:$A$381&amp;F_Inputs!$B$4:$B$381,0),MATCH(Data!$C235,F_Inputs!$G$2:$T$2,0))</f>
        <v>0</v>
      </c>
      <c r="J235" s="139">
        <f t="array" ref="J235">INDEX(F_Inputs!$G$4:$T$381,MATCH(Data!$B235&amp;Data!J$6,F_Inputs!$A$4:$A$381&amp;F_Inputs!$B$4:$B$381,0),MATCH(Data!$C235,F_Inputs!$G$2:$T$2,0))</f>
        <v>0</v>
      </c>
      <c r="K235" s="139">
        <f t="array" ref="K235">INDEX(F_Inputs!$G$4:$T$381,MATCH(Data!$B235&amp;Data!K$6,F_Inputs!$A$4:$A$381&amp;F_Inputs!$B$4:$B$381,0),MATCH(Data!$C235,F_Inputs!$G$2:$T$2,0))</f>
        <v>0</v>
      </c>
      <c r="L235" s="139">
        <f t="array" ref="L235">INDEX(F_Inputs!$G$4:$T$381,MATCH(Data!$B235&amp;Data!L$6,F_Inputs!$A$4:$A$381&amp;F_Inputs!$B$4:$B$381,0),MATCH(Data!$C235,F_Inputs!$G$2:$T$2,0))</f>
        <v>0</v>
      </c>
      <c r="N235" s="139">
        <f t="array" ref="N235">INDEX(F_Inputs!$G$4:$T$381,MATCH(Data!$B235&amp;Data!N$6,F_Inputs!$A$4:$A$381&amp;F_Inputs!$B$4:$B$381,0),MATCH(Data!$C235,F_Inputs!$G$2:$T$2,0))</f>
        <v>53.710573791836097</v>
      </c>
      <c r="O235" s="144"/>
      <c r="P235" s="139">
        <f t="array" ref="P235">INDEX(F_Inputs!$G$4:$T$381,MATCH(Data!$B235&amp;Data!P$6,F_Inputs!$A$4:$A$381&amp;F_Inputs!$B$4:$B$381,0),MATCH(Data!$C235,F_Inputs!$G$2:$T$2,0))</f>
        <v>0</v>
      </c>
      <c r="Q235" s="139">
        <f t="array" ref="Q235">INDEX(F_Inputs!$G$4:$T$381,MATCH(Data!$B235&amp;Data!Q$6,F_Inputs!$A$4:$A$381&amp;F_Inputs!$B$4:$B$381,0),MATCH(Data!$C235,F_Inputs!$G$2:$T$2,0))</f>
        <v>0</v>
      </c>
      <c r="R235" s="139">
        <f t="array" ref="R235">INDEX(F_Inputs!$G$4:$T$381,MATCH(Data!$B235&amp;Data!R$6,F_Inputs!$A$4:$A$381&amp;F_Inputs!$B$4:$B$381,0),MATCH(Data!$C235,F_Inputs!$G$2:$T$2,0))</f>
        <v>0</v>
      </c>
      <c r="S235" s="139">
        <f t="array" ref="S235">INDEX(F_Inputs!$G$4:$T$381,MATCH(Data!$B235&amp;Data!S$6,F_Inputs!$A$4:$A$381&amp;F_Inputs!$B$4:$B$381,0),MATCH(Data!$C235,F_Inputs!$G$2:$T$2,0))</f>
        <v>0</v>
      </c>
      <c r="U235" s="139">
        <f t="array" ref="U235">INDEX(F_Inputs!$G$4:$T$381,MATCH(Data!$B235&amp;Data!U$6,F_Inputs!$A$4:$A$381&amp;F_Inputs!$B$4:$B$381,0),MATCH(Data!$C235,F_Inputs!$G$2:$T$2,0))</f>
        <v>24</v>
      </c>
      <c r="V235" s="139">
        <f t="array" ref="V235">INDEX(F_Inputs!$G$4:$T$381,MATCH(Data!$B235&amp;Data!V$6,F_Inputs!$A$4:$A$381&amp;F_Inputs!$B$4:$B$381,0),MATCH(Data!$C235,F_Inputs!$G$2:$T$2,0))</f>
        <v>3504</v>
      </c>
      <c r="W235" s="139">
        <f t="array" ref="W235">INDEX(F_Inputs!$G$4:$T$381,MATCH(Data!$B235&amp;Data!W$6,F_Inputs!$A$4:$A$381&amp;F_Inputs!$B$4:$B$381,0),MATCH(Data!$C235,F_Inputs!$G$2:$T$2,0))</f>
        <v>297.0915</v>
      </c>
    </row>
    <row r="236" spans="1:23" x14ac:dyDescent="0.2">
      <c r="A236" s="141" t="s">
        <v>265</v>
      </c>
      <c r="B236" s="142" t="s">
        <v>40</v>
      </c>
      <c r="C236" s="142" t="s">
        <v>73</v>
      </c>
      <c r="D236" s="139">
        <f t="array" ref="D236">INDEX(F_Inputs!$G$4:$T$381,MATCH(Data!$B236&amp;Data!D$6,F_Inputs!$A$4:$A$381&amp;F_Inputs!$B$4:$B$381,0),MATCH(Data!$C236,F_Inputs!$G$2:$T$2,0))</f>
        <v>0</v>
      </c>
      <c r="E236" s="139">
        <f t="array" ref="E236">INDEX(F_Inputs!$G$4:$T$381,MATCH(Data!$B236&amp;Data!E$6,F_Inputs!$A$4:$A$381&amp;F_Inputs!$B$4:$B$381,0),MATCH(Data!$C236,F_Inputs!$G$2:$T$2,0))</f>
        <v>0</v>
      </c>
      <c r="F236" s="139">
        <f t="array" ref="F236">INDEX(F_Inputs!$G$4:$T$381,MATCH(Data!$B236&amp;Data!F$6,F_Inputs!$A$4:$A$381&amp;F_Inputs!$B$4:$B$381,0),MATCH(Data!$C236,F_Inputs!$G$2:$T$2,0))</f>
        <v>0</v>
      </c>
      <c r="G236" s="139">
        <f t="array" ref="G236">INDEX(F_Inputs!$G$4:$T$381,MATCH(Data!$B236&amp;Data!G$6,F_Inputs!$A$4:$A$381&amp;F_Inputs!$B$4:$B$381,0),MATCH(Data!$C236,F_Inputs!$G$2:$T$2,0))</f>
        <v>0</v>
      </c>
      <c r="I236" s="139">
        <f t="array" ref="I236">INDEX(F_Inputs!$G$4:$T$381,MATCH(Data!$B236&amp;Data!I$6,F_Inputs!$A$4:$A$381&amp;F_Inputs!$B$4:$B$381,0),MATCH(Data!$C236,F_Inputs!$G$2:$T$2,0))</f>
        <v>0</v>
      </c>
      <c r="J236" s="139">
        <f t="array" ref="J236">INDEX(F_Inputs!$G$4:$T$381,MATCH(Data!$B236&amp;Data!J$6,F_Inputs!$A$4:$A$381&amp;F_Inputs!$B$4:$B$381,0),MATCH(Data!$C236,F_Inputs!$G$2:$T$2,0))</f>
        <v>0</v>
      </c>
      <c r="K236" s="139">
        <f t="array" ref="K236">INDEX(F_Inputs!$G$4:$T$381,MATCH(Data!$B236&amp;Data!K$6,F_Inputs!$A$4:$A$381&amp;F_Inputs!$B$4:$B$381,0),MATCH(Data!$C236,F_Inputs!$G$2:$T$2,0))</f>
        <v>0</v>
      </c>
      <c r="L236" s="139">
        <f t="array" ref="L236">INDEX(F_Inputs!$G$4:$T$381,MATCH(Data!$B236&amp;Data!L$6,F_Inputs!$A$4:$A$381&amp;F_Inputs!$B$4:$B$381,0),MATCH(Data!$C236,F_Inputs!$G$2:$T$2,0))</f>
        <v>0.53900000000000003</v>
      </c>
      <c r="N236" s="139">
        <f t="array" ref="N236">INDEX(F_Inputs!$G$4:$T$381,MATCH(Data!$B236&amp;Data!N$6,F_Inputs!$A$4:$A$381&amp;F_Inputs!$B$4:$B$381,0),MATCH(Data!$C236,F_Inputs!$G$2:$T$2,0))</f>
        <v>52.777000000000001</v>
      </c>
      <c r="O236" s="144"/>
      <c r="P236" s="139">
        <f t="array" ref="P236">INDEX(F_Inputs!$G$4:$T$381,MATCH(Data!$B236&amp;Data!P$6,F_Inputs!$A$4:$A$381&amp;F_Inputs!$B$4:$B$381,0),MATCH(Data!$C236,F_Inputs!$G$2:$T$2,0))</f>
        <v>0</v>
      </c>
      <c r="Q236" s="139">
        <f t="array" ref="Q236">INDEX(F_Inputs!$G$4:$T$381,MATCH(Data!$B236&amp;Data!Q$6,F_Inputs!$A$4:$A$381&amp;F_Inputs!$B$4:$B$381,0),MATCH(Data!$C236,F_Inputs!$G$2:$T$2,0))</f>
        <v>0</v>
      </c>
      <c r="R236" s="139">
        <f t="array" ref="R236">INDEX(F_Inputs!$G$4:$T$381,MATCH(Data!$B236&amp;Data!R$6,F_Inputs!$A$4:$A$381&amp;F_Inputs!$B$4:$B$381,0),MATCH(Data!$C236,F_Inputs!$G$2:$T$2,0))</f>
        <v>1.72</v>
      </c>
      <c r="S236" s="139">
        <f t="array" ref="S236">INDEX(F_Inputs!$G$4:$T$381,MATCH(Data!$B236&amp;Data!S$6,F_Inputs!$A$4:$A$381&amp;F_Inputs!$B$4:$B$381,0),MATCH(Data!$C236,F_Inputs!$G$2:$T$2,0))</f>
        <v>1.72</v>
      </c>
      <c r="U236" s="139">
        <f t="array" ref="U236">INDEX(F_Inputs!$G$4:$T$381,MATCH(Data!$B236&amp;Data!U$6,F_Inputs!$A$4:$A$381&amp;F_Inputs!$B$4:$B$381,0),MATCH(Data!$C236,F_Inputs!$G$2:$T$2,0))</f>
        <v>23.3</v>
      </c>
      <c r="V236" s="139">
        <f t="array" ref="V236">INDEX(F_Inputs!$G$4:$T$381,MATCH(Data!$B236&amp;Data!V$6,F_Inputs!$A$4:$A$381&amp;F_Inputs!$B$4:$B$381,0),MATCH(Data!$C236,F_Inputs!$G$2:$T$2,0))</f>
        <v>3511</v>
      </c>
      <c r="W236" s="139">
        <f t="array" ref="W236">INDEX(F_Inputs!$G$4:$T$381,MATCH(Data!$B236&amp;Data!W$6,F_Inputs!$A$4:$A$381&amp;F_Inputs!$B$4:$B$381,0),MATCH(Data!$C236,F_Inputs!$G$2:$T$2,0))</f>
        <v>299.07400000000001</v>
      </c>
    </row>
    <row r="237" spans="1:23" x14ac:dyDescent="0.2">
      <c r="A237" s="141" t="s">
        <v>266</v>
      </c>
      <c r="B237" s="142" t="s">
        <v>40</v>
      </c>
      <c r="C237" s="142" t="s">
        <v>74</v>
      </c>
      <c r="D237" s="139">
        <f t="array" ref="D237">INDEX(F_Inputs!$G$4:$T$381,MATCH(Data!$B237&amp;Data!D$6,F_Inputs!$A$4:$A$381&amp;F_Inputs!$B$4:$B$381,0),MATCH(Data!$C237,F_Inputs!$G$2:$T$2,0))</f>
        <v>0</v>
      </c>
      <c r="E237" s="139">
        <f t="array" ref="E237">INDEX(F_Inputs!$G$4:$T$381,MATCH(Data!$B237&amp;Data!E$6,F_Inputs!$A$4:$A$381&amp;F_Inputs!$B$4:$B$381,0),MATCH(Data!$C237,F_Inputs!$G$2:$T$2,0))</f>
        <v>0</v>
      </c>
      <c r="F237" s="139">
        <f t="array" ref="F237">INDEX(F_Inputs!$G$4:$T$381,MATCH(Data!$B237&amp;Data!F$6,F_Inputs!$A$4:$A$381&amp;F_Inputs!$B$4:$B$381,0),MATCH(Data!$C237,F_Inputs!$G$2:$T$2,0))</f>
        <v>0</v>
      </c>
      <c r="G237" s="139">
        <f t="array" ref="G237">INDEX(F_Inputs!$G$4:$T$381,MATCH(Data!$B237&amp;Data!G$6,F_Inputs!$A$4:$A$381&amp;F_Inputs!$B$4:$B$381,0),MATCH(Data!$C237,F_Inputs!$G$2:$T$2,0))</f>
        <v>0</v>
      </c>
      <c r="I237" s="139">
        <f t="array" ref="I237">INDEX(F_Inputs!$G$4:$T$381,MATCH(Data!$B237&amp;Data!I$6,F_Inputs!$A$4:$A$381&amp;F_Inputs!$B$4:$B$381,0),MATCH(Data!$C237,F_Inputs!$G$2:$T$2,0))</f>
        <v>0</v>
      </c>
      <c r="J237" s="139">
        <f t="array" ref="J237">INDEX(F_Inputs!$G$4:$T$381,MATCH(Data!$B237&amp;Data!J$6,F_Inputs!$A$4:$A$381&amp;F_Inputs!$B$4:$B$381,0),MATCH(Data!$C237,F_Inputs!$G$2:$T$2,0))</f>
        <v>0</v>
      </c>
      <c r="K237" s="139">
        <f t="array" ref="K237">INDEX(F_Inputs!$G$4:$T$381,MATCH(Data!$B237&amp;Data!K$6,F_Inputs!$A$4:$A$381&amp;F_Inputs!$B$4:$B$381,0),MATCH(Data!$C237,F_Inputs!$G$2:$T$2,0))</f>
        <v>0</v>
      </c>
      <c r="L237" s="139">
        <f t="array" ref="L237">INDEX(F_Inputs!$G$4:$T$381,MATCH(Data!$B237&amp;Data!L$6,F_Inputs!$A$4:$A$381&amp;F_Inputs!$B$4:$B$381,0),MATCH(Data!$C237,F_Inputs!$G$2:$T$2,0))</f>
        <v>0.52900000000000003</v>
      </c>
      <c r="N237" s="139">
        <f t="array" ref="N237">INDEX(F_Inputs!$G$4:$T$381,MATCH(Data!$B237&amp;Data!N$6,F_Inputs!$A$4:$A$381&amp;F_Inputs!$B$4:$B$381,0),MATCH(Data!$C237,F_Inputs!$G$2:$T$2,0))</f>
        <v>57.543999999999997</v>
      </c>
      <c r="O237" s="144"/>
      <c r="P237" s="139">
        <f t="array" ref="P237">INDEX(F_Inputs!$G$4:$T$381,MATCH(Data!$B237&amp;Data!P$6,F_Inputs!$A$4:$A$381&amp;F_Inputs!$B$4:$B$381,0),MATCH(Data!$C237,F_Inputs!$G$2:$T$2,0))</f>
        <v>0</v>
      </c>
      <c r="Q237" s="139">
        <f t="array" ref="Q237">INDEX(F_Inputs!$G$4:$T$381,MATCH(Data!$B237&amp;Data!Q$6,F_Inputs!$A$4:$A$381&amp;F_Inputs!$B$4:$B$381,0),MATCH(Data!$C237,F_Inputs!$G$2:$T$2,0))</f>
        <v>0</v>
      </c>
      <c r="R237" s="139">
        <f t="array" ref="R237">INDEX(F_Inputs!$G$4:$T$381,MATCH(Data!$B237&amp;Data!R$6,F_Inputs!$A$4:$A$381&amp;F_Inputs!$B$4:$B$381,0),MATCH(Data!$C237,F_Inputs!$G$2:$T$2,0))</f>
        <v>1.73</v>
      </c>
      <c r="S237" s="139">
        <f t="array" ref="S237">INDEX(F_Inputs!$G$4:$T$381,MATCH(Data!$B237&amp;Data!S$6,F_Inputs!$A$4:$A$381&amp;F_Inputs!$B$4:$B$381,0),MATCH(Data!$C237,F_Inputs!$G$2:$T$2,0))</f>
        <v>1.73</v>
      </c>
      <c r="U237" s="139">
        <f t="array" ref="U237">INDEX(F_Inputs!$G$4:$T$381,MATCH(Data!$B237&amp;Data!U$6,F_Inputs!$A$4:$A$381&amp;F_Inputs!$B$4:$B$381,0),MATCH(Data!$C237,F_Inputs!$G$2:$T$2,0))</f>
        <v>22.6</v>
      </c>
      <c r="V237" s="139">
        <f t="array" ref="V237">INDEX(F_Inputs!$G$4:$T$381,MATCH(Data!$B237&amp;Data!V$6,F_Inputs!$A$4:$A$381&amp;F_Inputs!$B$4:$B$381,0),MATCH(Data!$C237,F_Inputs!$G$2:$T$2,0))</f>
        <v>3518</v>
      </c>
      <c r="W237" s="139">
        <f t="array" ref="W237">INDEX(F_Inputs!$G$4:$T$381,MATCH(Data!$B237&amp;Data!W$6,F_Inputs!$A$4:$A$381&amp;F_Inputs!$B$4:$B$381,0),MATCH(Data!$C237,F_Inputs!$G$2:$T$2,0))</f>
        <v>301.15050000000002</v>
      </c>
    </row>
    <row r="238" spans="1:23" x14ac:dyDescent="0.2">
      <c r="A238" s="141" t="s">
        <v>267</v>
      </c>
      <c r="B238" s="142" t="s">
        <v>40</v>
      </c>
      <c r="C238" s="142" t="s">
        <v>75</v>
      </c>
      <c r="D238" s="139">
        <f t="array" ref="D238">INDEX(F_Inputs!$G$4:$T$381,MATCH(Data!$B238&amp;Data!D$6,F_Inputs!$A$4:$A$381&amp;F_Inputs!$B$4:$B$381,0),MATCH(Data!$C238,F_Inputs!$G$2:$T$2,0))</f>
        <v>0</v>
      </c>
      <c r="E238" s="139">
        <f t="array" ref="E238">INDEX(F_Inputs!$G$4:$T$381,MATCH(Data!$B238&amp;Data!E$6,F_Inputs!$A$4:$A$381&amp;F_Inputs!$B$4:$B$381,0),MATCH(Data!$C238,F_Inputs!$G$2:$T$2,0))</f>
        <v>0</v>
      </c>
      <c r="F238" s="139">
        <f t="array" ref="F238">INDEX(F_Inputs!$G$4:$T$381,MATCH(Data!$B238&amp;Data!F$6,F_Inputs!$A$4:$A$381&amp;F_Inputs!$B$4:$B$381,0),MATCH(Data!$C238,F_Inputs!$G$2:$T$2,0))</f>
        <v>0</v>
      </c>
      <c r="G238" s="139">
        <f t="array" ref="G238">INDEX(F_Inputs!$G$4:$T$381,MATCH(Data!$B238&amp;Data!G$6,F_Inputs!$A$4:$A$381&amp;F_Inputs!$B$4:$B$381,0),MATCH(Data!$C238,F_Inputs!$G$2:$T$2,0))</f>
        <v>0</v>
      </c>
      <c r="I238" s="139">
        <f t="array" ref="I238">INDEX(F_Inputs!$G$4:$T$381,MATCH(Data!$B238&amp;Data!I$6,F_Inputs!$A$4:$A$381&amp;F_Inputs!$B$4:$B$381,0),MATCH(Data!$C238,F_Inputs!$G$2:$T$2,0))</f>
        <v>0</v>
      </c>
      <c r="J238" s="139">
        <f t="array" ref="J238">INDEX(F_Inputs!$G$4:$T$381,MATCH(Data!$B238&amp;Data!J$6,F_Inputs!$A$4:$A$381&amp;F_Inputs!$B$4:$B$381,0),MATCH(Data!$C238,F_Inputs!$G$2:$T$2,0))</f>
        <v>0</v>
      </c>
      <c r="K238" s="139">
        <f t="array" ref="K238">INDEX(F_Inputs!$G$4:$T$381,MATCH(Data!$B238&amp;Data!K$6,F_Inputs!$A$4:$A$381&amp;F_Inputs!$B$4:$B$381,0),MATCH(Data!$C238,F_Inputs!$G$2:$T$2,0))</f>
        <v>0</v>
      </c>
      <c r="L238" s="139">
        <f t="array" ref="L238">INDEX(F_Inputs!$G$4:$T$381,MATCH(Data!$B238&amp;Data!L$6,F_Inputs!$A$4:$A$381&amp;F_Inputs!$B$4:$B$381,0),MATCH(Data!$C238,F_Inputs!$G$2:$T$2,0))</f>
        <v>0.51800000000000002</v>
      </c>
      <c r="N238" s="139">
        <f t="array" ref="N238">INDEX(F_Inputs!$G$4:$T$381,MATCH(Data!$B238&amp;Data!N$6,F_Inputs!$A$4:$A$381&amp;F_Inputs!$B$4:$B$381,0),MATCH(Data!$C238,F_Inputs!$G$2:$T$2,0))</f>
        <v>52.131</v>
      </c>
      <c r="O238" s="144"/>
      <c r="P238" s="139">
        <f t="array" ref="P238">INDEX(F_Inputs!$G$4:$T$381,MATCH(Data!$B238&amp;Data!P$6,F_Inputs!$A$4:$A$381&amp;F_Inputs!$B$4:$B$381,0),MATCH(Data!$C238,F_Inputs!$G$2:$T$2,0))</f>
        <v>0</v>
      </c>
      <c r="Q238" s="139">
        <f t="array" ref="Q238">INDEX(F_Inputs!$G$4:$T$381,MATCH(Data!$B238&amp;Data!Q$6,F_Inputs!$A$4:$A$381&amp;F_Inputs!$B$4:$B$381,0),MATCH(Data!$C238,F_Inputs!$G$2:$T$2,0))</f>
        <v>0</v>
      </c>
      <c r="R238" s="139">
        <f t="array" ref="R238">INDEX(F_Inputs!$G$4:$T$381,MATCH(Data!$B238&amp;Data!R$6,F_Inputs!$A$4:$A$381&amp;F_Inputs!$B$4:$B$381,0),MATCH(Data!$C238,F_Inputs!$G$2:$T$2,0))</f>
        <v>1.73</v>
      </c>
      <c r="S238" s="139">
        <f t="array" ref="S238">INDEX(F_Inputs!$G$4:$T$381,MATCH(Data!$B238&amp;Data!S$6,F_Inputs!$A$4:$A$381&amp;F_Inputs!$B$4:$B$381,0),MATCH(Data!$C238,F_Inputs!$G$2:$T$2,0))</f>
        <v>1.73</v>
      </c>
      <c r="U238" s="139">
        <f t="array" ref="U238">INDEX(F_Inputs!$G$4:$T$381,MATCH(Data!$B238&amp;Data!U$6,F_Inputs!$A$4:$A$381&amp;F_Inputs!$B$4:$B$381,0),MATCH(Data!$C238,F_Inputs!$G$2:$T$2,0))</f>
        <v>21.8</v>
      </c>
      <c r="V238" s="139">
        <f t="array" ref="V238">INDEX(F_Inputs!$G$4:$T$381,MATCH(Data!$B238&amp;Data!V$6,F_Inputs!$A$4:$A$381&amp;F_Inputs!$B$4:$B$381,0),MATCH(Data!$C238,F_Inputs!$G$2:$T$2,0))</f>
        <v>3528</v>
      </c>
      <c r="W238" s="139">
        <f t="array" ref="W238">INDEX(F_Inputs!$G$4:$T$381,MATCH(Data!$B238&amp;Data!W$6,F_Inputs!$A$4:$A$381&amp;F_Inputs!$B$4:$B$381,0),MATCH(Data!$C238,F_Inputs!$G$2:$T$2,0))</f>
        <v>303.33749999999998</v>
      </c>
    </row>
    <row r="239" spans="1:23" x14ac:dyDescent="0.2">
      <c r="A239" s="141" t="s">
        <v>268</v>
      </c>
      <c r="B239" s="142" t="s">
        <v>40</v>
      </c>
      <c r="C239" s="142" t="s">
        <v>76</v>
      </c>
      <c r="D239" s="139">
        <f t="array" ref="D239">INDEX(F_Inputs!$G$4:$T$381,MATCH(Data!$B239&amp;Data!D$6,F_Inputs!$A$4:$A$381&amp;F_Inputs!$B$4:$B$381,0),MATCH(Data!$C239,F_Inputs!$G$2:$T$2,0))</f>
        <v>0</v>
      </c>
      <c r="E239" s="139">
        <f t="array" ref="E239">INDEX(F_Inputs!$G$4:$T$381,MATCH(Data!$B239&amp;Data!E$6,F_Inputs!$A$4:$A$381&amp;F_Inputs!$B$4:$B$381,0),MATCH(Data!$C239,F_Inputs!$G$2:$T$2,0))</f>
        <v>0</v>
      </c>
      <c r="F239" s="139">
        <f t="array" ref="F239">INDEX(F_Inputs!$G$4:$T$381,MATCH(Data!$B239&amp;Data!F$6,F_Inputs!$A$4:$A$381&amp;F_Inputs!$B$4:$B$381,0),MATCH(Data!$C239,F_Inputs!$G$2:$T$2,0))</f>
        <v>0</v>
      </c>
      <c r="G239" s="139">
        <f t="array" ref="G239">INDEX(F_Inputs!$G$4:$T$381,MATCH(Data!$B239&amp;Data!G$6,F_Inputs!$A$4:$A$381&amp;F_Inputs!$B$4:$B$381,0),MATCH(Data!$C239,F_Inputs!$G$2:$T$2,0))</f>
        <v>0</v>
      </c>
      <c r="I239" s="139">
        <f t="array" ref="I239">INDEX(F_Inputs!$G$4:$T$381,MATCH(Data!$B239&amp;Data!I$6,F_Inputs!$A$4:$A$381&amp;F_Inputs!$B$4:$B$381,0),MATCH(Data!$C239,F_Inputs!$G$2:$T$2,0))</f>
        <v>0</v>
      </c>
      <c r="J239" s="139">
        <f t="array" ref="J239">INDEX(F_Inputs!$G$4:$T$381,MATCH(Data!$B239&amp;Data!J$6,F_Inputs!$A$4:$A$381&amp;F_Inputs!$B$4:$B$381,0),MATCH(Data!$C239,F_Inputs!$G$2:$T$2,0))</f>
        <v>0</v>
      </c>
      <c r="K239" s="139">
        <f t="array" ref="K239">INDEX(F_Inputs!$G$4:$T$381,MATCH(Data!$B239&amp;Data!K$6,F_Inputs!$A$4:$A$381&amp;F_Inputs!$B$4:$B$381,0),MATCH(Data!$C239,F_Inputs!$G$2:$T$2,0))</f>
        <v>0</v>
      </c>
      <c r="L239" s="139">
        <f t="array" ref="L239">INDEX(F_Inputs!$G$4:$T$381,MATCH(Data!$B239&amp;Data!L$6,F_Inputs!$A$4:$A$381&amp;F_Inputs!$B$4:$B$381,0),MATCH(Data!$C239,F_Inputs!$G$2:$T$2,0))</f>
        <v>0.50700000000000001</v>
      </c>
      <c r="N239" s="139">
        <f t="array" ref="N239">INDEX(F_Inputs!$G$4:$T$381,MATCH(Data!$B239&amp;Data!N$6,F_Inputs!$A$4:$A$381&amp;F_Inputs!$B$4:$B$381,0),MATCH(Data!$C239,F_Inputs!$G$2:$T$2,0))</f>
        <v>46.371000000000002</v>
      </c>
      <c r="O239" s="144"/>
      <c r="P239" s="139">
        <f t="array" ref="P239">INDEX(F_Inputs!$G$4:$T$381,MATCH(Data!$B239&amp;Data!P$6,F_Inputs!$A$4:$A$381&amp;F_Inputs!$B$4:$B$381,0),MATCH(Data!$C239,F_Inputs!$G$2:$T$2,0))</f>
        <v>0</v>
      </c>
      <c r="Q239" s="139">
        <f t="array" ref="Q239">INDEX(F_Inputs!$G$4:$T$381,MATCH(Data!$B239&amp;Data!Q$6,F_Inputs!$A$4:$A$381&amp;F_Inputs!$B$4:$B$381,0),MATCH(Data!$C239,F_Inputs!$G$2:$T$2,0))</f>
        <v>0</v>
      </c>
      <c r="R239" s="139">
        <f t="array" ref="R239">INDEX(F_Inputs!$G$4:$T$381,MATCH(Data!$B239&amp;Data!R$6,F_Inputs!$A$4:$A$381&amp;F_Inputs!$B$4:$B$381,0),MATCH(Data!$C239,F_Inputs!$G$2:$T$2,0))</f>
        <v>1.73</v>
      </c>
      <c r="S239" s="139">
        <f t="array" ref="S239">INDEX(F_Inputs!$G$4:$T$381,MATCH(Data!$B239&amp;Data!S$6,F_Inputs!$A$4:$A$381&amp;F_Inputs!$B$4:$B$381,0),MATCH(Data!$C239,F_Inputs!$G$2:$T$2,0))</f>
        <v>1.73</v>
      </c>
      <c r="U239" s="139">
        <f t="array" ref="U239">INDEX(F_Inputs!$G$4:$T$381,MATCH(Data!$B239&amp;Data!U$6,F_Inputs!$A$4:$A$381&amp;F_Inputs!$B$4:$B$381,0),MATCH(Data!$C239,F_Inputs!$G$2:$T$2,0))</f>
        <v>21.1</v>
      </c>
      <c r="V239" s="139">
        <f t="array" ref="V239">INDEX(F_Inputs!$G$4:$T$381,MATCH(Data!$B239&amp;Data!V$6,F_Inputs!$A$4:$A$381&amp;F_Inputs!$B$4:$B$381,0),MATCH(Data!$C239,F_Inputs!$G$2:$T$2,0))</f>
        <v>3536</v>
      </c>
      <c r="W239" s="139">
        <f t="array" ref="W239">INDEX(F_Inputs!$G$4:$T$381,MATCH(Data!$B239&amp;Data!W$6,F_Inputs!$A$4:$A$381&amp;F_Inputs!$B$4:$B$381,0),MATCH(Data!$C239,F_Inputs!$G$2:$T$2,0))</f>
        <v>305.58350000000002</v>
      </c>
    </row>
    <row r="240" spans="1:23" x14ac:dyDescent="0.2">
      <c r="A240" s="141" t="s">
        <v>269</v>
      </c>
      <c r="B240" s="142" t="s">
        <v>40</v>
      </c>
      <c r="C240" s="142" t="s">
        <v>24</v>
      </c>
      <c r="D240" s="139">
        <f t="array" ref="D240">INDEX(F_Inputs!$G$4:$T$381,MATCH(Data!$B240&amp;Data!D$6,F_Inputs!$A$4:$A$381&amp;F_Inputs!$B$4:$B$381,0),MATCH(Data!$C240,F_Inputs!$G$2:$T$2,0))</f>
        <v>0</v>
      </c>
      <c r="E240" s="139">
        <f t="array" ref="E240">INDEX(F_Inputs!$G$4:$T$381,MATCH(Data!$B240&amp;Data!E$6,F_Inputs!$A$4:$A$381&amp;F_Inputs!$B$4:$B$381,0),MATCH(Data!$C240,F_Inputs!$G$2:$T$2,0))</f>
        <v>0</v>
      </c>
      <c r="F240" s="139">
        <f t="array" ref="F240">INDEX(F_Inputs!$G$4:$T$381,MATCH(Data!$B240&amp;Data!F$6,F_Inputs!$A$4:$A$381&amp;F_Inputs!$B$4:$B$381,0),MATCH(Data!$C240,F_Inputs!$G$2:$T$2,0))</f>
        <v>0</v>
      </c>
      <c r="G240" s="139">
        <f t="array" ref="G240">INDEX(F_Inputs!$G$4:$T$381,MATCH(Data!$B240&amp;Data!G$6,F_Inputs!$A$4:$A$381&amp;F_Inputs!$B$4:$B$381,0),MATCH(Data!$C240,F_Inputs!$G$2:$T$2,0))</f>
        <v>0</v>
      </c>
      <c r="I240" s="139">
        <f t="array" ref="I240">INDEX(F_Inputs!$G$4:$T$381,MATCH(Data!$B240&amp;Data!I$6,F_Inputs!$A$4:$A$381&amp;F_Inputs!$B$4:$B$381,0),MATCH(Data!$C240,F_Inputs!$G$2:$T$2,0))</f>
        <v>0</v>
      </c>
      <c r="J240" s="139">
        <f t="array" ref="J240">INDEX(F_Inputs!$G$4:$T$381,MATCH(Data!$B240&amp;Data!J$6,F_Inputs!$A$4:$A$381&amp;F_Inputs!$B$4:$B$381,0),MATCH(Data!$C240,F_Inputs!$G$2:$T$2,0))</f>
        <v>0</v>
      </c>
      <c r="K240" s="139">
        <f t="array" ref="K240">INDEX(F_Inputs!$G$4:$T$381,MATCH(Data!$B240&amp;Data!K$6,F_Inputs!$A$4:$A$381&amp;F_Inputs!$B$4:$B$381,0),MATCH(Data!$C240,F_Inputs!$G$2:$T$2,0))</f>
        <v>0</v>
      </c>
      <c r="L240" s="139">
        <f t="array" ref="L240">INDEX(F_Inputs!$G$4:$T$381,MATCH(Data!$B240&amp;Data!L$6,F_Inputs!$A$4:$A$381&amp;F_Inputs!$B$4:$B$381,0),MATCH(Data!$C240,F_Inputs!$G$2:$T$2,0))</f>
        <v>0.496</v>
      </c>
      <c r="N240" s="139">
        <f t="array" ref="N240">INDEX(F_Inputs!$G$4:$T$381,MATCH(Data!$B240&amp;Data!N$6,F_Inputs!$A$4:$A$381&amp;F_Inputs!$B$4:$B$381,0),MATCH(Data!$C240,F_Inputs!$G$2:$T$2,0))</f>
        <v>45.345999999999997</v>
      </c>
      <c r="O240" s="144"/>
      <c r="P240" s="139">
        <f t="array" ref="P240">INDEX(F_Inputs!$G$4:$T$381,MATCH(Data!$B240&amp;Data!P$6,F_Inputs!$A$4:$A$381&amp;F_Inputs!$B$4:$B$381,0),MATCH(Data!$C240,F_Inputs!$G$2:$T$2,0))</f>
        <v>0</v>
      </c>
      <c r="Q240" s="139">
        <f t="array" ref="Q240">INDEX(F_Inputs!$G$4:$T$381,MATCH(Data!$B240&amp;Data!Q$6,F_Inputs!$A$4:$A$381&amp;F_Inputs!$B$4:$B$381,0),MATCH(Data!$C240,F_Inputs!$G$2:$T$2,0))</f>
        <v>0</v>
      </c>
      <c r="R240" s="139">
        <f t="array" ref="R240">INDEX(F_Inputs!$G$4:$T$381,MATCH(Data!$B240&amp;Data!R$6,F_Inputs!$A$4:$A$381&amp;F_Inputs!$B$4:$B$381,0),MATCH(Data!$C240,F_Inputs!$G$2:$T$2,0))</f>
        <v>1.73</v>
      </c>
      <c r="S240" s="139">
        <f t="array" ref="S240">INDEX(F_Inputs!$G$4:$T$381,MATCH(Data!$B240&amp;Data!S$6,F_Inputs!$A$4:$A$381&amp;F_Inputs!$B$4:$B$381,0),MATCH(Data!$C240,F_Inputs!$G$2:$T$2,0))</f>
        <v>1.73</v>
      </c>
      <c r="U240" s="139">
        <f t="array" ref="U240">INDEX(F_Inputs!$G$4:$T$381,MATCH(Data!$B240&amp;Data!U$6,F_Inputs!$A$4:$A$381&amp;F_Inputs!$B$4:$B$381,0),MATCH(Data!$C240,F_Inputs!$G$2:$T$2,0))</f>
        <v>20.399999999999999</v>
      </c>
      <c r="V240" s="139">
        <f t="array" ref="V240">INDEX(F_Inputs!$G$4:$T$381,MATCH(Data!$B240&amp;Data!V$6,F_Inputs!$A$4:$A$381&amp;F_Inputs!$B$4:$B$381,0),MATCH(Data!$C240,F_Inputs!$G$2:$T$2,0))</f>
        <v>3544</v>
      </c>
      <c r="W240" s="139">
        <f t="array" ref="W240">INDEX(F_Inputs!$G$4:$T$381,MATCH(Data!$B240&amp;Data!W$6,F_Inputs!$A$4:$A$381&amp;F_Inputs!$B$4:$B$381,0),MATCH(Data!$C240,F_Inputs!$G$2:$T$2,0))</f>
        <v>308.04450000000003</v>
      </c>
    </row>
    <row r="241" spans="1:23" x14ac:dyDescent="0.2">
      <c r="A241" s="138" t="str">
        <f t="shared" ref="A241" si="14">B241&amp;RIGHT(C241,2)</f>
        <v>SEW12</v>
      </c>
      <c r="B241" s="19" t="s">
        <v>38</v>
      </c>
      <c r="C241" s="143" t="s">
        <v>64</v>
      </c>
      <c r="D241" s="139">
        <f t="array" ref="D241">INDEX(F_Inputs!$G$4:$T$381,MATCH(Data!$B241&amp;Data!D$6,F_Inputs!$A$4:$A$381&amp;F_Inputs!$B$4:$B$381,0),MATCH(Data!$C241,F_Inputs!$G$2:$T$2,0))</f>
        <v>0.92935813378103704</v>
      </c>
      <c r="E241" s="139">
        <f t="array" ref="E241">INDEX(F_Inputs!$G$4:$T$381,MATCH(Data!$B241&amp;Data!E$6,F_Inputs!$A$4:$A$381&amp;F_Inputs!$B$4:$B$381,0),MATCH(Data!$C241,F_Inputs!$G$2:$T$2,0))</f>
        <v>0.92935813378103704</v>
      </c>
      <c r="F241" s="139">
        <f t="array" ref="F241">INDEX(F_Inputs!$G$4:$T$381,MATCH(Data!$B241&amp;Data!F$6,F_Inputs!$A$4:$A$381&amp;F_Inputs!$B$4:$B$381,0),MATCH(Data!$C241,F_Inputs!$G$2:$T$2,0))</f>
        <v>7.8945713528320196</v>
      </c>
      <c r="G241" s="139">
        <f t="array" ref="G241">INDEX(F_Inputs!$G$4:$T$381,MATCH(Data!$B241&amp;Data!G$6,F_Inputs!$A$4:$A$381&amp;F_Inputs!$B$4:$B$381,0),MATCH(Data!$C241,F_Inputs!$G$2:$T$2,0))</f>
        <v>7.8945713528320196</v>
      </c>
      <c r="I241" s="139">
        <f t="array" ref="I241">INDEX(F_Inputs!$G$4:$T$381,MATCH(Data!$B241&amp;Data!I$6,F_Inputs!$A$4:$A$381&amp;F_Inputs!$B$4:$B$381,0),MATCH(Data!$C241,F_Inputs!$G$2:$T$2,0))</f>
        <v>0</v>
      </c>
      <c r="J241" s="139">
        <f t="array" ref="J241">INDEX(F_Inputs!$G$4:$T$381,MATCH(Data!$B241&amp;Data!J$6,F_Inputs!$A$4:$A$381&amp;F_Inputs!$B$4:$B$381,0),MATCH(Data!$C241,F_Inputs!$G$2:$T$2,0))</f>
        <v>0</v>
      </c>
      <c r="K241" s="139">
        <f t="array" ref="K241">INDEX(F_Inputs!$G$4:$T$381,MATCH(Data!$B241&amp;Data!K$6,F_Inputs!$A$4:$A$381&amp;F_Inputs!$B$4:$B$381,0),MATCH(Data!$C241,F_Inputs!$G$2:$T$2,0))</f>
        <v>0</v>
      </c>
      <c r="L241" s="139">
        <f t="array" ref="L241">INDEX(F_Inputs!$G$4:$T$381,MATCH(Data!$B241&amp;Data!L$6,F_Inputs!$A$4:$A$381&amp;F_Inputs!$B$4:$B$381,0),MATCH(Data!$C241,F_Inputs!$G$2:$T$2,0))</f>
        <v>0</v>
      </c>
      <c r="N241" s="139">
        <f t="array" ref="N241">INDEX(F_Inputs!$G$4:$T$381,MATCH(Data!$B241&amp;Data!N$6,F_Inputs!$A$4:$A$381&amp;F_Inputs!$B$4:$B$381,0),MATCH(Data!$C241,F_Inputs!$G$2:$T$2,0))</f>
        <v>158.04521792575699</v>
      </c>
      <c r="O241" s="144"/>
      <c r="P241" s="139">
        <f t="array" ref="P241">INDEX(F_Inputs!$G$4:$T$381,MATCH(Data!$B241&amp;Data!P$6,F_Inputs!$A$4:$A$381&amp;F_Inputs!$B$4:$B$381,0),MATCH(Data!$C241,F_Inputs!$G$2:$T$2,0))</f>
        <v>0</v>
      </c>
      <c r="Q241" s="139">
        <f t="array" ref="Q241">INDEX(F_Inputs!$G$4:$T$381,MATCH(Data!$B241&amp;Data!Q$6,F_Inputs!$A$4:$A$381&amp;F_Inputs!$B$4:$B$381,0),MATCH(Data!$C241,F_Inputs!$G$2:$T$2,0))</f>
        <v>0</v>
      </c>
      <c r="R241" s="139">
        <f t="array" ref="R241">INDEX(F_Inputs!$G$4:$T$381,MATCH(Data!$B241&amp;Data!R$6,F_Inputs!$A$4:$A$381&amp;F_Inputs!$B$4:$B$381,0),MATCH(Data!$C241,F_Inputs!$G$2:$T$2,0))</f>
        <v>0</v>
      </c>
      <c r="S241" s="139">
        <f t="array" ref="S241">INDEX(F_Inputs!$G$4:$T$381,MATCH(Data!$B241&amp;Data!S$6,F_Inputs!$A$4:$A$381&amp;F_Inputs!$B$4:$B$381,0),MATCH(Data!$C241,F_Inputs!$G$2:$T$2,0))</f>
        <v>0</v>
      </c>
      <c r="U241" s="139">
        <f t="array" ref="U241">INDEX(F_Inputs!$G$4:$T$381,MATCH(Data!$B241&amp;Data!U$6,F_Inputs!$A$4:$A$381&amp;F_Inputs!$B$4:$B$381,0),MATCH(Data!$C241,F_Inputs!$G$2:$T$2,0))</f>
        <v>0</v>
      </c>
      <c r="V241" s="139">
        <f t="array" ref="V241">INDEX(F_Inputs!$G$4:$T$381,MATCH(Data!$B241&amp;Data!V$6,F_Inputs!$A$4:$A$381&amp;F_Inputs!$B$4:$B$381,0),MATCH(Data!$C241,F_Inputs!$G$2:$T$2,0))</f>
        <v>0</v>
      </c>
      <c r="W241" s="139">
        <f t="array" ref="W241">INDEX(F_Inputs!$G$4:$T$381,MATCH(Data!$B241&amp;Data!W$6,F_Inputs!$A$4:$A$381&amp;F_Inputs!$B$4:$B$381,0),MATCH(Data!$C241,F_Inputs!$G$2:$T$2,0))</f>
        <v>0</v>
      </c>
    </row>
    <row r="242" spans="1:23" x14ac:dyDescent="0.2">
      <c r="A242" s="138" t="str">
        <f>B242&amp;RIGHT(C242,2)</f>
        <v>SEW13</v>
      </c>
      <c r="B242" s="19" t="s">
        <v>38</v>
      </c>
      <c r="C242" s="143" t="s">
        <v>65</v>
      </c>
      <c r="D242" s="139">
        <f t="array" ref="D242">INDEX(F_Inputs!$G$4:$T$381,MATCH(Data!$B242&amp;Data!D$6,F_Inputs!$A$4:$A$381&amp;F_Inputs!$B$4:$B$381,0),MATCH(Data!$C242,F_Inputs!$G$2:$T$2,0))</f>
        <v>2.6824776531492698</v>
      </c>
      <c r="E242" s="139">
        <f t="array" ref="E242">INDEX(F_Inputs!$G$4:$T$381,MATCH(Data!$B242&amp;Data!E$6,F_Inputs!$A$4:$A$381&amp;F_Inputs!$B$4:$B$381,0),MATCH(Data!$C242,F_Inputs!$G$2:$T$2,0))</f>
        <v>0</v>
      </c>
      <c r="F242" s="139">
        <f t="array" ref="F242">INDEX(F_Inputs!$G$4:$T$381,MATCH(Data!$B242&amp;Data!F$6,F_Inputs!$A$4:$A$381&amp;F_Inputs!$B$4:$B$381,0),MATCH(Data!$C242,F_Inputs!$G$2:$T$2,0))</f>
        <v>14.7137028472821</v>
      </c>
      <c r="G242" s="139">
        <f t="array" ref="G242">INDEX(F_Inputs!$G$4:$T$381,MATCH(Data!$B242&amp;Data!G$6,F_Inputs!$A$4:$A$381&amp;F_Inputs!$B$4:$B$381,0),MATCH(Data!$C242,F_Inputs!$G$2:$T$2,0))</f>
        <v>0</v>
      </c>
      <c r="I242" s="139">
        <f t="array" ref="I242">INDEX(F_Inputs!$G$4:$T$381,MATCH(Data!$B242&amp;Data!I$6,F_Inputs!$A$4:$A$381&amp;F_Inputs!$B$4:$B$381,0),MATCH(Data!$C242,F_Inputs!$G$2:$T$2,0))</f>
        <v>0</v>
      </c>
      <c r="J242" s="139">
        <f t="array" ref="J242">INDEX(F_Inputs!$G$4:$T$381,MATCH(Data!$B242&amp;Data!J$6,F_Inputs!$A$4:$A$381&amp;F_Inputs!$B$4:$B$381,0),MATCH(Data!$C242,F_Inputs!$G$2:$T$2,0))</f>
        <v>0</v>
      </c>
      <c r="K242" s="139">
        <f t="array" ref="K242">INDEX(F_Inputs!$G$4:$T$381,MATCH(Data!$B242&amp;Data!K$6,F_Inputs!$A$4:$A$381&amp;F_Inputs!$B$4:$B$381,0),MATCH(Data!$C242,F_Inputs!$G$2:$T$2,0))</f>
        <v>0</v>
      </c>
      <c r="L242" s="139">
        <f t="array" ref="L242">INDEX(F_Inputs!$G$4:$T$381,MATCH(Data!$B242&amp;Data!L$6,F_Inputs!$A$4:$A$381&amp;F_Inputs!$B$4:$B$381,0),MATCH(Data!$C242,F_Inputs!$G$2:$T$2,0))</f>
        <v>0</v>
      </c>
      <c r="N242" s="139">
        <f t="array" ref="N242">INDEX(F_Inputs!$G$4:$T$381,MATCH(Data!$B242&amp;Data!N$6,F_Inputs!$A$4:$A$381&amp;F_Inputs!$B$4:$B$381,0),MATCH(Data!$C242,F_Inputs!$G$2:$T$2,0))</f>
        <v>166.43308353634899</v>
      </c>
      <c r="O242" s="144"/>
      <c r="P242" s="139">
        <f t="array" ref="P242">INDEX(F_Inputs!$G$4:$T$381,MATCH(Data!$B242&amp;Data!P$6,F_Inputs!$A$4:$A$381&amp;F_Inputs!$B$4:$B$381,0),MATCH(Data!$C242,F_Inputs!$G$2:$T$2,0))</f>
        <v>0</v>
      </c>
      <c r="Q242" s="139">
        <f t="array" ref="Q242">INDEX(F_Inputs!$G$4:$T$381,MATCH(Data!$B242&amp;Data!Q$6,F_Inputs!$A$4:$A$381&amp;F_Inputs!$B$4:$B$381,0),MATCH(Data!$C242,F_Inputs!$G$2:$T$2,0))</f>
        <v>0</v>
      </c>
      <c r="R242" s="139">
        <f t="array" ref="R242">INDEX(F_Inputs!$G$4:$T$381,MATCH(Data!$B242&amp;Data!R$6,F_Inputs!$A$4:$A$381&amp;F_Inputs!$B$4:$B$381,0),MATCH(Data!$C242,F_Inputs!$G$2:$T$2,0))</f>
        <v>0</v>
      </c>
      <c r="S242" s="139">
        <f t="array" ref="S242">INDEX(F_Inputs!$G$4:$T$381,MATCH(Data!$B242&amp;Data!S$6,F_Inputs!$A$4:$A$381&amp;F_Inputs!$B$4:$B$381,0),MATCH(Data!$C242,F_Inputs!$G$2:$T$2,0))</f>
        <v>0</v>
      </c>
      <c r="U242" s="139">
        <f t="array" ref="U242">INDEX(F_Inputs!$G$4:$T$381,MATCH(Data!$B242&amp;Data!U$6,F_Inputs!$A$4:$A$381&amp;F_Inputs!$B$4:$B$381,0),MATCH(Data!$C242,F_Inputs!$G$2:$T$2,0))</f>
        <v>0</v>
      </c>
      <c r="V242" s="139">
        <f t="array" ref="V242">INDEX(F_Inputs!$G$4:$T$381,MATCH(Data!$B242&amp;Data!V$6,F_Inputs!$A$4:$A$381&amp;F_Inputs!$B$4:$B$381,0),MATCH(Data!$C242,F_Inputs!$G$2:$T$2,0))</f>
        <v>0</v>
      </c>
      <c r="W242" s="139">
        <f t="array" ref="W242">INDEX(F_Inputs!$G$4:$T$381,MATCH(Data!$B242&amp;Data!W$6,F_Inputs!$A$4:$A$381&amp;F_Inputs!$B$4:$B$381,0),MATCH(Data!$C242,F_Inputs!$G$2:$T$2,0))</f>
        <v>0</v>
      </c>
    </row>
    <row r="243" spans="1:23" x14ac:dyDescent="0.2">
      <c r="A243" s="138" t="str">
        <f>B243&amp;RIGHT(C243,2)</f>
        <v>SEW14</v>
      </c>
      <c r="B243" s="19" t="s">
        <v>38</v>
      </c>
      <c r="C243" s="143" t="s">
        <v>66</v>
      </c>
      <c r="D243" s="139">
        <f t="array" ref="D243">INDEX(F_Inputs!$G$4:$T$381,MATCH(Data!$B243&amp;Data!D$6,F_Inputs!$A$4:$A$381&amp;F_Inputs!$B$4:$B$381,0),MATCH(Data!$C243,F_Inputs!$G$2:$T$2,0))</f>
        <v>0.80012187288708603</v>
      </c>
      <c r="E243" s="139">
        <f t="array" ref="E243">INDEX(F_Inputs!$G$4:$T$381,MATCH(Data!$B243&amp;Data!E$6,F_Inputs!$A$4:$A$381&amp;F_Inputs!$B$4:$B$381,0),MATCH(Data!$C243,F_Inputs!$G$2:$T$2,0))</f>
        <v>0.80012187288708603</v>
      </c>
      <c r="F243" s="139">
        <f t="array" ref="F243">INDEX(F_Inputs!$G$4:$T$381,MATCH(Data!$B243&amp;Data!F$6,F_Inputs!$A$4:$A$381&amp;F_Inputs!$B$4:$B$381,0),MATCH(Data!$C243,F_Inputs!$G$2:$T$2,0))</f>
        <v>5.8450118323191296</v>
      </c>
      <c r="G243" s="139">
        <f t="array" ref="G243">INDEX(F_Inputs!$G$4:$T$381,MATCH(Data!$B243&amp;Data!G$6,F_Inputs!$A$4:$A$381&amp;F_Inputs!$B$4:$B$381,0),MATCH(Data!$C243,F_Inputs!$G$2:$T$2,0))</f>
        <v>5.8450118323191296</v>
      </c>
      <c r="I243" s="139">
        <f t="array" ref="I243">INDEX(F_Inputs!$G$4:$T$381,MATCH(Data!$B243&amp;Data!I$6,F_Inputs!$A$4:$A$381&amp;F_Inputs!$B$4:$B$381,0),MATCH(Data!$C243,F_Inputs!$G$2:$T$2,0))</f>
        <v>0</v>
      </c>
      <c r="J243" s="139">
        <f t="array" ref="J243">INDEX(F_Inputs!$G$4:$T$381,MATCH(Data!$B243&amp;Data!J$6,F_Inputs!$A$4:$A$381&amp;F_Inputs!$B$4:$B$381,0),MATCH(Data!$C243,F_Inputs!$G$2:$T$2,0))</f>
        <v>0</v>
      </c>
      <c r="K243" s="139">
        <f t="array" ref="K243">INDEX(F_Inputs!$G$4:$T$381,MATCH(Data!$B243&amp;Data!K$6,F_Inputs!$A$4:$A$381&amp;F_Inputs!$B$4:$B$381,0),MATCH(Data!$C243,F_Inputs!$G$2:$T$2,0))</f>
        <v>0</v>
      </c>
      <c r="L243" s="139">
        <f t="array" ref="L243">INDEX(F_Inputs!$G$4:$T$381,MATCH(Data!$B243&amp;Data!L$6,F_Inputs!$A$4:$A$381&amp;F_Inputs!$B$4:$B$381,0),MATCH(Data!$C243,F_Inputs!$G$2:$T$2,0))</f>
        <v>0</v>
      </c>
      <c r="N243" s="139">
        <f t="array" ref="N243">INDEX(F_Inputs!$G$4:$T$381,MATCH(Data!$B243&amp;Data!N$6,F_Inputs!$A$4:$A$381&amp;F_Inputs!$B$4:$B$381,0),MATCH(Data!$C243,F_Inputs!$G$2:$T$2,0))</f>
        <v>171.01386723637</v>
      </c>
      <c r="O243" s="144"/>
      <c r="P243" s="139">
        <f t="array" ref="P243">INDEX(F_Inputs!$G$4:$T$381,MATCH(Data!$B243&amp;Data!P$6,F_Inputs!$A$4:$A$381&amp;F_Inputs!$B$4:$B$381,0),MATCH(Data!$C243,F_Inputs!$G$2:$T$2,0))</f>
        <v>0</v>
      </c>
      <c r="Q243" s="139">
        <f t="array" ref="Q243">INDEX(F_Inputs!$G$4:$T$381,MATCH(Data!$B243&amp;Data!Q$6,F_Inputs!$A$4:$A$381&amp;F_Inputs!$B$4:$B$381,0),MATCH(Data!$C243,F_Inputs!$G$2:$T$2,0))</f>
        <v>0</v>
      </c>
      <c r="R243" s="139">
        <f t="array" ref="R243">INDEX(F_Inputs!$G$4:$T$381,MATCH(Data!$B243&amp;Data!R$6,F_Inputs!$A$4:$A$381&amp;F_Inputs!$B$4:$B$381,0),MATCH(Data!$C243,F_Inputs!$G$2:$T$2,0))</f>
        <v>0</v>
      </c>
      <c r="S243" s="139">
        <f t="array" ref="S243">INDEX(F_Inputs!$G$4:$T$381,MATCH(Data!$B243&amp;Data!S$6,F_Inputs!$A$4:$A$381&amp;F_Inputs!$B$4:$B$381,0),MATCH(Data!$C243,F_Inputs!$G$2:$T$2,0))</f>
        <v>0</v>
      </c>
      <c r="U243" s="139">
        <f t="array" ref="U243">INDEX(F_Inputs!$G$4:$T$381,MATCH(Data!$B243&amp;Data!U$6,F_Inputs!$A$4:$A$381&amp;F_Inputs!$B$4:$B$381,0),MATCH(Data!$C243,F_Inputs!$G$2:$T$2,0))</f>
        <v>0</v>
      </c>
      <c r="V243" s="139">
        <f t="array" ref="V243">INDEX(F_Inputs!$G$4:$T$381,MATCH(Data!$B243&amp;Data!V$6,F_Inputs!$A$4:$A$381&amp;F_Inputs!$B$4:$B$381,0),MATCH(Data!$C243,F_Inputs!$G$2:$T$2,0))</f>
        <v>0</v>
      </c>
      <c r="W243" s="139">
        <f t="array" ref="W243">INDEX(F_Inputs!$G$4:$T$381,MATCH(Data!$B243&amp;Data!W$6,F_Inputs!$A$4:$A$381&amp;F_Inputs!$B$4:$B$381,0),MATCH(Data!$C243,F_Inputs!$G$2:$T$2,0))</f>
        <v>0</v>
      </c>
    </row>
    <row r="244" spans="1:23" x14ac:dyDescent="0.2">
      <c r="A244" s="138" t="str">
        <f>B244&amp;RIGHT(C244,2)</f>
        <v>SEW15</v>
      </c>
      <c r="B244" s="19" t="s">
        <v>38</v>
      </c>
      <c r="C244" s="143" t="s">
        <v>67</v>
      </c>
      <c r="D244" s="139">
        <f t="array" ref="D244">INDEX(F_Inputs!$G$4:$T$381,MATCH(Data!$B244&amp;Data!D$6,F_Inputs!$A$4:$A$381&amp;F_Inputs!$B$4:$B$381,0),MATCH(Data!$C244,F_Inputs!$G$2:$T$2,0))</f>
        <v>2.0963512994067002</v>
      </c>
      <c r="E244" s="139">
        <f t="array" ref="E244">INDEX(F_Inputs!$G$4:$T$381,MATCH(Data!$B244&amp;Data!E$6,F_Inputs!$A$4:$A$381&amp;F_Inputs!$B$4:$B$381,0),MATCH(Data!$C244,F_Inputs!$G$2:$T$2,0))</f>
        <v>2.0963512994067002</v>
      </c>
      <c r="F244" s="139">
        <f t="array" ref="F244">INDEX(F_Inputs!$G$4:$T$381,MATCH(Data!$B244&amp;Data!F$6,F_Inputs!$A$4:$A$381&amp;F_Inputs!$B$4:$B$381,0),MATCH(Data!$C244,F_Inputs!$G$2:$T$2,0))</f>
        <v>5.1739956547171397</v>
      </c>
      <c r="G244" s="139">
        <f t="array" ref="G244">INDEX(F_Inputs!$G$4:$T$381,MATCH(Data!$B244&amp;Data!G$6,F_Inputs!$A$4:$A$381&amp;F_Inputs!$B$4:$B$381,0),MATCH(Data!$C244,F_Inputs!$G$2:$T$2,0))</f>
        <v>5.1739956547171397</v>
      </c>
      <c r="I244" s="139">
        <f t="array" ref="I244">INDEX(F_Inputs!$G$4:$T$381,MATCH(Data!$B244&amp;Data!I$6,F_Inputs!$A$4:$A$381&amp;F_Inputs!$B$4:$B$381,0),MATCH(Data!$C244,F_Inputs!$G$2:$T$2,0))</f>
        <v>0</v>
      </c>
      <c r="J244" s="139">
        <f t="array" ref="J244">INDEX(F_Inputs!$G$4:$T$381,MATCH(Data!$B244&amp;Data!J$6,F_Inputs!$A$4:$A$381&amp;F_Inputs!$B$4:$B$381,0),MATCH(Data!$C244,F_Inputs!$G$2:$T$2,0))</f>
        <v>0</v>
      </c>
      <c r="K244" s="139">
        <f t="array" ref="K244">INDEX(F_Inputs!$G$4:$T$381,MATCH(Data!$B244&amp;Data!K$6,F_Inputs!$A$4:$A$381&amp;F_Inputs!$B$4:$B$381,0),MATCH(Data!$C244,F_Inputs!$G$2:$T$2,0))</f>
        <v>0</v>
      </c>
      <c r="L244" s="139">
        <f t="array" ref="L244">INDEX(F_Inputs!$G$4:$T$381,MATCH(Data!$B244&amp;Data!L$6,F_Inputs!$A$4:$A$381&amp;F_Inputs!$B$4:$B$381,0),MATCH(Data!$C244,F_Inputs!$G$2:$T$2,0))</f>
        <v>0</v>
      </c>
      <c r="N244" s="139">
        <f t="array" ref="N244">INDEX(F_Inputs!$G$4:$T$381,MATCH(Data!$B244&amp;Data!N$6,F_Inputs!$A$4:$A$381&amp;F_Inputs!$B$4:$B$381,0),MATCH(Data!$C244,F_Inputs!$G$2:$T$2,0))</f>
        <v>167.49043578940899</v>
      </c>
      <c r="O244" s="144"/>
      <c r="P244" s="139">
        <f t="array" ref="P244">INDEX(F_Inputs!$G$4:$T$381,MATCH(Data!$B244&amp;Data!P$6,F_Inputs!$A$4:$A$381&amp;F_Inputs!$B$4:$B$381,0),MATCH(Data!$C244,F_Inputs!$G$2:$T$2,0))</f>
        <v>0</v>
      </c>
      <c r="Q244" s="139">
        <f t="array" ref="Q244">INDEX(F_Inputs!$G$4:$T$381,MATCH(Data!$B244&amp;Data!Q$6,F_Inputs!$A$4:$A$381&amp;F_Inputs!$B$4:$B$381,0),MATCH(Data!$C244,F_Inputs!$G$2:$T$2,0))</f>
        <v>0</v>
      </c>
      <c r="R244" s="139">
        <f t="array" ref="R244">INDEX(F_Inputs!$G$4:$T$381,MATCH(Data!$B244&amp;Data!R$6,F_Inputs!$A$4:$A$381&amp;F_Inputs!$B$4:$B$381,0),MATCH(Data!$C244,F_Inputs!$G$2:$T$2,0))</f>
        <v>0</v>
      </c>
      <c r="S244" s="139">
        <f t="array" ref="S244">INDEX(F_Inputs!$G$4:$T$381,MATCH(Data!$B244&amp;Data!S$6,F_Inputs!$A$4:$A$381&amp;F_Inputs!$B$4:$B$381,0),MATCH(Data!$C244,F_Inputs!$G$2:$T$2,0))</f>
        <v>0</v>
      </c>
      <c r="U244" s="139">
        <f t="array" ref="U244">INDEX(F_Inputs!$G$4:$T$381,MATCH(Data!$B244&amp;Data!U$6,F_Inputs!$A$4:$A$381&amp;F_Inputs!$B$4:$B$381,0),MATCH(Data!$C244,F_Inputs!$G$2:$T$2,0))</f>
        <v>0</v>
      </c>
      <c r="V244" s="139">
        <f t="array" ref="V244">INDEX(F_Inputs!$G$4:$T$381,MATCH(Data!$B244&amp;Data!V$6,F_Inputs!$A$4:$A$381&amp;F_Inputs!$B$4:$B$381,0),MATCH(Data!$C244,F_Inputs!$G$2:$T$2,0))</f>
        <v>0</v>
      </c>
      <c r="W244" s="139">
        <f t="array" ref="W244">INDEX(F_Inputs!$G$4:$T$381,MATCH(Data!$B244&amp;Data!W$6,F_Inputs!$A$4:$A$381&amp;F_Inputs!$B$4:$B$381,0),MATCH(Data!$C244,F_Inputs!$G$2:$T$2,0))</f>
        <v>0</v>
      </c>
    </row>
    <row r="245" spans="1:23" x14ac:dyDescent="0.2">
      <c r="A245" s="138" t="str">
        <f>B245&amp;RIGHT(C245,2)</f>
        <v>SEW16</v>
      </c>
      <c r="B245" s="19" t="s">
        <v>38</v>
      </c>
      <c r="C245" s="143" t="s">
        <v>68</v>
      </c>
      <c r="D245" s="139">
        <f t="array" ref="D245">INDEX(F_Inputs!$G$4:$T$381,MATCH(Data!$B245&amp;Data!D$6,F_Inputs!$A$4:$A$381&amp;F_Inputs!$B$4:$B$381,0),MATCH(Data!$C245,F_Inputs!$G$2:$T$2,0))</f>
        <v>1.1018181364392701</v>
      </c>
      <c r="E245" s="139">
        <f t="array" ref="E245">INDEX(F_Inputs!$G$4:$T$381,MATCH(Data!$B245&amp;Data!E$6,F_Inputs!$A$4:$A$381&amp;F_Inputs!$B$4:$B$381,0),MATCH(Data!$C245,F_Inputs!$G$2:$T$2,0))</f>
        <v>1.1018181364392701</v>
      </c>
      <c r="F245" s="139">
        <f t="array" ref="F245">INDEX(F_Inputs!$G$4:$T$381,MATCH(Data!$B245&amp;Data!F$6,F_Inputs!$A$4:$A$381&amp;F_Inputs!$B$4:$B$381,0),MATCH(Data!$C245,F_Inputs!$G$2:$T$2,0))</f>
        <v>10.3960026622296</v>
      </c>
      <c r="G245" s="139">
        <f t="array" ref="G245">INDEX(F_Inputs!$G$4:$T$381,MATCH(Data!$B245&amp;Data!G$6,F_Inputs!$A$4:$A$381&amp;F_Inputs!$B$4:$B$381,0),MATCH(Data!$C245,F_Inputs!$G$2:$T$2,0))</f>
        <v>10.3960026622296</v>
      </c>
      <c r="I245" s="139">
        <f t="array" ref="I245">INDEX(F_Inputs!$G$4:$T$381,MATCH(Data!$B245&amp;Data!I$6,F_Inputs!$A$4:$A$381&amp;F_Inputs!$B$4:$B$381,0),MATCH(Data!$C245,F_Inputs!$G$2:$T$2,0))</f>
        <v>0</v>
      </c>
      <c r="J245" s="139">
        <f t="array" ref="J245">INDEX(F_Inputs!$G$4:$T$381,MATCH(Data!$B245&amp;Data!J$6,F_Inputs!$A$4:$A$381&amp;F_Inputs!$B$4:$B$381,0),MATCH(Data!$C245,F_Inputs!$G$2:$T$2,0))</f>
        <v>0</v>
      </c>
      <c r="K245" s="139">
        <f t="array" ref="K245">INDEX(F_Inputs!$G$4:$T$381,MATCH(Data!$B245&amp;Data!K$6,F_Inputs!$A$4:$A$381&amp;F_Inputs!$B$4:$B$381,0),MATCH(Data!$C245,F_Inputs!$G$2:$T$2,0))</f>
        <v>0</v>
      </c>
      <c r="L245" s="139">
        <f t="array" ref="L245">INDEX(F_Inputs!$G$4:$T$381,MATCH(Data!$B245&amp;Data!L$6,F_Inputs!$A$4:$A$381&amp;F_Inputs!$B$4:$B$381,0),MATCH(Data!$C245,F_Inputs!$G$2:$T$2,0))</f>
        <v>0</v>
      </c>
      <c r="N245" s="139">
        <f t="array" ref="N245">INDEX(F_Inputs!$G$4:$T$381,MATCH(Data!$B245&amp;Data!N$6,F_Inputs!$A$4:$A$381&amp;F_Inputs!$B$4:$B$381,0),MATCH(Data!$C245,F_Inputs!$G$2:$T$2,0))</f>
        <v>161.50739484192999</v>
      </c>
      <c r="O245" s="144"/>
      <c r="P245" s="139">
        <f t="array" ref="P245">INDEX(F_Inputs!$G$4:$T$381,MATCH(Data!$B245&amp;Data!P$6,F_Inputs!$A$4:$A$381&amp;F_Inputs!$B$4:$B$381,0),MATCH(Data!$C245,F_Inputs!$G$2:$T$2,0))</f>
        <v>0</v>
      </c>
      <c r="Q245" s="139">
        <f t="array" ref="Q245">INDEX(F_Inputs!$G$4:$T$381,MATCH(Data!$B245&amp;Data!Q$6,F_Inputs!$A$4:$A$381&amp;F_Inputs!$B$4:$B$381,0),MATCH(Data!$C245,F_Inputs!$G$2:$T$2,0))</f>
        <v>0</v>
      </c>
      <c r="R245" s="139">
        <f t="array" ref="R245">INDEX(F_Inputs!$G$4:$T$381,MATCH(Data!$B245&amp;Data!R$6,F_Inputs!$A$4:$A$381&amp;F_Inputs!$B$4:$B$381,0),MATCH(Data!$C245,F_Inputs!$G$2:$T$2,0))</f>
        <v>0</v>
      </c>
      <c r="S245" s="139">
        <f t="array" ref="S245">INDEX(F_Inputs!$G$4:$T$381,MATCH(Data!$B245&amp;Data!S$6,F_Inputs!$A$4:$A$381&amp;F_Inputs!$B$4:$B$381,0),MATCH(Data!$C245,F_Inputs!$G$2:$T$2,0))</f>
        <v>0</v>
      </c>
      <c r="U245" s="139">
        <f t="array" ref="U245">INDEX(F_Inputs!$G$4:$T$381,MATCH(Data!$B245&amp;Data!U$6,F_Inputs!$A$4:$A$381&amp;F_Inputs!$B$4:$B$381,0),MATCH(Data!$C245,F_Inputs!$G$2:$T$2,0))</f>
        <v>0</v>
      </c>
      <c r="V245" s="139">
        <f t="array" ref="V245">INDEX(F_Inputs!$G$4:$T$381,MATCH(Data!$B245&amp;Data!V$6,F_Inputs!$A$4:$A$381&amp;F_Inputs!$B$4:$B$381,0),MATCH(Data!$C245,F_Inputs!$G$2:$T$2,0))</f>
        <v>0</v>
      </c>
      <c r="W245" s="139">
        <f t="array" ref="W245">INDEX(F_Inputs!$G$4:$T$381,MATCH(Data!$B245&amp;Data!W$6,F_Inputs!$A$4:$A$381&amp;F_Inputs!$B$4:$B$381,0),MATCH(Data!$C245,F_Inputs!$G$2:$T$2,0))</f>
        <v>0</v>
      </c>
    </row>
    <row r="246" spans="1:23" x14ac:dyDescent="0.2">
      <c r="A246" s="138" t="str">
        <f>B246&amp;RIGHT(C246,2)</f>
        <v>SEW17</v>
      </c>
      <c r="B246" s="19" t="s">
        <v>38</v>
      </c>
      <c r="C246" s="143" t="s">
        <v>69</v>
      </c>
      <c r="D246" s="139">
        <f t="array" ref="D246">INDEX(F_Inputs!$G$4:$T$381,MATCH(Data!$B246&amp;Data!D$6,F_Inputs!$A$4:$A$381&amp;F_Inputs!$B$4:$B$381,0),MATCH(Data!$C246,F_Inputs!$G$2:$T$2,0))</f>
        <v>2.3944602379975399</v>
      </c>
      <c r="E246" s="139">
        <f t="array" ref="E246">INDEX(F_Inputs!$G$4:$T$381,MATCH(Data!$B246&amp;Data!E$6,F_Inputs!$A$4:$A$381&amp;F_Inputs!$B$4:$B$381,0),MATCH(Data!$C246,F_Inputs!$G$2:$T$2,0))</f>
        <v>1.4615136643414</v>
      </c>
      <c r="F246" s="139">
        <f t="array" ref="F246">INDEX(F_Inputs!$G$4:$T$381,MATCH(Data!$B246&amp;Data!F$6,F_Inputs!$A$4:$A$381&amp;F_Inputs!$B$4:$B$381,0),MATCH(Data!$C246,F_Inputs!$G$2:$T$2,0))</f>
        <v>4.7047602790315999</v>
      </c>
      <c r="G246" s="139">
        <f t="array" ref="G246">INDEX(F_Inputs!$G$4:$T$381,MATCH(Data!$B246&amp;Data!G$6,F_Inputs!$A$4:$A$381&amp;F_Inputs!$B$4:$B$381,0),MATCH(Data!$C246,F_Inputs!$G$2:$T$2,0))</f>
        <v>3.93397603610997</v>
      </c>
      <c r="I246" s="139">
        <f t="array" ref="I246">INDEX(F_Inputs!$G$4:$T$381,MATCH(Data!$B246&amp;Data!I$6,F_Inputs!$A$4:$A$381&amp;F_Inputs!$B$4:$B$381,0),MATCH(Data!$C246,F_Inputs!$G$2:$T$2,0))</f>
        <v>0</v>
      </c>
      <c r="J246" s="139">
        <f t="array" ref="J246">INDEX(F_Inputs!$G$4:$T$381,MATCH(Data!$B246&amp;Data!J$6,F_Inputs!$A$4:$A$381&amp;F_Inputs!$B$4:$B$381,0),MATCH(Data!$C246,F_Inputs!$G$2:$T$2,0))</f>
        <v>0</v>
      </c>
      <c r="K246" s="139">
        <f t="array" ref="K246">INDEX(F_Inputs!$G$4:$T$381,MATCH(Data!$B246&amp;Data!K$6,F_Inputs!$A$4:$A$381&amp;F_Inputs!$B$4:$B$381,0),MATCH(Data!$C246,F_Inputs!$G$2:$T$2,0))</f>
        <v>0</v>
      </c>
      <c r="L246" s="139">
        <f t="array" ref="L246">INDEX(F_Inputs!$G$4:$T$381,MATCH(Data!$B246&amp;Data!L$6,F_Inputs!$A$4:$A$381&amp;F_Inputs!$B$4:$B$381,0),MATCH(Data!$C246,F_Inputs!$G$2:$T$2,0))</f>
        <v>0</v>
      </c>
      <c r="N246" s="139">
        <f t="array" ref="N246">INDEX(F_Inputs!$G$4:$T$381,MATCH(Data!$B246&amp;Data!N$6,F_Inputs!$A$4:$A$381&amp;F_Inputs!$B$4:$B$381,0),MATCH(Data!$C246,F_Inputs!$G$2:$T$2,0))</f>
        <v>162.57516419958401</v>
      </c>
      <c r="O246" s="144"/>
      <c r="P246" s="139">
        <f t="array" ref="P246">INDEX(F_Inputs!$G$4:$T$381,MATCH(Data!$B246&amp;Data!P$6,F_Inputs!$A$4:$A$381&amp;F_Inputs!$B$4:$B$381,0),MATCH(Data!$C246,F_Inputs!$G$2:$T$2,0))</f>
        <v>0</v>
      </c>
      <c r="Q246" s="139">
        <f t="array" ref="Q246">INDEX(F_Inputs!$G$4:$T$381,MATCH(Data!$B246&amp;Data!Q$6,F_Inputs!$A$4:$A$381&amp;F_Inputs!$B$4:$B$381,0),MATCH(Data!$C246,F_Inputs!$G$2:$T$2,0))</f>
        <v>0</v>
      </c>
      <c r="R246" s="139">
        <f t="array" ref="R246">INDEX(F_Inputs!$G$4:$T$381,MATCH(Data!$B246&amp;Data!R$6,F_Inputs!$A$4:$A$381&amp;F_Inputs!$B$4:$B$381,0),MATCH(Data!$C246,F_Inputs!$G$2:$T$2,0))</f>
        <v>0</v>
      </c>
      <c r="S246" s="139">
        <f t="array" ref="S246">INDEX(F_Inputs!$G$4:$T$381,MATCH(Data!$B246&amp;Data!S$6,F_Inputs!$A$4:$A$381&amp;F_Inputs!$B$4:$B$381,0),MATCH(Data!$C246,F_Inputs!$G$2:$T$2,0))</f>
        <v>0</v>
      </c>
      <c r="U246" s="139">
        <f t="array" ref="U246">INDEX(F_Inputs!$G$4:$T$381,MATCH(Data!$B246&amp;Data!U$6,F_Inputs!$A$4:$A$381&amp;F_Inputs!$B$4:$B$381,0),MATCH(Data!$C246,F_Inputs!$G$2:$T$2,0))</f>
        <v>0</v>
      </c>
      <c r="V246" s="139">
        <f t="array" ref="V246">INDEX(F_Inputs!$G$4:$T$381,MATCH(Data!$B246&amp;Data!V$6,F_Inputs!$A$4:$A$381&amp;F_Inputs!$B$4:$B$381,0),MATCH(Data!$C246,F_Inputs!$G$2:$T$2,0))</f>
        <v>0</v>
      </c>
      <c r="W246" s="139">
        <f t="array" ref="W246">INDEX(F_Inputs!$G$4:$T$381,MATCH(Data!$B246&amp;Data!W$6,F_Inputs!$A$4:$A$381&amp;F_Inputs!$B$4:$B$381,0),MATCH(Data!$C246,F_Inputs!$G$2:$T$2,0))</f>
        <v>0</v>
      </c>
    </row>
    <row r="247" spans="1:23" x14ac:dyDescent="0.2">
      <c r="A247" s="141" t="s">
        <v>270</v>
      </c>
      <c r="B247" s="142" t="s">
        <v>38</v>
      </c>
      <c r="C247" s="142" t="s">
        <v>70</v>
      </c>
      <c r="D247" s="139">
        <f t="array" ref="D247">INDEX(F_Inputs!$G$4:$T$381,MATCH(Data!$B247&amp;Data!D$6,F_Inputs!$A$4:$A$381&amp;F_Inputs!$B$4:$B$381,0),MATCH(Data!$C247,F_Inputs!$G$2:$T$2,0))</f>
        <v>4.6079999999999997</v>
      </c>
      <c r="E247" s="139">
        <f t="array" ref="E247">INDEX(F_Inputs!$G$4:$T$381,MATCH(Data!$B247&amp;Data!E$6,F_Inputs!$A$4:$A$381&amp;F_Inputs!$B$4:$B$381,0),MATCH(Data!$C247,F_Inputs!$G$2:$T$2,0))</f>
        <v>1.732</v>
      </c>
      <c r="F247" s="139">
        <f t="array" ref="F247">INDEX(F_Inputs!$G$4:$T$381,MATCH(Data!$B247&amp;Data!F$6,F_Inputs!$A$4:$A$381&amp;F_Inputs!$B$4:$B$381,0),MATCH(Data!$C247,F_Inputs!$G$2:$T$2,0))</f>
        <v>5.4139999999999997</v>
      </c>
      <c r="G247" s="139">
        <f t="array" ref="G247">INDEX(F_Inputs!$G$4:$T$381,MATCH(Data!$B247&amp;Data!G$6,F_Inputs!$A$4:$A$381&amp;F_Inputs!$B$4:$B$381,0),MATCH(Data!$C247,F_Inputs!$G$2:$T$2,0))</f>
        <v>5.593</v>
      </c>
      <c r="I247" s="139">
        <f t="array" ref="I247">INDEX(F_Inputs!$G$4:$T$381,MATCH(Data!$B247&amp;Data!I$6,F_Inputs!$A$4:$A$381&amp;F_Inputs!$B$4:$B$381,0),MATCH(Data!$C247,F_Inputs!$G$2:$T$2,0))</f>
        <v>0</v>
      </c>
      <c r="J247" s="139">
        <f t="array" ref="J247">INDEX(F_Inputs!$G$4:$T$381,MATCH(Data!$B247&amp;Data!J$6,F_Inputs!$A$4:$A$381&amp;F_Inputs!$B$4:$B$381,0),MATCH(Data!$C247,F_Inputs!$G$2:$T$2,0))</f>
        <v>0</v>
      </c>
      <c r="K247" s="139">
        <f t="array" ref="K247">INDEX(F_Inputs!$G$4:$T$381,MATCH(Data!$B247&amp;Data!K$6,F_Inputs!$A$4:$A$381&amp;F_Inputs!$B$4:$B$381,0),MATCH(Data!$C247,F_Inputs!$G$2:$T$2,0))</f>
        <v>0</v>
      </c>
      <c r="L247" s="139">
        <f t="array" ref="L247">INDEX(F_Inputs!$G$4:$T$381,MATCH(Data!$B247&amp;Data!L$6,F_Inputs!$A$4:$A$381&amp;F_Inputs!$B$4:$B$381,0),MATCH(Data!$C247,F_Inputs!$G$2:$T$2,0))</f>
        <v>0</v>
      </c>
      <c r="N247" s="139">
        <f t="array" ref="N247">INDEX(F_Inputs!$G$4:$T$381,MATCH(Data!$B247&amp;Data!N$6,F_Inputs!$A$4:$A$381&amp;F_Inputs!$B$4:$B$381,0),MATCH(Data!$C247,F_Inputs!$G$2:$T$2,0))</f>
        <v>171.97</v>
      </c>
      <c r="O247" s="144"/>
      <c r="P247" s="139">
        <f t="array" ref="P247">INDEX(F_Inputs!$G$4:$T$381,MATCH(Data!$B247&amp;Data!P$6,F_Inputs!$A$4:$A$381&amp;F_Inputs!$B$4:$B$381,0),MATCH(Data!$C247,F_Inputs!$G$2:$T$2,0))</f>
        <v>0</v>
      </c>
      <c r="Q247" s="139">
        <f t="array" ref="Q247">INDEX(F_Inputs!$G$4:$T$381,MATCH(Data!$B247&amp;Data!Q$6,F_Inputs!$A$4:$A$381&amp;F_Inputs!$B$4:$B$381,0),MATCH(Data!$C247,F_Inputs!$G$2:$T$2,0))</f>
        <v>0</v>
      </c>
      <c r="R247" s="139">
        <f t="array" ref="R247">INDEX(F_Inputs!$G$4:$T$381,MATCH(Data!$B247&amp;Data!R$6,F_Inputs!$A$4:$A$381&amp;F_Inputs!$B$4:$B$381,0),MATCH(Data!$C247,F_Inputs!$G$2:$T$2,0))</f>
        <v>0.47</v>
      </c>
      <c r="S247" s="139">
        <f t="array" ref="S247">INDEX(F_Inputs!$G$4:$T$381,MATCH(Data!$B247&amp;Data!S$6,F_Inputs!$A$4:$A$381&amp;F_Inputs!$B$4:$B$381,0),MATCH(Data!$C247,F_Inputs!$G$2:$T$2,0))</f>
        <v>0.44</v>
      </c>
      <c r="U247" s="139">
        <f t="array" ref="U247">INDEX(F_Inputs!$G$4:$T$381,MATCH(Data!$B247&amp;Data!U$6,F_Inputs!$A$4:$A$381&amp;F_Inputs!$B$4:$B$381,0),MATCH(Data!$C247,F_Inputs!$G$2:$T$2,0))</f>
        <v>87.692192146928704</v>
      </c>
      <c r="V247" s="139">
        <f t="array" ref="V247">INDEX(F_Inputs!$G$4:$T$381,MATCH(Data!$B247&amp;Data!V$6,F_Inputs!$A$4:$A$381&amp;F_Inputs!$B$4:$B$381,0),MATCH(Data!$C247,F_Inputs!$G$2:$T$2,0))</f>
        <v>14620.74</v>
      </c>
      <c r="W247" s="139">
        <f t="array" ref="W247">INDEX(F_Inputs!$G$4:$T$381,MATCH(Data!$B247&amp;Data!W$6,F_Inputs!$A$4:$A$381&amp;F_Inputs!$B$4:$B$381,0),MATCH(Data!$C247,F_Inputs!$G$2:$T$2,0))</f>
        <v>1013.178</v>
      </c>
    </row>
    <row r="248" spans="1:23" x14ac:dyDescent="0.2">
      <c r="A248" s="141" t="s">
        <v>271</v>
      </c>
      <c r="B248" s="142" t="s">
        <v>38</v>
      </c>
      <c r="C248" s="142" t="s">
        <v>71</v>
      </c>
      <c r="D248" s="139">
        <f t="array" ref="D248">INDEX(F_Inputs!$G$4:$T$381,MATCH(Data!$B248&amp;Data!D$6,F_Inputs!$A$4:$A$381&amp;F_Inputs!$B$4:$B$381,0),MATCH(Data!$C248,F_Inputs!$G$2:$T$2,0))</f>
        <v>11.1403899040957</v>
      </c>
      <c r="E248" s="139">
        <f t="array" ref="E248">INDEX(F_Inputs!$G$4:$T$381,MATCH(Data!$B248&amp;Data!E$6,F_Inputs!$A$4:$A$381&amp;F_Inputs!$B$4:$B$381,0),MATCH(Data!$C248,F_Inputs!$G$2:$T$2,0))</f>
        <v>3.3030234994266801</v>
      </c>
      <c r="F248" s="139">
        <f t="array" ref="F248">INDEX(F_Inputs!$G$4:$T$381,MATCH(Data!$B248&amp;Data!F$6,F_Inputs!$A$4:$A$381&amp;F_Inputs!$B$4:$B$381,0),MATCH(Data!$C248,F_Inputs!$G$2:$T$2,0))</f>
        <v>2.8906213525215501</v>
      </c>
      <c r="G248" s="139">
        <f t="array" ref="G248">INDEX(F_Inputs!$G$4:$T$381,MATCH(Data!$B248&amp;Data!G$6,F_Inputs!$A$4:$A$381&amp;F_Inputs!$B$4:$B$381,0),MATCH(Data!$C248,F_Inputs!$G$2:$T$2,0))</f>
        <v>2.8906213525215501</v>
      </c>
      <c r="I248" s="139">
        <f t="array" ref="I248">INDEX(F_Inputs!$G$4:$T$381,MATCH(Data!$B248&amp;Data!I$6,F_Inputs!$A$4:$A$381&amp;F_Inputs!$B$4:$B$381,0),MATCH(Data!$C248,F_Inputs!$G$2:$T$2,0))</f>
        <v>0</v>
      </c>
      <c r="J248" s="139">
        <f t="array" ref="J248">INDEX(F_Inputs!$G$4:$T$381,MATCH(Data!$B248&amp;Data!J$6,F_Inputs!$A$4:$A$381&amp;F_Inputs!$B$4:$B$381,0),MATCH(Data!$C248,F_Inputs!$G$2:$T$2,0))</f>
        <v>0</v>
      </c>
      <c r="K248" s="139">
        <f t="array" ref="K248">INDEX(F_Inputs!$G$4:$T$381,MATCH(Data!$B248&amp;Data!K$6,F_Inputs!$A$4:$A$381&amp;F_Inputs!$B$4:$B$381,0),MATCH(Data!$C248,F_Inputs!$G$2:$T$2,0))</f>
        <v>0</v>
      </c>
      <c r="L248" s="139">
        <f t="array" ref="L248">INDEX(F_Inputs!$G$4:$T$381,MATCH(Data!$B248&amp;Data!L$6,F_Inputs!$A$4:$A$381&amp;F_Inputs!$B$4:$B$381,0),MATCH(Data!$C248,F_Inputs!$G$2:$T$2,0))</f>
        <v>0</v>
      </c>
      <c r="N248" s="139">
        <f t="array" ref="N248">INDEX(F_Inputs!$G$4:$T$381,MATCH(Data!$B248&amp;Data!N$6,F_Inputs!$A$4:$A$381&amp;F_Inputs!$B$4:$B$381,0),MATCH(Data!$C248,F_Inputs!$G$2:$T$2,0))</f>
        <v>180.86241786359099</v>
      </c>
      <c r="O248" s="144"/>
      <c r="P248" s="139">
        <f t="array" ref="P248">INDEX(F_Inputs!$G$4:$T$381,MATCH(Data!$B248&amp;Data!P$6,F_Inputs!$A$4:$A$381&amp;F_Inputs!$B$4:$B$381,0),MATCH(Data!$C248,F_Inputs!$G$2:$T$2,0))</f>
        <v>4</v>
      </c>
      <c r="Q248" s="139">
        <f t="array" ref="Q248">INDEX(F_Inputs!$G$4:$T$381,MATCH(Data!$B248&amp;Data!Q$6,F_Inputs!$A$4:$A$381&amp;F_Inputs!$B$4:$B$381,0),MATCH(Data!$C248,F_Inputs!$G$2:$T$2,0))</f>
        <v>0</v>
      </c>
      <c r="R248" s="139">
        <f t="array" ref="R248">INDEX(F_Inputs!$G$4:$T$381,MATCH(Data!$B248&amp;Data!R$6,F_Inputs!$A$4:$A$381&amp;F_Inputs!$B$4:$B$381,0),MATCH(Data!$C248,F_Inputs!$G$2:$T$2,0))</f>
        <v>0</v>
      </c>
      <c r="S248" s="139">
        <f t="array" ref="S248">INDEX(F_Inputs!$G$4:$T$381,MATCH(Data!$B248&amp;Data!S$6,F_Inputs!$A$4:$A$381&amp;F_Inputs!$B$4:$B$381,0),MATCH(Data!$C248,F_Inputs!$G$2:$T$2,0))</f>
        <v>0</v>
      </c>
      <c r="U248" s="139">
        <f t="array" ref="U248">INDEX(F_Inputs!$G$4:$T$381,MATCH(Data!$B248&amp;Data!U$6,F_Inputs!$A$4:$A$381&amp;F_Inputs!$B$4:$B$381,0),MATCH(Data!$C248,F_Inputs!$G$2:$T$2,0))</f>
        <v>87.692192146928704</v>
      </c>
      <c r="V248" s="139">
        <f t="array" ref="V248">INDEX(F_Inputs!$G$4:$T$381,MATCH(Data!$B248&amp;Data!V$6,F_Inputs!$A$4:$A$381&amp;F_Inputs!$B$4:$B$381,0),MATCH(Data!$C248,F_Inputs!$G$2:$T$2,0))</f>
        <v>14732.050631341201</v>
      </c>
      <c r="W248" s="139">
        <f t="array" ref="W248">INDEX(F_Inputs!$G$4:$T$381,MATCH(Data!$B248&amp;Data!W$6,F_Inputs!$A$4:$A$381&amp;F_Inputs!$B$4:$B$381,0),MATCH(Data!$C248,F_Inputs!$G$2:$T$2,0))</f>
        <v>1017.45107764391</v>
      </c>
    </row>
    <row r="249" spans="1:23" x14ac:dyDescent="0.2">
      <c r="A249" s="141" t="s">
        <v>272</v>
      </c>
      <c r="B249" s="142" t="s">
        <v>38</v>
      </c>
      <c r="C249" s="142" t="s">
        <v>72</v>
      </c>
      <c r="D249" s="139">
        <f t="array" ref="D249">INDEX(F_Inputs!$G$4:$T$381,MATCH(Data!$B249&amp;Data!D$6,F_Inputs!$A$4:$A$381&amp;F_Inputs!$B$4:$B$381,0),MATCH(Data!$C249,F_Inputs!$G$2:$T$2,0))</f>
        <v>7.01139939748803</v>
      </c>
      <c r="E249" s="139">
        <f t="array" ref="E249">INDEX(F_Inputs!$G$4:$T$381,MATCH(Data!$B249&amp;Data!E$6,F_Inputs!$A$4:$A$381&amp;F_Inputs!$B$4:$B$381,0),MATCH(Data!$C249,F_Inputs!$G$2:$T$2,0))</f>
        <v>0.63534189724444101</v>
      </c>
      <c r="F249" s="139">
        <f t="array" ref="F249">INDEX(F_Inputs!$G$4:$T$381,MATCH(Data!$B249&amp;Data!F$6,F_Inputs!$A$4:$A$381&amp;F_Inputs!$B$4:$B$381,0),MATCH(Data!$C249,F_Inputs!$G$2:$T$2,0))</f>
        <v>3.38530490086558</v>
      </c>
      <c r="G249" s="139">
        <f t="array" ref="G249">INDEX(F_Inputs!$G$4:$T$381,MATCH(Data!$B249&amp;Data!G$6,F_Inputs!$A$4:$A$381&amp;F_Inputs!$B$4:$B$381,0),MATCH(Data!$C249,F_Inputs!$G$2:$T$2,0))</f>
        <v>3.38530490086558</v>
      </c>
      <c r="I249" s="139">
        <f t="array" ref="I249">INDEX(F_Inputs!$G$4:$T$381,MATCH(Data!$B249&amp;Data!I$6,F_Inputs!$A$4:$A$381&amp;F_Inputs!$B$4:$B$381,0),MATCH(Data!$C249,F_Inputs!$G$2:$T$2,0))</f>
        <v>0</v>
      </c>
      <c r="J249" s="139">
        <f t="array" ref="J249">INDEX(F_Inputs!$G$4:$T$381,MATCH(Data!$B249&amp;Data!J$6,F_Inputs!$A$4:$A$381&amp;F_Inputs!$B$4:$B$381,0),MATCH(Data!$C249,F_Inputs!$G$2:$T$2,0))</f>
        <v>0</v>
      </c>
      <c r="K249" s="139">
        <f t="array" ref="K249">INDEX(F_Inputs!$G$4:$T$381,MATCH(Data!$B249&amp;Data!K$6,F_Inputs!$A$4:$A$381&amp;F_Inputs!$B$4:$B$381,0),MATCH(Data!$C249,F_Inputs!$G$2:$T$2,0))</f>
        <v>0</v>
      </c>
      <c r="L249" s="139">
        <f t="array" ref="L249">INDEX(F_Inputs!$G$4:$T$381,MATCH(Data!$B249&amp;Data!L$6,F_Inputs!$A$4:$A$381&amp;F_Inputs!$B$4:$B$381,0),MATCH(Data!$C249,F_Inputs!$G$2:$T$2,0))</f>
        <v>0</v>
      </c>
      <c r="N249" s="139">
        <f t="array" ref="N249">INDEX(F_Inputs!$G$4:$T$381,MATCH(Data!$B249&amp;Data!N$6,F_Inputs!$A$4:$A$381&amp;F_Inputs!$B$4:$B$381,0),MATCH(Data!$C249,F_Inputs!$G$2:$T$2,0))</f>
        <v>169.00722924870701</v>
      </c>
      <c r="O249" s="144"/>
      <c r="P249" s="139">
        <f t="array" ref="P249">INDEX(F_Inputs!$G$4:$T$381,MATCH(Data!$B249&amp;Data!P$6,F_Inputs!$A$4:$A$381&amp;F_Inputs!$B$4:$B$381,0),MATCH(Data!$C249,F_Inputs!$G$2:$T$2,0))</f>
        <v>29</v>
      </c>
      <c r="Q249" s="139">
        <f t="array" ref="Q249">INDEX(F_Inputs!$G$4:$T$381,MATCH(Data!$B249&amp;Data!Q$6,F_Inputs!$A$4:$A$381&amp;F_Inputs!$B$4:$B$381,0),MATCH(Data!$C249,F_Inputs!$G$2:$T$2,0))</f>
        <v>0</v>
      </c>
      <c r="R249" s="139">
        <f t="array" ref="R249">INDEX(F_Inputs!$G$4:$T$381,MATCH(Data!$B249&amp;Data!R$6,F_Inputs!$A$4:$A$381&amp;F_Inputs!$B$4:$B$381,0),MATCH(Data!$C249,F_Inputs!$G$2:$T$2,0))</f>
        <v>0</v>
      </c>
      <c r="S249" s="139">
        <f t="array" ref="S249">INDEX(F_Inputs!$G$4:$T$381,MATCH(Data!$B249&amp;Data!S$6,F_Inputs!$A$4:$A$381&amp;F_Inputs!$B$4:$B$381,0),MATCH(Data!$C249,F_Inputs!$G$2:$T$2,0))</f>
        <v>0</v>
      </c>
      <c r="U249" s="139">
        <f t="array" ref="U249">INDEX(F_Inputs!$G$4:$T$381,MATCH(Data!$B249&amp;Data!U$6,F_Inputs!$A$4:$A$381&amp;F_Inputs!$B$4:$B$381,0),MATCH(Data!$C249,F_Inputs!$G$2:$T$2,0))</f>
        <v>87.692192146928704</v>
      </c>
      <c r="V249" s="139">
        <f t="array" ref="V249">INDEX(F_Inputs!$G$4:$T$381,MATCH(Data!$B249&amp;Data!V$6,F_Inputs!$A$4:$A$381&amp;F_Inputs!$B$4:$B$381,0),MATCH(Data!$C249,F_Inputs!$G$2:$T$2,0))</f>
        <v>14841.3904574847</v>
      </c>
      <c r="W249" s="139">
        <f t="array" ref="W249">INDEX(F_Inputs!$G$4:$T$381,MATCH(Data!$B249&amp;Data!W$6,F_Inputs!$A$4:$A$381&amp;F_Inputs!$B$4:$B$381,0),MATCH(Data!$C249,F_Inputs!$G$2:$T$2,0))</f>
        <v>1027.2224966532799</v>
      </c>
    </row>
    <row r="250" spans="1:23" x14ac:dyDescent="0.2">
      <c r="A250" s="141" t="s">
        <v>273</v>
      </c>
      <c r="B250" s="142" t="s">
        <v>38</v>
      </c>
      <c r="C250" s="142" t="s">
        <v>73</v>
      </c>
      <c r="D250" s="139">
        <f t="array" ref="D250">INDEX(F_Inputs!$G$4:$T$381,MATCH(Data!$B250&amp;Data!D$6,F_Inputs!$A$4:$A$381&amp;F_Inputs!$B$4:$B$381,0),MATCH(Data!$C250,F_Inputs!$G$2:$T$2,0))</f>
        <v>2.6298126916369502</v>
      </c>
      <c r="E250" s="139">
        <f t="array" ref="E250">INDEX(F_Inputs!$G$4:$T$381,MATCH(Data!$B250&amp;Data!E$6,F_Inputs!$A$4:$A$381&amp;F_Inputs!$B$4:$B$381,0),MATCH(Data!$C250,F_Inputs!$G$2:$T$2,0))</f>
        <v>2.7479279635952998</v>
      </c>
      <c r="F250" s="139">
        <f t="array" ref="F250">INDEX(F_Inputs!$G$4:$T$381,MATCH(Data!$B250&amp;Data!F$6,F_Inputs!$A$4:$A$381&amp;F_Inputs!$B$4:$B$381,0),MATCH(Data!$C250,F_Inputs!$G$2:$T$2,0))</f>
        <v>3.55329887120836</v>
      </c>
      <c r="G250" s="139">
        <f t="array" ref="G250">INDEX(F_Inputs!$G$4:$T$381,MATCH(Data!$B250&amp;Data!G$6,F_Inputs!$A$4:$A$381&amp;F_Inputs!$B$4:$B$381,0),MATCH(Data!$C250,F_Inputs!$G$2:$T$2,0))</f>
        <v>3.55329887120836</v>
      </c>
      <c r="I250" s="139">
        <f t="array" ref="I250">INDEX(F_Inputs!$G$4:$T$381,MATCH(Data!$B250&amp;Data!I$6,F_Inputs!$A$4:$A$381&amp;F_Inputs!$B$4:$B$381,0),MATCH(Data!$C250,F_Inputs!$G$2:$T$2,0))</f>
        <v>0</v>
      </c>
      <c r="J250" s="139">
        <f t="array" ref="J250">INDEX(F_Inputs!$G$4:$T$381,MATCH(Data!$B250&amp;Data!J$6,F_Inputs!$A$4:$A$381&amp;F_Inputs!$B$4:$B$381,0),MATCH(Data!$C250,F_Inputs!$G$2:$T$2,0))</f>
        <v>0</v>
      </c>
      <c r="K250" s="139">
        <f t="array" ref="K250">INDEX(F_Inputs!$G$4:$T$381,MATCH(Data!$B250&amp;Data!K$6,F_Inputs!$A$4:$A$381&amp;F_Inputs!$B$4:$B$381,0),MATCH(Data!$C250,F_Inputs!$G$2:$T$2,0))</f>
        <v>0.98029995691489502</v>
      </c>
      <c r="L250" s="139">
        <f t="array" ref="L250">INDEX(F_Inputs!$G$4:$T$381,MATCH(Data!$B250&amp;Data!L$6,F_Inputs!$A$4:$A$381&amp;F_Inputs!$B$4:$B$381,0),MATCH(Data!$C250,F_Inputs!$G$2:$T$2,0))</f>
        <v>0.98029995691489502</v>
      </c>
      <c r="N250" s="139">
        <f t="array" ref="N250">INDEX(F_Inputs!$G$4:$T$381,MATCH(Data!$B250&amp;Data!N$6,F_Inputs!$A$4:$A$381&amp;F_Inputs!$B$4:$B$381,0),MATCH(Data!$C250,F_Inputs!$G$2:$T$2,0))</f>
        <v>172.07300000000001</v>
      </c>
      <c r="O250" s="144"/>
      <c r="P250" s="139">
        <f t="array" ref="P250">INDEX(F_Inputs!$G$4:$T$381,MATCH(Data!$B250&amp;Data!P$6,F_Inputs!$A$4:$A$381&amp;F_Inputs!$B$4:$B$381,0),MATCH(Data!$C250,F_Inputs!$G$2:$T$2,0))</f>
        <v>0</v>
      </c>
      <c r="Q250" s="139">
        <f t="array" ref="Q250">INDEX(F_Inputs!$G$4:$T$381,MATCH(Data!$B250&amp;Data!Q$6,F_Inputs!$A$4:$A$381&amp;F_Inputs!$B$4:$B$381,0),MATCH(Data!$C250,F_Inputs!$G$2:$T$2,0))</f>
        <v>0</v>
      </c>
      <c r="R250" s="139">
        <f t="array" ref="R250">INDEX(F_Inputs!$G$4:$T$381,MATCH(Data!$B250&amp;Data!R$6,F_Inputs!$A$4:$A$381&amp;F_Inputs!$B$4:$B$381,0),MATCH(Data!$C250,F_Inputs!$G$2:$T$2,0))</f>
        <v>2.74</v>
      </c>
      <c r="S250" s="139">
        <f t="array" ref="S250">INDEX(F_Inputs!$G$4:$T$381,MATCH(Data!$B250&amp;Data!S$6,F_Inputs!$A$4:$A$381&amp;F_Inputs!$B$4:$B$381,0),MATCH(Data!$C250,F_Inputs!$G$2:$T$2,0))</f>
        <v>2.74</v>
      </c>
      <c r="U250" s="139">
        <f t="array" ref="U250">INDEX(F_Inputs!$G$4:$T$381,MATCH(Data!$B250&amp;Data!U$6,F_Inputs!$A$4:$A$381&amp;F_Inputs!$B$4:$B$381,0),MATCH(Data!$C250,F_Inputs!$G$2:$T$2,0))</f>
        <v>87.692192146928704</v>
      </c>
      <c r="V250" s="139">
        <f t="array" ref="V250">INDEX(F_Inputs!$G$4:$T$381,MATCH(Data!$B250&amp;Data!V$6,F_Inputs!$A$4:$A$381&amp;F_Inputs!$B$4:$B$381,0),MATCH(Data!$C250,F_Inputs!$G$2:$T$2,0))</f>
        <v>14941.896551138299</v>
      </c>
      <c r="W250" s="139">
        <f t="array" ref="W250">INDEX(F_Inputs!$G$4:$T$381,MATCH(Data!$B250&amp;Data!W$6,F_Inputs!$A$4:$A$381&amp;F_Inputs!$B$4:$B$381,0),MATCH(Data!$C250,F_Inputs!$G$2:$T$2,0))</f>
        <v>1037.27309906292</v>
      </c>
    </row>
    <row r="251" spans="1:23" x14ac:dyDescent="0.2">
      <c r="A251" s="141" t="s">
        <v>274</v>
      </c>
      <c r="B251" s="142" t="s">
        <v>38</v>
      </c>
      <c r="C251" s="142" t="s">
        <v>74</v>
      </c>
      <c r="D251" s="139">
        <f t="array" ref="D251">INDEX(F_Inputs!$G$4:$T$381,MATCH(Data!$B251&amp;Data!D$6,F_Inputs!$A$4:$A$381&amp;F_Inputs!$B$4:$B$381,0),MATCH(Data!$C251,F_Inputs!$G$2:$T$2,0))</f>
        <v>5.4322316345902504</v>
      </c>
      <c r="E251" s="139">
        <f t="array" ref="E251">INDEX(F_Inputs!$G$4:$T$381,MATCH(Data!$B251&amp;Data!E$6,F_Inputs!$A$4:$A$381&amp;F_Inputs!$B$4:$B$381,0),MATCH(Data!$C251,F_Inputs!$G$2:$T$2,0))</f>
        <v>5.8004616533096804</v>
      </c>
      <c r="F251" s="139">
        <f t="array" ref="F251">INDEX(F_Inputs!$G$4:$T$381,MATCH(Data!$B251&amp;Data!F$6,F_Inputs!$A$4:$A$381&amp;F_Inputs!$B$4:$B$381,0),MATCH(Data!$C251,F_Inputs!$G$2:$T$2,0))</f>
        <v>11.421704464725501</v>
      </c>
      <c r="G251" s="139">
        <f t="array" ref="G251">INDEX(F_Inputs!$G$4:$T$381,MATCH(Data!$B251&amp;Data!G$6,F_Inputs!$A$4:$A$381&amp;F_Inputs!$B$4:$B$381,0),MATCH(Data!$C251,F_Inputs!$G$2:$T$2,0))</f>
        <v>11.421704464725501</v>
      </c>
      <c r="I251" s="139">
        <f t="array" ref="I251">INDEX(F_Inputs!$G$4:$T$381,MATCH(Data!$B251&amp;Data!I$6,F_Inputs!$A$4:$A$381&amp;F_Inputs!$B$4:$B$381,0),MATCH(Data!$C251,F_Inputs!$G$2:$T$2,0))</f>
        <v>0</v>
      </c>
      <c r="J251" s="139">
        <f t="array" ref="J251">INDEX(F_Inputs!$G$4:$T$381,MATCH(Data!$B251&amp;Data!J$6,F_Inputs!$A$4:$A$381&amp;F_Inputs!$B$4:$B$381,0),MATCH(Data!$C251,F_Inputs!$G$2:$T$2,0))</f>
        <v>0</v>
      </c>
      <c r="K251" s="139">
        <f t="array" ref="K251">INDEX(F_Inputs!$G$4:$T$381,MATCH(Data!$B251&amp;Data!K$6,F_Inputs!$A$4:$A$381&amp;F_Inputs!$B$4:$B$381,0),MATCH(Data!$C251,F_Inputs!$G$2:$T$2,0))</f>
        <v>1.1258284690815901</v>
      </c>
      <c r="L251" s="139">
        <f t="array" ref="L251">INDEX(F_Inputs!$G$4:$T$381,MATCH(Data!$B251&amp;Data!L$6,F_Inputs!$A$4:$A$381&amp;F_Inputs!$B$4:$B$381,0),MATCH(Data!$C251,F_Inputs!$G$2:$T$2,0))</f>
        <v>1.1258284690815901</v>
      </c>
      <c r="N251" s="139">
        <f t="array" ref="N251">INDEX(F_Inputs!$G$4:$T$381,MATCH(Data!$B251&amp;Data!N$6,F_Inputs!$A$4:$A$381&amp;F_Inputs!$B$4:$B$381,0),MATCH(Data!$C251,F_Inputs!$G$2:$T$2,0))</f>
        <v>199.614</v>
      </c>
      <c r="O251" s="144"/>
      <c r="P251" s="139">
        <f t="array" ref="P251">INDEX(F_Inputs!$G$4:$T$381,MATCH(Data!$B251&amp;Data!P$6,F_Inputs!$A$4:$A$381&amp;F_Inputs!$B$4:$B$381,0),MATCH(Data!$C251,F_Inputs!$G$2:$T$2,0))</f>
        <v>0</v>
      </c>
      <c r="Q251" s="139">
        <f t="array" ref="Q251">INDEX(F_Inputs!$G$4:$T$381,MATCH(Data!$B251&amp;Data!Q$6,F_Inputs!$A$4:$A$381&amp;F_Inputs!$B$4:$B$381,0),MATCH(Data!$C251,F_Inputs!$G$2:$T$2,0))</f>
        <v>0</v>
      </c>
      <c r="R251" s="139">
        <f t="array" ref="R251">INDEX(F_Inputs!$G$4:$T$381,MATCH(Data!$B251&amp;Data!R$6,F_Inputs!$A$4:$A$381&amp;F_Inputs!$B$4:$B$381,0),MATCH(Data!$C251,F_Inputs!$G$2:$T$2,0))</f>
        <v>3.51</v>
      </c>
      <c r="S251" s="139">
        <f t="array" ref="S251">INDEX(F_Inputs!$G$4:$T$381,MATCH(Data!$B251&amp;Data!S$6,F_Inputs!$A$4:$A$381&amp;F_Inputs!$B$4:$B$381,0),MATCH(Data!$C251,F_Inputs!$G$2:$T$2,0))</f>
        <v>3.51</v>
      </c>
      <c r="U251" s="139">
        <f t="array" ref="U251">INDEX(F_Inputs!$G$4:$T$381,MATCH(Data!$B251&amp;Data!U$6,F_Inputs!$A$4:$A$381&amp;F_Inputs!$B$4:$B$381,0),MATCH(Data!$C251,F_Inputs!$G$2:$T$2,0))</f>
        <v>86.951733804650203</v>
      </c>
      <c r="V251" s="139">
        <f t="array" ref="V251">INDEX(F_Inputs!$G$4:$T$381,MATCH(Data!$B251&amp;Data!V$6,F_Inputs!$A$4:$A$381&amp;F_Inputs!$B$4:$B$381,0),MATCH(Data!$C251,F_Inputs!$G$2:$T$2,0))</f>
        <v>15032.1834129903</v>
      </c>
      <c r="W251" s="139">
        <f t="array" ref="W251">INDEX(F_Inputs!$G$4:$T$381,MATCH(Data!$B251&amp;Data!W$6,F_Inputs!$A$4:$A$381&amp;F_Inputs!$B$4:$B$381,0),MATCH(Data!$C251,F_Inputs!$G$2:$T$2,0))</f>
        <v>1047.4744511378799</v>
      </c>
    </row>
    <row r="252" spans="1:23" x14ac:dyDescent="0.2">
      <c r="A252" s="141" t="s">
        <v>275</v>
      </c>
      <c r="B252" s="142" t="s">
        <v>38</v>
      </c>
      <c r="C252" s="142" t="s">
        <v>75</v>
      </c>
      <c r="D252" s="139">
        <f t="array" ref="D252">INDEX(F_Inputs!$G$4:$T$381,MATCH(Data!$B252&amp;Data!D$6,F_Inputs!$A$4:$A$381&amp;F_Inputs!$B$4:$B$381,0),MATCH(Data!$C252,F_Inputs!$G$2:$T$2,0))</f>
        <v>5.32855273929425</v>
      </c>
      <c r="E252" s="139">
        <f t="array" ref="E252">INDEX(F_Inputs!$G$4:$T$381,MATCH(Data!$B252&amp;Data!E$6,F_Inputs!$A$4:$A$381&amp;F_Inputs!$B$4:$B$381,0),MATCH(Data!$C252,F_Inputs!$G$2:$T$2,0))</f>
        <v>5.6890929482967598</v>
      </c>
      <c r="F252" s="139">
        <f t="array" ref="F252">INDEX(F_Inputs!$G$4:$T$381,MATCH(Data!$B252&amp;Data!F$6,F_Inputs!$A$4:$A$381&amp;F_Inputs!$B$4:$B$381,0),MATCH(Data!$C252,F_Inputs!$G$2:$T$2,0))</f>
        <v>12.716297202654999</v>
      </c>
      <c r="G252" s="139">
        <f t="array" ref="G252">INDEX(F_Inputs!$G$4:$T$381,MATCH(Data!$B252&amp;Data!G$6,F_Inputs!$A$4:$A$381&amp;F_Inputs!$B$4:$B$381,0),MATCH(Data!$C252,F_Inputs!$G$2:$T$2,0))</f>
        <v>12.716297202654999</v>
      </c>
      <c r="I252" s="139">
        <f t="array" ref="I252">INDEX(F_Inputs!$G$4:$T$381,MATCH(Data!$B252&amp;Data!I$6,F_Inputs!$A$4:$A$381&amp;F_Inputs!$B$4:$B$381,0),MATCH(Data!$C252,F_Inputs!$G$2:$T$2,0))</f>
        <v>0</v>
      </c>
      <c r="J252" s="139">
        <f t="array" ref="J252">INDEX(F_Inputs!$G$4:$T$381,MATCH(Data!$B252&amp;Data!J$6,F_Inputs!$A$4:$A$381&amp;F_Inputs!$B$4:$B$381,0),MATCH(Data!$C252,F_Inputs!$G$2:$T$2,0))</f>
        <v>0</v>
      </c>
      <c r="K252" s="139">
        <f t="array" ref="K252">INDEX(F_Inputs!$G$4:$T$381,MATCH(Data!$B252&amp;Data!K$6,F_Inputs!$A$4:$A$381&amp;F_Inputs!$B$4:$B$381,0),MATCH(Data!$C252,F_Inputs!$G$2:$T$2,0))</f>
        <v>1.6105177581905701</v>
      </c>
      <c r="L252" s="139">
        <f t="array" ref="L252">INDEX(F_Inputs!$G$4:$T$381,MATCH(Data!$B252&amp;Data!L$6,F_Inputs!$A$4:$A$381&amp;F_Inputs!$B$4:$B$381,0),MATCH(Data!$C252,F_Inputs!$G$2:$T$2,0))</f>
        <v>1.6105177581905701</v>
      </c>
      <c r="N252" s="139">
        <f t="array" ref="N252">INDEX(F_Inputs!$G$4:$T$381,MATCH(Data!$B252&amp;Data!N$6,F_Inputs!$A$4:$A$381&amp;F_Inputs!$B$4:$B$381,0),MATCH(Data!$C252,F_Inputs!$G$2:$T$2,0))</f>
        <v>208.20400000000001</v>
      </c>
      <c r="O252" s="144"/>
      <c r="P252" s="139">
        <f t="array" ref="P252">INDEX(F_Inputs!$G$4:$T$381,MATCH(Data!$B252&amp;Data!P$6,F_Inputs!$A$4:$A$381&amp;F_Inputs!$B$4:$B$381,0),MATCH(Data!$C252,F_Inputs!$G$2:$T$2,0))</f>
        <v>0</v>
      </c>
      <c r="Q252" s="139">
        <f t="array" ref="Q252">INDEX(F_Inputs!$G$4:$T$381,MATCH(Data!$B252&amp;Data!Q$6,F_Inputs!$A$4:$A$381&amp;F_Inputs!$B$4:$B$381,0),MATCH(Data!$C252,F_Inputs!$G$2:$T$2,0))</f>
        <v>0</v>
      </c>
      <c r="R252" s="139">
        <f t="array" ref="R252">INDEX(F_Inputs!$G$4:$T$381,MATCH(Data!$B252&amp;Data!R$6,F_Inputs!$A$4:$A$381&amp;F_Inputs!$B$4:$B$381,0),MATCH(Data!$C252,F_Inputs!$G$2:$T$2,0))</f>
        <v>6.55</v>
      </c>
      <c r="S252" s="139">
        <f t="array" ref="S252">INDEX(F_Inputs!$G$4:$T$381,MATCH(Data!$B252&amp;Data!S$6,F_Inputs!$A$4:$A$381&amp;F_Inputs!$B$4:$B$381,0),MATCH(Data!$C252,F_Inputs!$G$2:$T$2,0))</f>
        <v>6.55</v>
      </c>
      <c r="U252" s="139">
        <f t="array" ref="U252">INDEX(F_Inputs!$G$4:$T$381,MATCH(Data!$B252&amp;Data!U$6,F_Inputs!$A$4:$A$381&amp;F_Inputs!$B$4:$B$381,0),MATCH(Data!$C252,F_Inputs!$G$2:$T$2,0))</f>
        <v>83.201204771109005</v>
      </c>
      <c r="V252" s="139">
        <f t="array" ref="V252">INDEX(F_Inputs!$G$4:$T$381,MATCH(Data!$B252&amp;Data!V$6,F_Inputs!$A$4:$A$381&amp;F_Inputs!$B$4:$B$381,0),MATCH(Data!$C252,F_Inputs!$G$2:$T$2,0))</f>
        <v>15128.099786786201</v>
      </c>
      <c r="W252" s="139">
        <f t="array" ref="W252">INDEX(F_Inputs!$G$4:$T$381,MATCH(Data!$B252&amp;Data!W$6,F_Inputs!$A$4:$A$381&amp;F_Inputs!$B$4:$B$381,0),MATCH(Data!$C252,F_Inputs!$G$2:$T$2,0))</f>
        <v>1057.8287751004</v>
      </c>
    </row>
    <row r="253" spans="1:23" x14ac:dyDescent="0.2">
      <c r="A253" s="141" t="s">
        <v>276</v>
      </c>
      <c r="B253" s="142" t="s">
        <v>38</v>
      </c>
      <c r="C253" s="142" t="s">
        <v>76</v>
      </c>
      <c r="D253" s="139">
        <f t="array" ref="D253">INDEX(F_Inputs!$G$4:$T$381,MATCH(Data!$B253&amp;Data!D$6,F_Inputs!$A$4:$A$381&amp;F_Inputs!$B$4:$B$381,0),MATCH(Data!$C253,F_Inputs!$G$2:$T$2,0))</f>
        <v>0.650872486069768</v>
      </c>
      <c r="E253" s="139">
        <f t="array" ref="E253">INDEX(F_Inputs!$G$4:$T$381,MATCH(Data!$B253&amp;Data!E$6,F_Inputs!$A$4:$A$381&amp;F_Inputs!$B$4:$B$381,0),MATCH(Data!$C253,F_Inputs!$G$2:$T$2,0))</f>
        <v>0.999503842198326</v>
      </c>
      <c r="F253" s="139">
        <f t="array" ref="F253">INDEX(F_Inputs!$G$4:$T$381,MATCH(Data!$B253&amp;Data!F$6,F_Inputs!$A$4:$A$381&amp;F_Inputs!$B$4:$B$381,0),MATCH(Data!$C253,F_Inputs!$G$2:$T$2,0))</f>
        <v>6.6267913257149598</v>
      </c>
      <c r="G253" s="139">
        <f t="array" ref="G253">INDEX(F_Inputs!$G$4:$T$381,MATCH(Data!$B253&amp;Data!G$6,F_Inputs!$A$4:$A$381&amp;F_Inputs!$B$4:$B$381,0),MATCH(Data!$C253,F_Inputs!$G$2:$T$2,0))</f>
        <v>6.6267913257149598</v>
      </c>
      <c r="I253" s="139">
        <f t="array" ref="I253">INDEX(F_Inputs!$G$4:$T$381,MATCH(Data!$B253&amp;Data!I$6,F_Inputs!$A$4:$A$381&amp;F_Inputs!$B$4:$B$381,0),MATCH(Data!$C253,F_Inputs!$G$2:$T$2,0))</f>
        <v>8.6985628805772403E-2</v>
      </c>
      <c r="J253" s="139">
        <f t="array" ref="J253">INDEX(F_Inputs!$G$4:$T$381,MATCH(Data!$B253&amp;Data!J$6,F_Inputs!$A$4:$A$381&amp;F_Inputs!$B$4:$B$381,0),MATCH(Data!$C253,F_Inputs!$G$2:$T$2,0))</f>
        <v>9.0536062634579501E-2</v>
      </c>
      <c r="K253" s="139">
        <f t="array" ref="K253">INDEX(F_Inputs!$G$4:$T$381,MATCH(Data!$B253&amp;Data!K$6,F_Inputs!$A$4:$A$381&amp;F_Inputs!$B$4:$B$381,0),MATCH(Data!$C253,F_Inputs!$G$2:$T$2,0))</f>
        <v>2.22442827581333</v>
      </c>
      <c r="L253" s="139">
        <f t="array" ref="L253">INDEX(F_Inputs!$G$4:$T$381,MATCH(Data!$B253&amp;Data!L$6,F_Inputs!$A$4:$A$381&amp;F_Inputs!$B$4:$B$381,0),MATCH(Data!$C253,F_Inputs!$G$2:$T$2,0))</f>
        <v>2.22442827581333</v>
      </c>
      <c r="N253" s="139">
        <f t="array" ref="N253">INDEX(F_Inputs!$G$4:$T$381,MATCH(Data!$B253&amp;Data!N$6,F_Inputs!$A$4:$A$381&amp;F_Inputs!$B$4:$B$381,0),MATCH(Data!$C253,F_Inputs!$G$2:$T$2,0))</f>
        <v>186.19499999999999</v>
      </c>
      <c r="O253" s="144"/>
      <c r="P253" s="139">
        <f t="array" ref="P253">INDEX(F_Inputs!$G$4:$T$381,MATCH(Data!$B253&amp;Data!P$6,F_Inputs!$A$4:$A$381&amp;F_Inputs!$B$4:$B$381,0),MATCH(Data!$C253,F_Inputs!$G$2:$T$2,0))</f>
        <v>18.18</v>
      </c>
      <c r="Q253" s="139">
        <f t="array" ref="Q253">INDEX(F_Inputs!$G$4:$T$381,MATCH(Data!$B253&amp;Data!Q$6,F_Inputs!$A$4:$A$381&amp;F_Inputs!$B$4:$B$381,0),MATCH(Data!$C253,F_Inputs!$G$2:$T$2,0))</f>
        <v>0</v>
      </c>
      <c r="R253" s="139">
        <f t="array" ref="R253">INDEX(F_Inputs!$G$4:$T$381,MATCH(Data!$B253&amp;Data!R$6,F_Inputs!$A$4:$A$381&amp;F_Inputs!$B$4:$B$381,0),MATCH(Data!$C253,F_Inputs!$G$2:$T$2,0))</f>
        <v>6.95</v>
      </c>
      <c r="S253" s="139">
        <f t="array" ref="S253">INDEX(F_Inputs!$G$4:$T$381,MATCH(Data!$B253&amp;Data!S$6,F_Inputs!$A$4:$A$381&amp;F_Inputs!$B$4:$B$381,0),MATCH(Data!$C253,F_Inputs!$G$2:$T$2,0))</f>
        <v>6.95</v>
      </c>
      <c r="U253" s="139">
        <f t="array" ref="U253">INDEX(F_Inputs!$G$4:$T$381,MATCH(Data!$B253&amp;Data!U$6,F_Inputs!$A$4:$A$381&amp;F_Inputs!$B$4:$B$381,0),MATCH(Data!$C253,F_Inputs!$G$2:$T$2,0))</f>
        <v>79.082168159882599</v>
      </c>
      <c r="V253" s="139">
        <f t="array" ref="V253">INDEX(F_Inputs!$G$4:$T$381,MATCH(Data!$B253&amp;Data!V$6,F_Inputs!$A$4:$A$381&amp;F_Inputs!$B$4:$B$381,0),MATCH(Data!$C253,F_Inputs!$G$2:$T$2,0))</f>
        <v>15216.215672525899</v>
      </c>
      <c r="W253" s="139">
        <f t="array" ref="W253">INDEX(F_Inputs!$G$4:$T$381,MATCH(Data!$B253&amp;Data!W$6,F_Inputs!$A$4:$A$381&amp;F_Inputs!$B$4:$B$381,0),MATCH(Data!$C253,F_Inputs!$G$2:$T$2,0))</f>
        <v>1068.3383868808601</v>
      </c>
    </row>
    <row r="254" spans="1:23" x14ac:dyDescent="0.2">
      <c r="A254" s="141" t="s">
        <v>277</v>
      </c>
      <c r="B254" s="142" t="s">
        <v>38</v>
      </c>
      <c r="C254" s="142" t="s">
        <v>24</v>
      </c>
      <c r="D254" s="139">
        <f t="array" ref="D254">INDEX(F_Inputs!$G$4:$T$381,MATCH(Data!$B254&amp;Data!D$6,F_Inputs!$A$4:$A$381&amp;F_Inputs!$B$4:$B$381,0),MATCH(Data!$C254,F_Inputs!$G$2:$T$2,0))</f>
        <v>0.80673349298728803</v>
      </c>
      <c r="E254" s="139">
        <f t="array" ref="E254">INDEX(F_Inputs!$G$4:$T$381,MATCH(Data!$B254&amp;Data!E$6,F_Inputs!$A$4:$A$381&amp;F_Inputs!$B$4:$B$381,0),MATCH(Data!$C254,F_Inputs!$G$2:$T$2,0))</f>
        <v>1.2672464852172101</v>
      </c>
      <c r="F254" s="139">
        <f t="array" ref="F254">INDEX(F_Inputs!$G$4:$T$381,MATCH(Data!$B254&amp;Data!F$6,F_Inputs!$A$4:$A$381&amp;F_Inputs!$B$4:$B$381,0),MATCH(Data!$C254,F_Inputs!$G$2:$T$2,0))</f>
        <v>7.9093044193680804</v>
      </c>
      <c r="G254" s="139">
        <f t="array" ref="G254">INDEX(F_Inputs!$G$4:$T$381,MATCH(Data!$B254&amp;Data!G$6,F_Inputs!$A$4:$A$381&amp;F_Inputs!$B$4:$B$381,0),MATCH(Data!$C254,F_Inputs!$G$2:$T$2,0))</f>
        <v>7.9093044193680804</v>
      </c>
      <c r="I254" s="139">
        <f t="array" ref="I254">INDEX(F_Inputs!$G$4:$T$381,MATCH(Data!$B254&amp;Data!I$6,F_Inputs!$A$4:$A$381&amp;F_Inputs!$B$4:$B$381,0),MATCH(Data!$C254,F_Inputs!$G$2:$T$2,0))</f>
        <v>8.60070404817075E-2</v>
      </c>
      <c r="J254" s="139">
        <f t="array" ref="J254">INDEX(F_Inputs!$G$4:$T$381,MATCH(Data!$B254&amp;Data!J$6,F_Inputs!$A$4:$A$381&amp;F_Inputs!$B$4:$B$381,0),MATCH(Data!$C254,F_Inputs!$G$2:$T$2,0))</f>
        <v>8.9517531929940497E-2</v>
      </c>
      <c r="K254" s="139">
        <f t="array" ref="K254">INDEX(F_Inputs!$G$4:$T$381,MATCH(Data!$B254&amp;Data!K$6,F_Inputs!$A$4:$A$381&amp;F_Inputs!$B$4:$B$381,0),MATCH(Data!$C254,F_Inputs!$G$2:$T$2,0))</f>
        <v>3.0890842130391398</v>
      </c>
      <c r="L254" s="139">
        <f t="array" ref="L254">INDEX(F_Inputs!$G$4:$T$381,MATCH(Data!$B254&amp;Data!L$6,F_Inputs!$A$4:$A$381&amp;F_Inputs!$B$4:$B$381,0),MATCH(Data!$C254,F_Inputs!$G$2:$T$2,0))</f>
        <v>3.0890842130391398</v>
      </c>
      <c r="N254" s="139">
        <f t="array" ref="N254">INDEX(F_Inputs!$G$4:$T$381,MATCH(Data!$B254&amp;Data!N$6,F_Inputs!$A$4:$A$381&amp;F_Inputs!$B$4:$B$381,0),MATCH(Data!$C254,F_Inputs!$G$2:$T$2,0))</f>
        <v>194.58799999999999</v>
      </c>
      <c r="O254" s="144"/>
      <c r="P254" s="139">
        <f t="array" ref="P254">INDEX(F_Inputs!$G$4:$T$381,MATCH(Data!$B254&amp;Data!P$6,F_Inputs!$A$4:$A$381&amp;F_Inputs!$B$4:$B$381,0),MATCH(Data!$C254,F_Inputs!$G$2:$T$2,0))</f>
        <v>0</v>
      </c>
      <c r="Q254" s="139">
        <f t="array" ref="Q254">INDEX(F_Inputs!$G$4:$T$381,MATCH(Data!$B254&amp;Data!Q$6,F_Inputs!$A$4:$A$381&amp;F_Inputs!$B$4:$B$381,0),MATCH(Data!$C254,F_Inputs!$G$2:$T$2,0))</f>
        <v>17.350000000000001</v>
      </c>
      <c r="R254" s="139">
        <f t="array" ref="R254">INDEX(F_Inputs!$G$4:$T$381,MATCH(Data!$B254&amp;Data!R$6,F_Inputs!$A$4:$A$381&amp;F_Inputs!$B$4:$B$381,0),MATCH(Data!$C254,F_Inputs!$G$2:$T$2,0))</f>
        <v>6.86</v>
      </c>
      <c r="S254" s="139">
        <f t="array" ref="S254">INDEX(F_Inputs!$G$4:$T$381,MATCH(Data!$B254&amp;Data!S$6,F_Inputs!$A$4:$A$381&amp;F_Inputs!$B$4:$B$381,0),MATCH(Data!$C254,F_Inputs!$G$2:$T$2,0))</f>
        <v>6.86</v>
      </c>
      <c r="U254" s="139">
        <f t="array" ref="U254">INDEX(F_Inputs!$G$4:$T$381,MATCH(Data!$B254&amp;Data!U$6,F_Inputs!$A$4:$A$381&amp;F_Inputs!$B$4:$B$381,0),MATCH(Data!$C254,F_Inputs!$G$2:$T$2,0))</f>
        <v>75.075874259341404</v>
      </c>
      <c r="V254" s="139">
        <f t="array" ref="V254">INDEX(F_Inputs!$G$4:$T$381,MATCH(Data!$B254&amp;Data!V$6,F_Inputs!$A$4:$A$381&amp;F_Inputs!$B$4:$B$381,0),MATCH(Data!$C254,F_Inputs!$G$2:$T$2,0))</f>
        <v>15382.7868570254</v>
      </c>
      <c r="W254" s="139">
        <f t="array" ref="W254">INDEX(F_Inputs!$G$4:$T$381,MATCH(Data!$B254&amp;Data!W$6,F_Inputs!$A$4:$A$381&amp;F_Inputs!$B$4:$B$381,0),MATCH(Data!$C254,F_Inputs!$G$2:$T$2,0))</f>
        <v>1079.0054149933101</v>
      </c>
    </row>
    <row r="255" spans="1:23" x14ac:dyDescent="0.2">
      <c r="A255" s="138" t="str">
        <f t="shared" ref="A255" si="15">B255&amp;RIGHT(C255,2)</f>
        <v>SSC12</v>
      </c>
      <c r="B255" s="19" t="s">
        <v>39</v>
      </c>
      <c r="C255" s="143" t="s">
        <v>64</v>
      </c>
      <c r="D255" s="139">
        <f t="array" ref="D255">INDEX(F_Inputs!$G$4:$T$381,MATCH(Data!$B255&amp;Data!D$6,F_Inputs!$A$4:$A$381&amp;F_Inputs!$B$4:$B$381,0),MATCH(Data!$C255,F_Inputs!$G$2:$T$2,0))</f>
        <v>1.2351793155824301E-3</v>
      </c>
      <c r="E255" s="139">
        <f t="array" ref="E255">INDEX(F_Inputs!$G$4:$T$381,MATCH(Data!$B255&amp;Data!E$6,F_Inputs!$A$4:$A$381&amp;F_Inputs!$B$4:$B$381,0),MATCH(Data!$C255,F_Inputs!$G$2:$T$2,0))</f>
        <v>0.45601576518909998</v>
      </c>
      <c r="F255" s="139">
        <f t="array" ref="F255">INDEX(F_Inputs!$G$4:$T$381,MATCH(Data!$B255&amp;Data!F$6,F_Inputs!$A$4:$A$381&amp;F_Inputs!$B$4:$B$381,0),MATCH(Data!$C255,F_Inputs!$G$2:$T$2,0))</f>
        <v>0</v>
      </c>
      <c r="G255" s="139">
        <f t="array" ref="G255">INDEX(F_Inputs!$G$4:$T$381,MATCH(Data!$B255&amp;Data!G$6,F_Inputs!$A$4:$A$381&amp;F_Inputs!$B$4:$B$381,0),MATCH(Data!$C255,F_Inputs!$G$2:$T$2,0))</f>
        <v>7.8820618500808695E-2</v>
      </c>
      <c r="I255" s="139">
        <f t="array" ref="I255">INDEX(F_Inputs!$G$4:$T$381,MATCH(Data!$B255&amp;Data!I$6,F_Inputs!$A$4:$A$381&amp;F_Inputs!$B$4:$B$381,0),MATCH(Data!$C255,F_Inputs!$G$2:$T$2,0))</f>
        <v>0</v>
      </c>
      <c r="J255" s="139">
        <f t="array" ref="J255">INDEX(F_Inputs!$G$4:$T$381,MATCH(Data!$B255&amp;Data!J$6,F_Inputs!$A$4:$A$381&amp;F_Inputs!$B$4:$B$381,0),MATCH(Data!$C255,F_Inputs!$G$2:$T$2,0))</f>
        <v>0</v>
      </c>
      <c r="K255" s="139">
        <f t="array" ref="K255">INDEX(F_Inputs!$G$4:$T$381,MATCH(Data!$B255&amp;Data!K$6,F_Inputs!$A$4:$A$381&amp;F_Inputs!$B$4:$B$381,0),MATCH(Data!$C255,F_Inputs!$G$2:$T$2,0))</f>
        <v>0</v>
      </c>
      <c r="L255" s="139">
        <f t="array" ref="L255">INDEX(F_Inputs!$G$4:$T$381,MATCH(Data!$B255&amp;Data!L$6,F_Inputs!$A$4:$A$381&amp;F_Inputs!$B$4:$B$381,0),MATCH(Data!$C255,F_Inputs!$G$2:$T$2,0))</f>
        <v>0</v>
      </c>
      <c r="N255" s="139">
        <f t="array" ref="N255">INDEX(F_Inputs!$G$4:$T$381,MATCH(Data!$B255&amp;Data!N$6,F_Inputs!$A$4:$A$381&amp;F_Inputs!$B$4:$B$381,0),MATCH(Data!$C255,F_Inputs!$G$2:$T$2,0))</f>
        <v>79.0064108590432</v>
      </c>
      <c r="O255" s="144"/>
      <c r="P255" s="139">
        <f t="array" ref="P255">INDEX(F_Inputs!$G$4:$T$381,MATCH(Data!$B255&amp;Data!P$6,F_Inputs!$A$4:$A$381&amp;F_Inputs!$B$4:$B$381,0),MATCH(Data!$C255,F_Inputs!$G$2:$T$2,0))</f>
        <v>0</v>
      </c>
      <c r="Q255" s="139">
        <f t="array" ref="Q255">INDEX(F_Inputs!$G$4:$T$381,MATCH(Data!$B255&amp;Data!Q$6,F_Inputs!$A$4:$A$381&amp;F_Inputs!$B$4:$B$381,0),MATCH(Data!$C255,F_Inputs!$G$2:$T$2,0))</f>
        <v>0</v>
      </c>
      <c r="R255" s="139">
        <f t="array" ref="R255">INDEX(F_Inputs!$G$4:$T$381,MATCH(Data!$B255&amp;Data!R$6,F_Inputs!$A$4:$A$381&amp;F_Inputs!$B$4:$B$381,0),MATCH(Data!$C255,F_Inputs!$G$2:$T$2,0))</f>
        <v>0</v>
      </c>
      <c r="S255" s="139">
        <f t="array" ref="S255">INDEX(F_Inputs!$G$4:$T$381,MATCH(Data!$B255&amp;Data!S$6,F_Inputs!$A$4:$A$381&amp;F_Inputs!$B$4:$B$381,0),MATCH(Data!$C255,F_Inputs!$G$2:$T$2,0))</f>
        <v>0</v>
      </c>
      <c r="U255" s="139">
        <f t="array" ref="U255">INDEX(F_Inputs!$G$4:$T$381,MATCH(Data!$B255&amp;Data!U$6,F_Inputs!$A$4:$A$381&amp;F_Inputs!$B$4:$B$381,0),MATCH(Data!$C255,F_Inputs!$G$2:$T$2,0))</f>
        <v>0</v>
      </c>
      <c r="V255" s="139">
        <f t="array" ref="V255">INDEX(F_Inputs!$G$4:$T$381,MATCH(Data!$B255&amp;Data!V$6,F_Inputs!$A$4:$A$381&amp;F_Inputs!$B$4:$B$381,0),MATCH(Data!$C255,F_Inputs!$G$2:$T$2,0))</f>
        <v>0</v>
      </c>
      <c r="W255" s="139">
        <f t="array" ref="W255">INDEX(F_Inputs!$G$4:$T$381,MATCH(Data!$B255&amp;Data!W$6,F_Inputs!$A$4:$A$381&amp;F_Inputs!$B$4:$B$381,0),MATCH(Data!$C255,F_Inputs!$G$2:$T$2,0))</f>
        <v>0</v>
      </c>
    </row>
    <row r="256" spans="1:23" x14ac:dyDescent="0.2">
      <c r="A256" s="138" t="str">
        <f>B256&amp;RIGHT(C256,2)</f>
        <v>SSC13</v>
      </c>
      <c r="B256" s="19" t="s">
        <v>39</v>
      </c>
      <c r="C256" s="143" t="s">
        <v>65</v>
      </c>
      <c r="D256" s="139">
        <f t="array" ref="D256">INDEX(F_Inputs!$G$4:$T$381,MATCH(Data!$B256&amp;Data!D$6,F_Inputs!$A$4:$A$381&amp;F_Inputs!$B$4:$B$381,0),MATCH(Data!$C256,F_Inputs!$G$2:$T$2,0))</f>
        <v>9.4978035656508302E-4</v>
      </c>
      <c r="E256" s="139">
        <f t="array" ref="E256">INDEX(F_Inputs!$G$4:$T$381,MATCH(Data!$B256&amp;Data!E$6,F_Inputs!$A$4:$A$381&amp;F_Inputs!$B$4:$B$381,0),MATCH(Data!$C256,F_Inputs!$G$2:$T$2,0))</f>
        <v>0.62418044239316695</v>
      </c>
      <c r="F256" s="139">
        <f t="array" ref="F256">INDEX(F_Inputs!$G$4:$T$381,MATCH(Data!$B256&amp;Data!F$6,F_Inputs!$A$4:$A$381&amp;F_Inputs!$B$4:$B$381,0),MATCH(Data!$C256,F_Inputs!$G$2:$T$2,0))</f>
        <v>0</v>
      </c>
      <c r="G256" s="139">
        <f t="array" ref="G256">INDEX(F_Inputs!$G$4:$T$381,MATCH(Data!$B256&amp;Data!G$6,F_Inputs!$A$4:$A$381&amp;F_Inputs!$B$4:$B$381,0),MATCH(Data!$C256,F_Inputs!$G$2:$T$2,0))</f>
        <v>7.3260482986955394E-2</v>
      </c>
      <c r="I256" s="139">
        <f t="array" ref="I256">INDEX(F_Inputs!$G$4:$T$381,MATCH(Data!$B256&amp;Data!I$6,F_Inputs!$A$4:$A$381&amp;F_Inputs!$B$4:$B$381,0),MATCH(Data!$C256,F_Inputs!$G$2:$T$2,0))</f>
        <v>0</v>
      </c>
      <c r="J256" s="139">
        <f t="array" ref="J256">INDEX(F_Inputs!$G$4:$T$381,MATCH(Data!$B256&amp;Data!J$6,F_Inputs!$A$4:$A$381&amp;F_Inputs!$B$4:$B$381,0),MATCH(Data!$C256,F_Inputs!$G$2:$T$2,0))</f>
        <v>0</v>
      </c>
      <c r="K256" s="139">
        <f t="array" ref="K256">INDEX(F_Inputs!$G$4:$T$381,MATCH(Data!$B256&amp;Data!K$6,F_Inputs!$A$4:$A$381&amp;F_Inputs!$B$4:$B$381,0),MATCH(Data!$C256,F_Inputs!$G$2:$T$2,0))</f>
        <v>0</v>
      </c>
      <c r="L256" s="139">
        <f t="array" ref="L256">INDEX(F_Inputs!$G$4:$T$381,MATCH(Data!$B256&amp;Data!L$6,F_Inputs!$A$4:$A$381&amp;F_Inputs!$B$4:$B$381,0),MATCH(Data!$C256,F_Inputs!$G$2:$T$2,0))</f>
        <v>0</v>
      </c>
      <c r="N256" s="139">
        <f t="array" ref="N256">INDEX(F_Inputs!$G$4:$T$381,MATCH(Data!$B256&amp;Data!N$6,F_Inputs!$A$4:$A$381&amp;F_Inputs!$B$4:$B$381,0),MATCH(Data!$C256,F_Inputs!$G$2:$T$2,0))</f>
        <v>86.069267941825998</v>
      </c>
      <c r="O256" s="144"/>
      <c r="P256" s="139">
        <f t="array" ref="P256">INDEX(F_Inputs!$G$4:$T$381,MATCH(Data!$B256&amp;Data!P$6,F_Inputs!$A$4:$A$381&amp;F_Inputs!$B$4:$B$381,0),MATCH(Data!$C256,F_Inputs!$G$2:$T$2,0))</f>
        <v>0</v>
      </c>
      <c r="Q256" s="139">
        <f t="array" ref="Q256">INDEX(F_Inputs!$G$4:$T$381,MATCH(Data!$B256&amp;Data!Q$6,F_Inputs!$A$4:$A$381&amp;F_Inputs!$B$4:$B$381,0),MATCH(Data!$C256,F_Inputs!$G$2:$T$2,0))</f>
        <v>0</v>
      </c>
      <c r="R256" s="139">
        <f t="array" ref="R256">INDEX(F_Inputs!$G$4:$T$381,MATCH(Data!$B256&amp;Data!R$6,F_Inputs!$A$4:$A$381&amp;F_Inputs!$B$4:$B$381,0),MATCH(Data!$C256,F_Inputs!$G$2:$T$2,0))</f>
        <v>0</v>
      </c>
      <c r="S256" s="139">
        <f t="array" ref="S256">INDEX(F_Inputs!$G$4:$T$381,MATCH(Data!$B256&amp;Data!S$6,F_Inputs!$A$4:$A$381&amp;F_Inputs!$B$4:$B$381,0),MATCH(Data!$C256,F_Inputs!$G$2:$T$2,0))</f>
        <v>0</v>
      </c>
      <c r="U256" s="139">
        <f t="array" ref="U256">INDEX(F_Inputs!$G$4:$T$381,MATCH(Data!$B256&amp;Data!U$6,F_Inputs!$A$4:$A$381&amp;F_Inputs!$B$4:$B$381,0),MATCH(Data!$C256,F_Inputs!$G$2:$T$2,0))</f>
        <v>0</v>
      </c>
      <c r="V256" s="139">
        <f t="array" ref="V256">INDEX(F_Inputs!$G$4:$T$381,MATCH(Data!$B256&amp;Data!V$6,F_Inputs!$A$4:$A$381&amp;F_Inputs!$B$4:$B$381,0),MATCH(Data!$C256,F_Inputs!$G$2:$T$2,0))</f>
        <v>0</v>
      </c>
      <c r="W256" s="139">
        <f t="array" ref="W256">INDEX(F_Inputs!$G$4:$T$381,MATCH(Data!$B256&amp;Data!W$6,F_Inputs!$A$4:$A$381&amp;F_Inputs!$B$4:$B$381,0),MATCH(Data!$C256,F_Inputs!$G$2:$T$2,0))</f>
        <v>0</v>
      </c>
    </row>
    <row r="257" spans="1:23" x14ac:dyDescent="0.2">
      <c r="A257" s="138" t="str">
        <f>B257&amp;RIGHT(C257,2)</f>
        <v>SSC14</v>
      </c>
      <c r="B257" s="19" t="s">
        <v>39</v>
      </c>
      <c r="C257" s="143" t="s">
        <v>66</v>
      </c>
      <c r="D257" s="139">
        <f t="array" ref="D257">INDEX(F_Inputs!$G$4:$T$381,MATCH(Data!$B257&amp;Data!D$6,F_Inputs!$A$4:$A$381&amp;F_Inputs!$B$4:$B$381,0),MATCH(Data!$C257,F_Inputs!$G$2:$T$2,0))</f>
        <v>0</v>
      </c>
      <c r="E257" s="139">
        <f t="array" ref="E257">INDEX(F_Inputs!$G$4:$T$381,MATCH(Data!$B257&amp;Data!E$6,F_Inputs!$A$4:$A$381&amp;F_Inputs!$B$4:$B$381,0),MATCH(Data!$C257,F_Inputs!$G$2:$T$2,0))</f>
        <v>0.290949489868154</v>
      </c>
      <c r="F257" s="139">
        <f t="array" ref="F257">INDEX(F_Inputs!$G$4:$T$381,MATCH(Data!$B257&amp;Data!F$6,F_Inputs!$A$4:$A$381&amp;F_Inputs!$B$4:$B$381,0),MATCH(Data!$C257,F_Inputs!$G$2:$T$2,0))</f>
        <v>0</v>
      </c>
      <c r="G257" s="139">
        <f t="array" ref="G257">INDEX(F_Inputs!$G$4:$T$381,MATCH(Data!$B257&amp;Data!G$6,F_Inputs!$A$4:$A$381&amp;F_Inputs!$B$4:$B$381,0),MATCH(Data!$C257,F_Inputs!$G$2:$T$2,0))</f>
        <v>8.1193841516227203E-2</v>
      </c>
      <c r="I257" s="139">
        <f t="array" ref="I257">INDEX(F_Inputs!$G$4:$T$381,MATCH(Data!$B257&amp;Data!I$6,F_Inputs!$A$4:$A$381&amp;F_Inputs!$B$4:$B$381,0),MATCH(Data!$C257,F_Inputs!$G$2:$T$2,0))</f>
        <v>0</v>
      </c>
      <c r="J257" s="139">
        <f t="array" ref="J257">INDEX(F_Inputs!$G$4:$T$381,MATCH(Data!$B257&amp;Data!J$6,F_Inputs!$A$4:$A$381&amp;F_Inputs!$B$4:$B$381,0),MATCH(Data!$C257,F_Inputs!$G$2:$T$2,0))</f>
        <v>0</v>
      </c>
      <c r="K257" s="139">
        <f t="array" ref="K257">INDEX(F_Inputs!$G$4:$T$381,MATCH(Data!$B257&amp;Data!K$6,F_Inputs!$A$4:$A$381&amp;F_Inputs!$B$4:$B$381,0),MATCH(Data!$C257,F_Inputs!$G$2:$T$2,0))</f>
        <v>0</v>
      </c>
      <c r="L257" s="139">
        <f t="array" ref="L257">INDEX(F_Inputs!$G$4:$T$381,MATCH(Data!$B257&amp;Data!L$6,F_Inputs!$A$4:$A$381&amp;F_Inputs!$B$4:$B$381,0),MATCH(Data!$C257,F_Inputs!$G$2:$T$2,0))</f>
        <v>0</v>
      </c>
      <c r="N257" s="139">
        <f t="array" ref="N257">INDEX(F_Inputs!$G$4:$T$381,MATCH(Data!$B257&amp;Data!N$6,F_Inputs!$A$4:$A$381&amp;F_Inputs!$B$4:$B$381,0),MATCH(Data!$C257,F_Inputs!$G$2:$T$2,0))</f>
        <v>80.006591644689095</v>
      </c>
      <c r="O257" s="144"/>
      <c r="P257" s="139">
        <f t="array" ref="P257">INDEX(F_Inputs!$G$4:$T$381,MATCH(Data!$B257&amp;Data!P$6,F_Inputs!$A$4:$A$381&amp;F_Inputs!$B$4:$B$381,0),MATCH(Data!$C257,F_Inputs!$G$2:$T$2,0))</f>
        <v>0</v>
      </c>
      <c r="Q257" s="139">
        <f t="array" ref="Q257">INDEX(F_Inputs!$G$4:$T$381,MATCH(Data!$B257&amp;Data!Q$6,F_Inputs!$A$4:$A$381&amp;F_Inputs!$B$4:$B$381,0),MATCH(Data!$C257,F_Inputs!$G$2:$T$2,0))</f>
        <v>0</v>
      </c>
      <c r="R257" s="139">
        <f t="array" ref="R257">INDEX(F_Inputs!$G$4:$T$381,MATCH(Data!$B257&amp;Data!R$6,F_Inputs!$A$4:$A$381&amp;F_Inputs!$B$4:$B$381,0),MATCH(Data!$C257,F_Inputs!$G$2:$T$2,0))</f>
        <v>0</v>
      </c>
      <c r="S257" s="139">
        <f t="array" ref="S257">INDEX(F_Inputs!$G$4:$T$381,MATCH(Data!$B257&amp;Data!S$6,F_Inputs!$A$4:$A$381&amp;F_Inputs!$B$4:$B$381,0),MATCH(Data!$C257,F_Inputs!$G$2:$T$2,0))</f>
        <v>0</v>
      </c>
      <c r="U257" s="139">
        <f t="array" ref="U257">INDEX(F_Inputs!$G$4:$T$381,MATCH(Data!$B257&amp;Data!U$6,F_Inputs!$A$4:$A$381&amp;F_Inputs!$B$4:$B$381,0),MATCH(Data!$C257,F_Inputs!$G$2:$T$2,0))</f>
        <v>0</v>
      </c>
      <c r="V257" s="139">
        <f t="array" ref="V257">INDEX(F_Inputs!$G$4:$T$381,MATCH(Data!$B257&amp;Data!V$6,F_Inputs!$A$4:$A$381&amp;F_Inputs!$B$4:$B$381,0),MATCH(Data!$C257,F_Inputs!$G$2:$T$2,0))</f>
        <v>0</v>
      </c>
      <c r="W257" s="139">
        <f t="array" ref="W257">INDEX(F_Inputs!$G$4:$T$381,MATCH(Data!$B257&amp;Data!W$6,F_Inputs!$A$4:$A$381&amp;F_Inputs!$B$4:$B$381,0),MATCH(Data!$C257,F_Inputs!$G$2:$T$2,0))</f>
        <v>0</v>
      </c>
    </row>
    <row r="258" spans="1:23" x14ac:dyDescent="0.2">
      <c r="A258" s="138" t="str">
        <f>B258&amp;RIGHT(C258,2)</f>
        <v>SSC15</v>
      </c>
      <c r="B258" s="19" t="s">
        <v>39</v>
      </c>
      <c r="C258" s="143" t="s">
        <v>67</v>
      </c>
      <c r="D258" s="139">
        <f t="array" ref="D258">INDEX(F_Inputs!$G$4:$T$381,MATCH(Data!$B258&amp;Data!D$6,F_Inputs!$A$4:$A$381&amp;F_Inputs!$B$4:$B$381,0),MATCH(Data!$C258,F_Inputs!$G$2:$T$2,0))</f>
        <v>0</v>
      </c>
      <c r="E258" s="139">
        <f t="array" ref="E258">INDEX(F_Inputs!$G$4:$T$381,MATCH(Data!$B258&amp;Data!E$6,F_Inputs!$A$4:$A$381&amp;F_Inputs!$B$4:$B$381,0),MATCH(Data!$C258,F_Inputs!$G$2:$T$2,0))</f>
        <v>0.57969006308348003</v>
      </c>
      <c r="F258" s="139">
        <f t="array" ref="F258">INDEX(F_Inputs!$G$4:$T$381,MATCH(Data!$B258&amp;Data!F$6,F_Inputs!$A$4:$A$381&amp;F_Inputs!$B$4:$B$381,0),MATCH(Data!$C258,F_Inputs!$G$2:$T$2,0))</f>
        <v>0</v>
      </c>
      <c r="G258" s="139">
        <f t="array" ref="G258">INDEX(F_Inputs!$G$4:$T$381,MATCH(Data!$B258&amp;Data!G$6,F_Inputs!$A$4:$A$381&amp;F_Inputs!$B$4:$B$381,0),MATCH(Data!$C258,F_Inputs!$G$2:$T$2,0))</f>
        <v>5.0609609360741999E-2</v>
      </c>
      <c r="I258" s="139">
        <f t="array" ref="I258">INDEX(F_Inputs!$G$4:$T$381,MATCH(Data!$B258&amp;Data!I$6,F_Inputs!$A$4:$A$381&amp;F_Inputs!$B$4:$B$381,0),MATCH(Data!$C258,F_Inputs!$G$2:$T$2,0))</f>
        <v>0</v>
      </c>
      <c r="J258" s="139">
        <f t="array" ref="J258">INDEX(F_Inputs!$G$4:$T$381,MATCH(Data!$B258&amp;Data!J$6,F_Inputs!$A$4:$A$381&amp;F_Inputs!$B$4:$B$381,0),MATCH(Data!$C258,F_Inputs!$G$2:$T$2,0))</f>
        <v>0</v>
      </c>
      <c r="K258" s="139">
        <f t="array" ref="K258">INDEX(F_Inputs!$G$4:$T$381,MATCH(Data!$B258&amp;Data!K$6,F_Inputs!$A$4:$A$381&amp;F_Inputs!$B$4:$B$381,0),MATCH(Data!$C258,F_Inputs!$G$2:$T$2,0))</f>
        <v>0</v>
      </c>
      <c r="L258" s="139">
        <f t="array" ref="L258">INDEX(F_Inputs!$G$4:$T$381,MATCH(Data!$B258&amp;Data!L$6,F_Inputs!$A$4:$A$381&amp;F_Inputs!$B$4:$B$381,0),MATCH(Data!$C258,F_Inputs!$G$2:$T$2,0))</f>
        <v>0</v>
      </c>
      <c r="N258" s="139">
        <f t="array" ref="N258">INDEX(F_Inputs!$G$4:$T$381,MATCH(Data!$B258&amp;Data!N$6,F_Inputs!$A$4:$A$381&amp;F_Inputs!$B$4:$B$381,0),MATCH(Data!$C258,F_Inputs!$G$2:$T$2,0))</f>
        <v>80.054060597420104</v>
      </c>
      <c r="O258" s="144"/>
      <c r="P258" s="139">
        <f t="array" ref="P258">INDEX(F_Inputs!$G$4:$T$381,MATCH(Data!$B258&amp;Data!P$6,F_Inputs!$A$4:$A$381&amp;F_Inputs!$B$4:$B$381,0),MATCH(Data!$C258,F_Inputs!$G$2:$T$2,0))</f>
        <v>0</v>
      </c>
      <c r="Q258" s="139">
        <f t="array" ref="Q258">INDEX(F_Inputs!$G$4:$T$381,MATCH(Data!$B258&amp;Data!Q$6,F_Inputs!$A$4:$A$381&amp;F_Inputs!$B$4:$B$381,0),MATCH(Data!$C258,F_Inputs!$G$2:$T$2,0))</f>
        <v>0</v>
      </c>
      <c r="R258" s="139">
        <f t="array" ref="R258">INDEX(F_Inputs!$G$4:$T$381,MATCH(Data!$B258&amp;Data!R$6,F_Inputs!$A$4:$A$381&amp;F_Inputs!$B$4:$B$381,0),MATCH(Data!$C258,F_Inputs!$G$2:$T$2,0))</f>
        <v>0</v>
      </c>
      <c r="S258" s="139">
        <f t="array" ref="S258">INDEX(F_Inputs!$G$4:$T$381,MATCH(Data!$B258&amp;Data!S$6,F_Inputs!$A$4:$A$381&amp;F_Inputs!$B$4:$B$381,0),MATCH(Data!$C258,F_Inputs!$G$2:$T$2,0))</f>
        <v>0</v>
      </c>
      <c r="U258" s="139">
        <f t="array" ref="U258">INDEX(F_Inputs!$G$4:$T$381,MATCH(Data!$B258&amp;Data!U$6,F_Inputs!$A$4:$A$381&amp;F_Inputs!$B$4:$B$381,0),MATCH(Data!$C258,F_Inputs!$G$2:$T$2,0))</f>
        <v>0</v>
      </c>
      <c r="V258" s="139">
        <f t="array" ref="V258">INDEX(F_Inputs!$G$4:$T$381,MATCH(Data!$B258&amp;Data!V$6,F_Inputs!$A$4:$A$381&amp;F_Inputs!$B$4:$B$381,0),MATCH(Data!$C258,F_Inputs!$G$2:$T$2,0))</f>
        <v>0</v>
      </c>
      <c r="W258" s="139">
        <f t="array" ref="W258">INDEX(F_Inputs!$G$4:$T$381,MATCH(Data!$B258&amp;Data!W$6,F_Inputs!$A$4:$A$381&amp;F_Inputs!$B$4:$B$381,0),MATCH(Data!$C258,F_Inputs!$G$2:$T$2,0))</f>
        <v>0</v>
      </c>
    </row>
    <row r="259" spans="1:23" x14ac:dyDescent="0.2">
      <c r="A259" s="145" t="str">
        <f>B259&amp;RIGHT(C259,2)</f>
        <v>SSC16</v>
      </c>
      <c r="B259" s="19" t="s">
        <v>39</v>
      </c>
      <c r="C259" s="19" t="s">
        <v>68</v>
      </c>
      <c r="D259" s="139">
        <f t="array" ref="D259">INDEX(F_Inputs!$G$4:$T$381,MATCH(Data!$B259&amp;Data!D$6,F_Inputs!$A$4:$A$381&amp;F_Inputs!$B$4:$B$381,0),MATCH(Data!$C259,F_Inputs!$G$2:$T$2,0))</f>
        <v>0</v>
      </c>
      <c r="E259" s="139">
        <f t="array" ref="E259">INDEX(F_Inputs!$G$4:$T$381,MATCH(Data!$B259&amp;Data!E$6,F_Inputs!$A$4:$A$381&amp;F_Inputs!$B$4:$B$381,0),MATCH(Data!$C259,F_Inputs!$G$2:$T$2,0))</f>
        <v>0.48319990912312799</v>
      </c>
      <c r="F259" s="139">
        <f t="array" ref="F259">INDEX(F_Inputs!$G$4:$T$381,MATCH(Data!$B259&amp;Data!F$6,F_Inputs!$A$4:$A$381&amp;F_Inputs!$B$4:$B$381,0),MATCH(Data!$C259,F_Inputs!$G$2:$T$2,0))</f>
        <v>0</v>
      </c>
      <c r="G259" s="139">
        <f t="array" ref="G259">INDEX(F_Inputs!$G$4:$T$381,MATCH(Data!$B259&amp;Data!G$6,F_Inputs!$A$4:$A$381&amp;F_Inputs!$B$4:$B$381,0),MATCH(Data!$C259,F_Inputs!$G$2:$T$2,0))</f>
        <v>8.4437921322795303E-2</v>
      </c>
      <c r="I259" s="139">
        <f t="array" ref="I259">INDEX(F_Inputs!$G$4:$T$381,MATCH(Data!$B259&amp;Data!I$6,F_Inputs!$A$4:$A$381&amp;F_Inputs!$B$4:$B$381,0),MATCH(Data!$C259,F_Inputs!$G$2:$T$2,0))</f>
        <v>0</v>
      </c>
      <c r="J259" s="139">
        <f t="array" ref="J259">INDEX(F_Inputs!$G$4:$T$381,MATCH(Data!$B259&amp;Data!J$6,F_Inputs!$A$4:$A$381&amp;F_Inputs!$B$4:$B$381,0),MATCH(Data!$C259,F_Inputs!$G$2:$T$2,0))</f>
        <v>0</v>
      </c>
      <c r="K259" s="139">
        <f t="array" ref="K259">INDEX(F_Inputs!$G$4:$T$381,MATCH(Data!$B259&amp;Data!K$6,F_Inputs!$A$4:$A$381&amp;F_Inputs!$B$4:$B$381,0),MATCH(Data!$C259,F_Inputs!$G$2:$T$2,0))</f>
        <v>0</v>
      </c>
      <c r="L259" s="139">
        <f t="array" ref="L259">INDEX(F_Inputs!$G$4:$T$381,MATCH(Data!$B259&amp;Data!L$6,F_Inputs!$A$4:$A$381&amp;F_Inputs!$B$4:$B$381,0),MATCH(Data!$C259,F_Inputs!$G$2:$T$2,0))</f>
        <v>0</v>
      </c>
      <c r="N259" s="139">
        <f t="array" ref="N259">INDEX(F_Inputs!$G$4:$T$381,MATCH(Data!$B259&amp;Data!N$6,F_Inputs!$A$4:$A$381&amp;F_Inputs!$B$4:$B$381,0),MATCH(Data!$C259,F_Inputs!$G$2:$T$2,0))</f>
        <v>83.403541598416098</v>
      </c>
      <c r="O259" s="144"/>
      <c r="P259" s="139">
        <f t="array" ref="P259">INDEX(F_Inputs!$G$4:$T$381,MATCH(Data!$B259&amp;Data!P$6,F_Inputs!$A$4:$A$381&amp;F_Inputs!$B$4:$B$381,0),MATCH(Data!$C259,F_Inputs!$G$2:$T$2,0))</f>
        <v>0</v>
      </c>
      <c r="Q259" s="139">
        <f t="array" ref="Q259">INDEX(F_Inputs!$G$4:$T$381,MATCH(Data!$B259&amp;Data!Q$6,F_Inputs!$A$4:$A$381&amp;F_Inputs!$B$4:$B$381,0),MATCH(Data!$C259,F_Inputs!$G$2:$T$2,0))</f>
        <v>0</v>
      </c>
      <c r="R259" s="139">
        <f t="array" ref="R259">INDEX(F_Inputs!$G$4:$T$381,MATCH(Data!$B259&amp;Data!R$6,F_Inputs!$A$4:$A$381&amp;F_Inputs!$B$4:$B$381,0),MATCH(Data!$C259,F_Inputs!$G$2:$T$2,0))</f>
        <v>0</v>
      </c>
      <c r="S259" s="139">
        <f t="array" ref="S259">INDEX(F_Inputs!$G$4:$T$381,MATCH(Data!$B259&amp;Data!S$6,F_Inputs!$A$4:$A$381&amp;F_Inputs!$B$4:$B$381,0),MATCH(Data!$C259,F_Inputs!$G$2:$T$2,0))</f>
        <v>0</v>
      </c>
      <c r="U259" s="139">
        <f t="array" ref="U259">INDEX(F_Inputs!$G$4:$T$381,MATCH(Data!$B259&amp;Data!U$6,F_Inputs!$A$4:$A$381&amp;F_Inputs!$B$4:$B$381,0),MATCH(Data!$C259,F_Inputs!$G$2:$T$2,0))</f>
        <v>0</v>
      </c>
      <c r="V259" s="139">
        <f t="array" ref="V259">INDEX(F_Inputs!$G$4:$T$381,MATCH(Data!$B259&amp;Data!V$6,F_Inputs!$A$4:$A$381&amp;F_Inputs!$B$4:$B$381,0),MATCH(Data!$C259,F_Inputs!$G$2:$T$2,0))</f>
        <v>0</v>
      </c>
      <c r="W259" s="139">
        <f t="array" ref="W259">INDEX(F_Inputs!$G$4:$T$381,MATCH(Data!$B259&amp;Data!W$6,F_Inputs!$A$4:$A$381&amp;F_Inputs!$B$4:$B$381,0),MATCH(Data!$C259,F_Inputs!$G$2:$T$2,0))</f>
        <v>0</v>
      </c>
    </row>
    <row r="260" spans="1:23" x14ac:dyDescent="0.2">
      <c r="A260" s="145" t="str">
        <f>B260&amp;RIGHT(C260,2)</f>
        <v>SSC17</v>
      </c>
      <c r="B260" s="19" t="s">
        <v>39</v>
      </c>
      <c r="C260" s="19" t="s">
        <v>69</v>
      </c>
      <c r="D260" s="139">
        <f t="array" ref="D260">INDEX(F_Inputs!$G$4:$T$381,MATCH(Data!$B260&amp;Data!D$6,F_Inputs!$A$4:$A$381&amp;F_Inputs!$B$4:$B$381,0),MATCH(Data!$C260,F_Inputs!$G$2:$T$2,0))</f>
        <v>0</v>
      </c>
      <c r="E260" s="139">
        <f t="array" ref="E260">INDEX(F_Inputs!$G$4:$T$381,MATCH(Data!$B260&amp;Data!E$6,F_Inputs!$A$4:$A$381&amp;F_Inputs!$B$4:$B$381,0),MATCH(Data!$C260,F_Inputs!$G$2:$T$2,0))</f>
        <v>0.50395085945135498</v>
      </c>
      <c r="F260" s="139">
        <f t="array" ref="F260">INDEX(F_Inputs!$G$4:$T$381,MATCH(Data!$B260&amp;Data!F$6,F_Inputs!$A$4:$A$381&amp;F_Inputs!$B$4:$B$381,0),MATCH(Data!$C260,F_Inputs!$G$2:$T$2,0))</f>
        <v>0</v>
      </c>
      <c r="G260" s="139">
        <f t="array" ref="G260">INDEX(F_Inputs!$G$4:$T$381,MATCH(Data!$B260&amp;Data!G$6,F_Inputs!$A$4:$A$381&amp;F_Inputs!$B$4:$B$381,0),MATCH(Data!$C260,F_Inputs!$G$2:$T$2,0))</f>
        <v>8.4005579461777502E-2</v>
      </c>
      <c r="I260" s="139">
        <f t="array" ref="I260">INDEX(F_Inputs!$G$4:$T$381,MATCH(Data!$B260&amp;Data!I$6,F_Inputs!$A$4:$A$381&amp;F_Inputs!$B$4:$B$381,0),MATCH(Data!$C260,F_Inputs!$G$2:$T$2,0))</f>
        <v>0</v>
      </c>
      <c r="J260" s="139">
        <f t="array" ref="J260">INDEX(F_Inputs!$G$4:$T$381,MATCH(Data!$B260&amp;Data!J$6,F_Inputs!$A$4:$A$381&amp;F_Inputs!$B$4:$B$381,0),MATCH(Data!$C260,F_Inputs!$G$2:$T$2,0))</f>
        <v>0</v>
      </c>
      <c r="K260" s="139">
        <f t="array" ref="K260">INDEX(F_Inputs!$G$4:$T$381,MATCH(Data!$B260&amp;Data!K$6,F_Inputs!$A$4:$A$381&amp;F_Inputs!$B$4:$B$381,0),MATCH(Data!$C260,F_Inputs!$G$2:$T$2,0))</f>
        <v>0</v>
      </c>
      <c r="L260" s="139">
        <f t="array" ref="L260">INDEX(F_Inputs!$G$4:$T$381,MATCH(Data!$B260&amp;Data!L$6,F_Inputs!$A$4:$A$381&amp;F_Inputs!$B$4:$B$381,0),MATCH(Data!$C260,F_Inputs!$G$2:$T$2,0))</f>
        <v>0</v>
      </c>
      <c r="N260" s="139">
        <f t="array" ref="N260">INDEX(F_Inputs!$G$4:$T$381,MATCH(Data!$B260&amp;Data!N$6,F_Inputs!$A$4:$A$381&amp;F_Inputs!$B$4:$B$381,0),MATCH(Data!$C260,F_Inputs!$G$2:$T$2,0))</f>
        <v>87.872952272695997</v>
      </c>
      <c r="O260" s="144"/>
      <c r="P260" s="139">
        <f t="array" ref="P260">INDEX(F_Inputs!$G$4:$T$381,MATCH(Data!$B260&amp;Data!P$6,F_Inputs!$A$4:$A$381&amp;F_Inputs!$B$4:$B$381,0),MATCH(Data!$C260,F_Inputs!$G$2:$T$2,0))</f>
        <v>0</v>
      </c>
      <c r="Q260" s="139">
        <f t="array" ref="Q260">INDEX(F_Inputs!$G$4:$T$381,MATCH(Data!$B260&amp;Data!Q$6,F_Inputs!$A$4:$A$381&amp;F_Inputs!$B$4:$B$381,0),MATCH(Data!$C260,F_Inputs!$G$2:$T$2,0))</f>
        <v>0</v>
      </c>
      <c r="R260" s="139">
        <f t="array" ref="R260">INDEX(F_Inputs!$G$4:$T$381,MATCH(Data!$B260&amp;Data!R$6,F_Inputs!$A$4:$A$381&amp;F_Inputs!$B$4:$B$381,0),MATCH(Data!$C260,F_Inputs!$G$2:$T$2,0))</f>
        <v>0</v>
      </c>
      <c r="S260" s="139">
        <f t="array" ref="S260">INDEX(F_Inputs!$G$4:$T$381,MATCH(Data!$B260&amp;Data!S$6,F_Inputs!$A$4:$A$381&amp;F_Inputs!$B$4:$B$381,0),MATCH(Data!$C260,F_Inputs!$G$2:$T$2,0))</f>
        <v>0</v>
      </c>
      <c r="U260" s="139">
        <f t="array" ref="U260">INDEX(F_Inputs!$G$4:$T$381,MATCH(Data!$B260&amp;Data!U$6,F_Inputs!$A$4:$A$381&amp;F_Inputs!$B$4:$B$381,0),MATCH(Data!$C260,F_Inputs!$G$2:$T$2,0))</f>
        <v>0</v>
      </c>
      <c r="V260" s="139">
        <f t="array" ref="V260">INDEX(F_Inputs!$G$4:$T$381,MATCH(Data!$B260&amp;Data!V$6,F_Inputs!$A$4:$A$381&amp;F_Inputs!$B$4:$B$381,0),MATCH(Data!$C260,F_Inputs!$G$2:$T$2,0))</f>
        <v>0</v>
      </c>
      <c r="W260" s="139">
        <f t="array" ref="W260">INDEX(F_Inputs!$G$4:$T$381,MATCH(Data!$B260&amp;Data!W$6,F_Inputs!$A$4:$A$381&amp;F_Inputs!$B$4:$B$381,0),MATCH(Data!$C260,F_Inputs!$G$2:$T$2,0))</f>
        <v>0</v>
      </c>
    </row>
    <row r="261" spans="1:23" x14ac:dyDescent="0.2">
      <c r="A261" s="141" t="s">
        <v>278</v>
      </c>
      <c r="B261" s="142" t="s">
        <v>39</v>
      </c>
      <c r="C261" s="142" t="s">
        <v>70</v>
      </c>
      <c r="D261" s="139">
        <f t="array" ref="D261">INDEX(F_Inputs!$G$4:$T$381,MATCH(Data!$B261&amp;Data!D$6,F_Inputs!$A$4:$A$381&amp;F_Inputs!$B$4:$B$381,0),MATCH(Data!$C261,F_Inputs!$G$2:$T$2,0))</f>
        <v>0</v>
      </c>
      <c r="E261" s="139">
        <f t="array" ref="E261">INDEX(F_Inputs!$G$4:$T$381,MATCH(Data!$B261&amp;Data!E$6,F_Inputs!$A$4:$A$381&amp;F_Inputs!$B$4:$B$381,0),MATCH(Data!$C261,F_Inputs!$G$2:$T$2,0))</f>
        <v>0</v>
      </c>
      <c r="F261" s="139">
        <f t="array" ref="F261">INDEX(F_Inputs!$G$4:$T$381,MATCH(Data!$B261&amp;Data!F$6,F_Inputs!$A$4:$A$381&amp;F_Inputs!$B$4:$B$381,0),MATCH(Data!$C261,F_Inputs!$G$2:$T$2,0))</f>
        <v>8.9639999999999997E-3</v>
      </c>
      <c r="G261" s="139">
        <f t="array" ref="G261">INDEX(F_Inputs!$G$4:$T$381,MATCH(Data!$B261&amp;Data!G$6,F_Inputs!$A$4:$A$381&amp;F_Inputs!$B$4:$B$381,0),MATCH(Data!$C261,F_Inputs!$G$2:$T$2,0))</f>
        <v>6.5045420000000007E-2</v>
      </c>
      <c r="I261" s="139">
        <f t="array" ref="I261">INDEX(F_Inputs!$G$4:$T$381,MATCH(Data!$B261&amp;Data!I$6,F_Inputs!$A$4:$A$381&amp;F_Inputs!$B$4:$B$381,0),MATCH(Data!$C261,F_Inputs!$G$2:$T$2,0))</f>
        <v>0</v>
      </c>
      <c r="J261" s="139">
        <f t="array" ref="J261">INDEX(F_Inputs!$G$4:$T$381,MATCH(Data!$B261&amp;Data!J$6,F_Inputs!$A$4:$A$381&amp;F_Inputs!$B$4:$B$381,0),MATCH(Data!$C261,F_Inputs!$G$2:$T$2,0))</f>
        <v>0</v>
      </c>
      <c r="K261" s="139">
        <f t="array" ref="K261">INDEX(F_Inputs!$G$4:$T$381,MATCH(Data!$B261&amp;Data!K$6,F_Inputs!$A$4:$A$381&amp;F_Inputs!$B$4:$B$381,0),MATCH(Data!$C261,F_Inputs!$G$2:$T$2,0))</f>
        <v>0</v>
      </c>
      <c r="L261" s="139">
        <f t="array" ref="L261">INDEX(F_Inputs!$G$4:$T$381,MATCH(Data!$B261&amp;Data!L$6,F_Inputs!$A$4:$A$381&amp;F_Inputs!$B$4:$B$381,0),MATCH(Data!$C261,F_Inputs!$G$2:$T$2,0))</f>
        <v>0</v>
      </c>
      <c r="N261" s="139">
        <f t="array" ref="N261">INDEX(F_Inputs!$G$4:$T$381,MATCH(Data!$B261&amp;Data!N$6,F_Inputs!$A$4:$A$381&amp;F_Inputs!$B$4:$B$381,0),MATCH(Data!$C261,F_Inputs!$G$2:$T$2,0))</f>
        <v>95.270778007395606</v>
      </c>
      <c r="O261" s="144"/>
      <c r="P261" s="139">
        <f t="array" ref="P261">INDEX(F_Inputs!$G$4:$T$381,MATCH(Data!$B261&amp;Data!P$6,F_Inputs!$A$4:$A$381&amp;F_Inputs!$B$4:$B$381,0),MATCH(Data!$C261,F_Inputs!$G$2:$T$2,0))</f>
        <v>0</v>
      </c>
      <c r="Q261" s="139">
        <f t="array" ref="Q261">INDEX(F_Inputs!$G$4:$T$381,MATCH(Data!$B261&amp;Data!Q$6,F_Inputs!$A$4:$A$381&amp;F_Inputs!$B$4:$B$381,0),MATCH(Data!$C261,F_Inputs!$G$2:$T$2,0))</f>
        <v>0</v>
      </c>
      <c r="R261" s="139">
        <f t="array" ref="R261">INDEX(F_Inputs!$G$4:$T$381,MATCH(Data!$B261&amp;Data!R$6,F_Inputs!$A$4:$A$381&amp;F_Inputs!$B$4:$B$381,0),MATCH(Data!$C261,F_Inputs!$G$2:$T$2,0))</f>
        <v>0.17</v>
      </c>
      <c r="S261" s="139">
        <f t="array" ref="S261">INDEX(F_Inputs!$G$4:$T$381,MATCH(Data!$B261&amp;Data!S$6,F_Inputs!$A$4:$A$381&amp;F_Inputs!$B$4:$B$381,0),MATCH(Data!$C261,F_Inputs!$G$2:$T$2,0))</f>
        <v>0.17</v>
      </c>
      <c r="U261" s="139">
        <f t="array" ref="U261">INDEX(F_Inputs!$G$4:$T$381,MATCH(Data!$B261&amp;Data!U$6,F_Inputs!$A$4:$A$381&amp;F_Inputs!$B$4:$B$381,0),MATCH(Data!$C261,F_Inputs!$G$2:$T$2,0))</f>
        <v>86.8</v>
      </c>
      <c r="V261" s="139">
        <f t="array" ref="V261">INDEX(F_Inputs!$G$4:$T$381,MATCH(Data!$B261&amp;Data!V$6,F_Inputs!$A$4:$A$381&amp;F_Inputs!$B$4:$B$381,0),MATCH(Data!$C261,F_Inputs!$G$2:$T$2,0))</f>
        <v>8490.91</v>
      </c>
      <c r="W261" s="139">
        <f t="array" ref="W261">INDEX(F_Inputs!$G$4:$T$381,MATCH(Data!$B261&amp;Data!W$6,F_Inputs!$A$4:$A$381&amp;F_Inputs!$B$4:$B$381,0),MATCH(Data!$C261,F_Inputs!$G$2:$T$2,0))</f>
        <v>735.85799999999995</v>
      </c>
    </row>
    <row r="262" spans="1:23" x14ac:dyDescent="0.2">
      <c r="A262" s="141" t="s">
        <v>279</v>
      </c>
      <c r="B262" s="142" t="s">
        <v>39</v>
      </c>
      <c r="C262" s="142" t="s">
        <v>71</v>
      </c>
      <c r="D262" s="139">
        <f t="array" ref="D262">INDEX(F_Inputs!$G$4:$T$381,MATCH(Data!$B262&amp;Data!D$6,F_Inputs!$A$4:$A$381&amp;F_Inputs!$B$4:$B$381,0),MATCH(Data!$C262,F_Inputs!$G$2:$T$2,0))</f>
        <v>0</v>
      </c>
      <c r="E262" s="139">
        <f t="array" ref="E262">INDEX(F_Inputs!$G$4:$T$381,MATCH(Data!$B262&amp;Data!E$6,F_Inputs!$A$4:$A$381&amp;F_Inputs!$B$4:$B$381,0),MATCH(Data!$C262,F_Inputs!$G$2:$T$2,0))</f>
        <v>0</v>
      </c>
      <c r="F262" s="139">
        <f t="array" ref="F262">INDEX(F_Inputs!$G$4:$T$381,MATCH(Data!$B262&amp;Data!F$6,F_Inputs!$A$4:$A$381&amp;F_Inputs!$B$4:$B$381,0),MATCH(Data!$C262,F_Inputs!$G$2:$T$2,0))</f>
        <v>0</v>
      </c>
      <c r="G262" s="139">
        <f t="array" ref="G262">INDEX(F_Inputs!$G$4:$T$381,MATCH(Data!$B262&amp;Data!G$6,F_Inputs!$A$4:$A$381&amp;F_Inputs!$B$4:$B$381,0),MATCH(Data!$C262,F_Inputs!$G$2:$T$2,0))</f>
        <v>0.11027083678946099</v>
      </c>
      <c r="I262" s="139">
        <f t="array" ref="I262">INDEX(F_Inputs!$G$4:$T$381,MATCH(Data!$B262&amp;Data!I$6,F_Inputs!$A$4:$A$381&amp;F_Inputs!$B$4:$B$381,0),MATCH(Data!$C262,F_Inputs!$G$2:$T$2,0))</f>
        <v>0</v>
      </c>
      <c r="J262" s="139">
        <f t="array" ref="J262">INDEX(F_Inputs!$G$4:$T$381,MATCH(Data!$B262&amp;Data!J$6,F_Inputs!$A$4:$A$381&amp;F_Inputs!$B$4:$B$381,0),MATCH(Data!$C262,F_Inputs!$G$2:$T$2,0))</f>
        <v>0</v>
      </c>
      <c r="K262" s="139">
        <f t="array" ref="K262">INDEX(F_Inputs!$G$4:$T$381,MATCH(Data!$B262&amp;Data!K$6,F_Inputs!$A$4:$A$381&amp;F_Inputs!$B$4:$B$381,0),MATCH(Data!$C262,F_Inputs!$G$2:$T$2,0))</f>
        <v>0</v>
      </c>
      <c r="L262" s="139">
        <f t="array" ref="L262">INDEX(F_Inputs!$G$4:$T$381,MATCH(Data!$B262&amp;Data!L$6,F_Inputs!$A$4:$A$381&amp;F_Inputs!$B$4:$B$381,0),MATCH(Data!$C262,F_Inputs!$G$2:$T$2,0))</f>
        <v>0</v>
      </c>
      <c r="N262" s="139">
        <f t="array" ref="N262">INDEX(F_Inputs!$G$4:$T$381,MATCH(Data!$B262&amp;Data!N$6,F_Inputs!$A$4:$A$381&amp;F_Inputs!$B$4:$B$381,0),MATCH(Data!$C262,F_Inputs!$G$2:$T$2,0))</f>
        <v>91.752237451250195</v>
      </c>
      <c r="O262" s="144"/>
      <c r="P262" s="139">
        <f t="array" ref="P262">INDEX(F_Inputs!$G$4:$T$381,MATCH(Data!$B262&amp;Data!P$6,F_Inputs!$A$4:$A$381&amp;F_Inputs!$B$4:$B$381,0),MATCH(Data!$C262,F_Inputs!$G$2:$T$2,0))</f>
        <v>0</v>
      </c>
      <c r="Q262" s="139">
        <f t="array" ref="Q262">INDEX(F_Inputs!$G$4:$T$381,MATCH(Data!$B262&amp;Data!Q$6,F_Inputs!$A$4:$A$381&amp;F_Inputs!$B$4:$B$381,0),MATCH(Data!$C262,F_Inputs!$G$2:$T$2,0))</f>
        <v>0</v>
      </c>
      <c r="R262" s="139">
        <f t="array" ref="R262">INDEX(F_Inputs!$G$4:$T$381,MATCH(Data!$B262&amp;Data!R$6,F_Inputs!$A$4:$A$381&amp;F_Inputs!$B$4:$B$381,0),MATCH(Data!$C262,F_Inputs!$G$2:$T$2,0))</f>
        <v>0.17</v>
      </c>
      <c r="S262" s="139">
        <f t="array" ref="S262">INDEX(F_Inputs!$G$4:$T$381,MATCH(Data!$B262&amp;Data!S$6,F_Inputs!$A$4:$A$381&amp;F_Inputs!$B$4:$B$381,0),MATCH(Data!$C262,F_Inputs!$G$2:$T$2,0))</f>
        <v>0.17</v>
      </c>
      <c r="U262" s="139">
        <f t="array" ref="U262">INDEX(F_Inputs!$G$4:$T$381,MATCH(Data!$B262&amp;Data!U$6,F_Inputs!$A$4:$A$381&amp;F_Inputs!$B$4:$B$381,0),MATCH(Data!$C262,F_Inputs!$G$2:$T$2,0))</f>
        <v>84</v>
      </c>
      <c r="V262" s="139">
        <f t="array" ref="V262">INDEX(F_Inputs!$G$4:$T$381,MATCH(Data!$B262&amp;Data!V$6,F_Inputs!$A$4:$A$381&amp;F_Inputs!$B$4:$B$381,0),MATCH(Data!$C262,F_Inputs!$G$2:$T$2,0))</f>
        <v>8570.81</v>
      </c>
      <c r="W262" s="139">
        <f t="array" ref="W262">INDEX(F_Inputs!$G$4:$T$381,MATCH(Data!$B262&amp;Data!W$6,F_Inputs!$A$4:$A$381&amp;F_Inputs!$B$4:$B$381,0),MATCH(Data!$C262,F_Inputs!$G$2:$T$2,0))</f>
        <v>744.84370179257701</v>
      </c>
    </row>
    <row r="263" spans="1:23" x14ac:dyDescent="0.2">
      <c r="A263" s="141" t="s">
        <v>280</v>
      </c>
      <c r="B263" s="142" t="s">
        <v>39</v>
      </c>
      <c r="C263" s="142" t="s">
        <v>72</v>
      </c>
      <c r="D263" s="139">
        <f t="array" ref="D263">INDEX(F_Inputs!$G$4:$T$381,MATCH(Data!$B263&amp;Data!D$6,F_Inputs!$A$4:$A$381&amp;F_Inputs!$B$4:$B$381,0),MATCH(Data!$C263,F_Inputs!$G$2:$T$2,0))</f>
        <v>0</v>
      </c>
      <c r="E263" s="139">
        <f t="array" ref="E263">INDEX(F_Inputs!$G$4:$T$381,MATCH(Data!$B263&amp;Data!E$6,F_Inputs!$A$4:$A$381&amp;F_Inputs!$B$4:$B$381,0),MATCH(Data!$C263,F_Inputs!$G$2:$T$2,0))</f>
        <v>2.4110034465886901E-2</v>
      </c>
      <c r="F263" s="139">
        <f t="array" ref="F263">INDEX(F_Inputs!$G$4:$T$381,MATCH(Data!$B263&amp;Data!F$6,F_Inputs!$A$4:$A$381&amp;F_Inputs!$B$4:$B$381,0),MATCH(Data!$C263,F_Inputs!$G$2:$T$2,0))</f>
        <v>0</v>
      </c>
      <c r="G263" s="139">
        <f t="array" ref="G263">INDEX(F_Inputs!$G$4:$T$381,MATCH(Data!$B263&amp;Data!G$6,F_Inputs!$A$4:$A$381&amp;F_Inputs!$B$4:$B$381,0),MATCH(Data!$C263,F_Inputs!$G$2:$T$2,0))</f>
        <v>0.117180375975018</v>
      </c>
      <c r="I263" s="139">
        <f t="array" ref="I263">INDEX(F_Inputs!$G$4:$T$381,MATCH(Data!$B263&amp;Data!I$6,F_Inputs!$A$4:$A$381&amp;F_Inputs!$B$4:$B$381,0),MATCH(Data!$C263,F_Inputs!$G$2:$T$2,0))</f>
        <v>0</v>
      </c>
      <c r="J263" s="139">
        <f t="array" ref="J263">INDEX(F_Inputs!$G$4:$T$381,MATCH(Data!$B263&amp;Data!J$6,F_Inputs!$A$4:$A$381&amp;F_Inputs!$B$4:$B$381,0),MATCH(Data!$C263,F_Inputs!$G$2:$T$2,0))</f>
        <v>0</v>
      </c>
      <c r="K263" s="139">
        <f t="array" ref="K263">INDEX(F_Inputs!$G$4:$T$381,MATCH(Data!$B263&amp;Data!K$6,F_Inputs!$A$4:$A$381&amp;F_Inputs!$B$4:$B$381,0),MATCH(Data!$C263,F_Inputs!$G$2:$T$2,0))</f>
        <v>0</v>
      </c>
      <c r="L263" s="139">
        <f t="array" ref="L263">INDEX(F_Inputs!$G$4:$T$381,MATCH(Data!$B263&amp;Data!L$6,F_Inputs!$A$4:$A$381&amp;F_Inputs!$B$4:$B$381,0),MATCH(Data!$C263,F_Inputs!$G$2:$T$2,0))</f>
        <v>0</v>
      </c>
      <c r="N263" s="139">
        <f t="array" ref="N263">INDEX(F_Inputs!$G$4:$T$381,MATCH(Data!$B263&amp;Data!N$6,F_Inputs!$A$4:$A$381&amp;F_Inputs!$B$4:$B$381,0),MATCH(Data!$C263,F_Inputs!$G$2:$T$2,0))</f>
        <v>91.6348792439275</v>
      </c>
      <c r="O263" s="144"/>
      <c r="P263" s="139">
        <f t="array" ref="P263">INDEX(F_Inputs!$G$4:$T$381,MATCH(Data!$B263&amp;Data!P$6,F_Inputs!$A$4:$A$381&amp;F_Inputs!$B$4:$B$381,0),MATCH(Data!$C263,F_Inputs!$G$2:$T$2,0))</f>
        <v>0</v>
      </c>
      <c r="Q263" s="139">
        <f t="array" ref="Q263">INDEX(F_Inputs!$G$4:$T$381,MATCH(Data!$B263&amp;Data!Q$6,F_Inputs!$A$4:$A$381&amp;F_Inputs!$B$4:$B$381,0),MATCH(Data!$C263,F_Inputs!$G$2:$T$2,0))</f>
        <v>0</v>
      </c>
      <c r="R263" s="139">
        <f t="array" ref="R263">INDEX(F_Inputs!$G$4:$T$381,MATCH(Data!$B263&amp;Data!R$6,F_Inputs!$A$4:$A$381&amp;F_Inputs!$B$4:$B$381,0),MATCH(Data!$C263,F_Inputs!$G$2:$T$2,0))</f>
        <v>0.17</v>
      </c>
      <c r="S263" s="139">
        <f t="array" ref="S263">INDEX(F_Inputs!$G$4:$T$381,MATCH(Data!$B263&amp;Data!S$6,F_Inputs!$A$4:$A$381&amp;F_Inputs!$B$4:$B$381,0),MATCH(Data!$C263,F_Inputs!$G$2:$T$2,0))</f>
        <v>0.17</v>
      </c>
      <c r="U263" s="139">
        <f t="array" ref="U263">INDEX(F_Inputs!$G$4:$T$381,MATCH(Data!$B263&amp;Data!U$6,F_Inputs!$A$4:$A$381&amp;F_Inputs!$B$4:$B$381,0),MATCH(Data!$C263,F_Inputs!$G$2:$T$2,0))</f>
        <v>84</v>
      </c>
      <c r="V263" s="139">
        <f t="array" ref="V263">INDEX(F_Inputs!$G$4:$T$381,MATCH(Data!$B263&amp;Data!V$6,F_Inputs!$A$4:$A$381&amp;F_Inputs!$B$4:$B$381,0),MATCH(Data!$C263,F_Inputs!$G$2:$T$2,0))</f>
        <v>8651.91</v>
      </c>
      <c r="W263" s="139">
        <f t="array" ref="W263">INDEX(F_Inputs!$G$4:$T$381,MATCH(Data!$B263&amp;Data!W$6,F_Inputs!$A$4:$A$381&amp;F_Inputs!$B$4:$B$381,0),MATCH(Data!$C263,F_Inputs!$G$2:$T$2,0))</f>
        <v>753.94774969778302</v>
      </c>
    </row>
    <row r="264" spans="1:23" x14ac:dyDescent="0.2">
      <c r="A264" s="141" t="s">
        <v>281</v>
      </c>
      <c r="B264" s="142" t="s">
        <v>39</v>
      </c>
      <c r="C264" s="142" t="s">
        <v>73</v>
      </c>
      <c r="D264" s="139">
        <f t="array" ref="D264">INDEX(F_Inputs!$G$4:$T$381,MATCH(Data!$B264&amp;Data!D$6,F_Inputs!$A$4:$A$381&amp;F_Inputs!$B$4:$B$381,0),MATCH(Data!$C264,F_Inputs!$G$2:$T$2,0))</f>
        <v>0</v>
      </c>
      <c r="E264" s="139">
        <f t="array" ref="E264">INDEX(F_Inputs!$G$4:$T$381,MATCH(Data!$B264&amp;Data!E$6,F_Inputs!$A$4:$A$381&amp;F_Inputs!$B$4:$B$381,0),MATCH(Data!$C264,F_Inputs!$G$2:$T$2,0))</f>
        <v>0</v>
      </c>
      <c r="F264" s="139">
        <f t="array" ref="F264">INDEX(F_Inputs!$G$4:$T$381,MATCH(Data!$B264&amp;Data!F$6,F_Inputs!$A$4:$A$381&amp;F_Inputs!$B$4:$B$381,0),MATCH(Data!$C264,F_Inputs!$G$2:$T$2,0))</f>
        <v>0</v>
      </c>
      <c r="G264" s="139">
        <f t="array" ref="G264">INDEX(F_Inputs!$G$4:$T$381,MATCH(Data!$B264&amp;Data!G$6,F_Inputs!$A$4:$A$381&amp;F_Inputs!$B$4:$B$381,0),MATCH(Data!$C264,F_Inputs!$G$2:$T$2,0))</f>
        <v>1.9620772750048401</v>
      </c>
      <c r="I264" s="139">
        <f t="array" ref="I264">INDEX(F_Inputs!$G$4:$T$381,MATCH(Data!$B264&amp;Data!I$6,F_Inputs!$A$4:$A$381&amp;F_Inputs!$B$4:$B$381,0),MATCH(Data!$C264,F_Inputs!$G$2:$T$2,0))</f>
        <v>0</v>
      </c>
      <c r="J264" s="139">
        <f t="array" ref="J264">INDEX(F_Inputs!$G$4:$T$381,MATCH(Data!$B264&amp;Data!J$6,F_Inputs!$A$4:$A$381&amp;F_Inputs!$B$4:$B$381,0),MATCH(Data!$C264,F_Inputs!$G$2:$T$2,0))</f>
        <v>0</v>
      </c>
      <c r="K264" s="139">
        <f t="array" ref="K264">INDEX(F_Inputs!$G$4:$T$381,MATCH(Data!$B264&amp;Data!K$6,F_Inputs!$A$4:$A$381&amp;F_Inputs!$B$4:$B$381,0),MATCH(Data!$C264,F_Inputs!$G$2:$T$2,0))</f>
        <v>0</v>
      </c>
      <c r="L264" s="139">
        <f t="array" ref="L264">INDEX(F_Inputs!$G$4:$T$381,MATCH(Data!$B264&amp;Data!L$6,F_Inputs!$A$4:$A$381&amp;F_Inputs!$B$4:$B$381,0),MATCH(Data!$C264,F_Inputs!$G$2:$T$2,0))</f>
        <v>0.71064161319889996</v>
      </c>
      <c r="N264" s="139">
        <f t="array" ref="N264">INDEX(F_Inputs!$G$4:$T$381,MATCH(Data!$B264&amp;Data!N$6,F_Inputs!$A$4:$A$381&amp;F_Inputs!$B$4:$B$381,0),MATCH(Data!$C264,F_Inputs!$G$2:$T$2,0))</f>
        <v>113.258123356716</v>
      </c>
      <c r="O264" s="144"/>
      <c r="P264" s="139">
        <f t="array" ref="P264">INDEX(F_Inputs!$G$4:$T$381,MATCH(Data!$B264&amp;Data!P$6,F_Inputs!$A$4:$A$381&amp;F_Inputs!$B$4:$B$381,0),MATCH(Data!$C264,F_Inputs!$G$2:$T$2,0))</f>
        <v>2.2999999999999998</v>
      </c>
      <c r="Q264" s="139">
        <f t="array" ref="Q264">INDEX(F_Inputs!$G$4:$T$381,MATCH(Data!$B264&amp;Data!Q$6,F_Inputs!$A$4:$A$381&amp;F_Inputs!$B$4:$B$381,0),MATCH(Data!$C264,F_Inputs!$G$2:$T$2,0))</f>
        <v>2.2999999999999998</v>
      </c>
      <c r="R264" s="139">
        <f t="array" ref="R264">INDEX(F_Inputs!$G$4:$T$381,MATCH(Data!$B264&amp;Data!R$6,F_Inputs!$A$4:$A$381&amp;F_Inputs!$B$4:$B$381,0),MATCH(Data!$C264,F_Inputs!$G$2:$T$2,0))</f>
        <v>5.5917516360738997</v>
      </c>
      <c r="S264" s="139">
        <f t="array" ref="S264">INDEX(F_Inputs!$G$4:$T$381,MATCH(Data!$B264&amp;Data!S$6,F_Inputs!$A$4:$A$381&amp;F_Inputs!$B$4:$B$381,0),MATCH(Data!$C264,F_Inputs!$G$2:$T$2,0))</f>
        <v>5.5917516360738997</v>
      </c>
      <c r="U264" s="139">
        <f t="array" ref="U264">INDEX(F_Inputs!$G$4:$T$381,MATCH(Data!$B264&amp;Data!U$6,F_Inputs!$A$4:$A$381&amp;F_Inputs!$B$4:$B$381,0),MATCH(Data!$C264,F_Inputs!$G$2:$T$2,0))</f>
        <v>80.099999999999994</v>
      </c>
      <c r="V264" s="139">
        <f t="array" ref="V264">INDEX(F_Inputs!$G$4:$T$381,MATCH(Data!$B264&amp;Data!V$6,F_Inputs!$A$4:$A$381&amp;F_Inputs!$B$4:$B$381,0),MATCH(Data!$C264,F_Inputs!$G$2:$T$2,0))</f>
        <v>8731.07</v>
      </c>
      <c r="W264" s="139">
        <f t="array" ref="W264">INDEX(F_Inputs!$G$4:$T$381,MATCH(Data!$B264&amp;Data!W$6,F_Inputs!$A$4:$A$381&amp;F_Inputs!$B$4:$B$381,0),MATCH(Data!$C264,F_Inputs!$G$2:$T$2,0))</f>
        <v>762.85746510250794</v>
      </c>
    </row>
    <row r="265" spans="1:23" x14ac:dyDescent="0.2">
      <c r="A265" s="141" t="s">
        <v>282</v>
      </c>
      <c r="B265" s="142" t="s">
        <v>39</v>
      </c>
      <c r="C265" s="142" t="s">
        <v>74</v>
      </c>
      <c r="D265" s="139">
        <f t="array" ref="D265">INDEX(F_Inputs!$G$4:$T$381,MATCH(Data!$B265&amp;Data!D$6,F_Inputs!$A$4:$A$381&amp;F_Inputs!$B$4:$B$381,0),MATCH(Data!$C265,F_Inputs!$G$2:$T$2,0))</f>
        <v>0</v>
      </c>
      <c r="E265" s="139">
        <f t="array" ref="E265">INDEX(F_Inputs!$G$4:$T$381,MATCH(Data!$B265&amp;Data!E$6,F_Inputs!$A$4:$A$381&amp;F_Inputs!$B$4:$B$381,0),MATCH(Data!$C265,F_Inputs!$G$2:$T$2,0))</f>
        <v>0.826352047356812</v>
      </c>
      <c r="F265" s="139">
        <f t="array" ref="F265">INDEX(F_Inputs!$G$4:$T$381,MATCH(Data!$B265&amp;Data!F$6,F_Inputs!$A$4:$A$381&amp;F_Inputs!$B$4:$B$381,0),MATCH(Data!$C265,F_Inputs!$G$2:$T$2,0))</f>
        <v>0</v>
      </c>
      <c r="G265" s="139">
        <f t="array" ref="G265">INDEX(F_Inputs!$G$4:$T$381,MATCH(Data!$B265&amp;Data!G$6,F_Inputs!$A$4:$A$381&amp;F_Inputs!$B$4:$B$381,0),MATCH(Data!$C265,F_Inputs!$G$2:$T$2,0))</f>
        <v>1.9620772750048401</v>
      </c>
      <c r="I265" s="139">
        <f t="array" ref="I265">INDEX(F_Inputs!$G$4:$T$381,MATCH(Data!$B265&amp;Data!I$6,F_Inputs!$A$4:$A$381&amp;F_Inputs!$B$4:$B$381,0),MATCH(Data!$C265,F_Inputs!$G$2:$T$2,0))</f>
        <v>0</v>
      </c>
      <c r="J265" s="139">
        <f t="array" ref="J265">INDEX(F_Inputs!$G$4:$T$381,MATCH(Data!$B265&amp;Data!J$6,F_Inputs!$A$4:$A$381&amp;F_Inputs!$B$4:$B$381,0),MATCH(Data!$C265,F_Inputs!$G$2:$T$2,0))</f>
        <v>0</v>
      </c>
      <c r="K265" s="139">
        <f t="array" ref="K265">INDEX(F_Inputs!$G$4:$T$381,MATCH(Data!$B265&amp;Data!K$6,F_Inputs!$A$4:$A$381&amp;F_Inputs!$B$4:$B$381,0),MATCH(Data!$C265,F_Inputs!$G$2:$T$2,0))</f>
        <v>0</v>
      </c>
      <c r="L265" s="139">
        <f t="array" ref="L265">INDEX(F_Inputs!$G$4:$T$381,MATCH(Data!$B265&amp;Data!L$6,F_Inputs!$A$4:$A$381&amp;F_Inputs!$B$4:$B$381,0),MATCH(Data!$C265,F_Inputs!$G$2:$T$2,0))</f>
        <v>0.68734188817598496</v>
      </c>
      <c r="N265" s="139">
        <f t="array" ref="N265">INDEX(F_Inputs!$G$4:$T$381,MATCH(Data!$B265&amp;Data!N$6,F_Inputs!$A$4:$A$381&amp;F_Inputs!$B$4:$B$381,0),MATCH(Data!$C265,F_Inputs!$G$2:$T$2,0))</f>
        <v>115.482494364305</v>
      </c>
      <c r="O265" s="144"/>
      <c r="P265" s="139">
        <f t="array" ref="P265">INDEX(F_Inputs!$G$4:$T$381,MATCH(Data!$B265&amp;Data!P$6,F_Inputs!$A$4:$A$381&amp;F_Inputs!$B$4:$B$381,0),MATCH(Data!$C265,F_Inputs!$G$2:$T$2,0))</f>
        <v>2.2999999999999998</v>
      </c>
      <c r="Q265" s="139">
        <f t="array" ref="Q265">INDEX(F_Inputs!$G$4:$T$381,MATCH(Data!$B265&amp;Data!Q$6,F_Inputs!$A$4:$A$381&amp;F_Inputs!$B$4:$B$381,0),MATCH(Data!$C265,F_Inputs!$G$2:$T$2,0))</f>
        <v>2.2999999999999998</v>
      </c>
      <c r="R265" s="139">
        <f t="array" ref="R265">INDEX(F_Inputs!$G$4:$T$381,MATCH(Data!$B265&amp;Data!R$6,F_Inputs!$A$4:$A$381&amp;F_Inputs!$B$4:$B$381,0),MATCH(Data!$C265,F_Inputs!$G$2:$T$2,0))</f>
        <v>6.5420703207909998</v>
      </c>
      <c r="S265" s="139">
        <f t="array" ref="S265">INDEX(F_Inputs!$G$4:$T$381,MATCH(Data!$B265&amp;Data!S$6,F_Inputs!$A$4:$A$381&amp;F_Inputs!$B$4:$B$381,0),MATCH(Data!$C265,F_Inputs!$G$2:$T$2,0))</f>
        <v>6.5420703207910202</v>
      </c>
      <c r="U265" s="139">
        <f t="array" ref="U265">INDEX(F_Inputs!$G$4:$T$381,MATCH(Data!$B265&amp;Data!U$6,F_Inputs!$A$4:$A$381&amp;F_Inputs!$B$4:$B$381,0),MATCH(Data!$C265,F_Inputs!$G$2:$T$2,0))</f>
        <v>76.2</v>
      </c>
      <c r="V265" s="139">
        <f t="array" ref="V265">INDEX(F_Inputs!$G$4:$T$381,MATCH(Data!$B265&amp;Data!V$6,F_Inputs!$A$4:$A$381&amp;F_Inputs!$B$4:$B$381,0),MATCH(Data!$C265,F_Inputs!$G$2:$T$2,0))</f>
        <v>8805.8799999999992</v>
      </c>
      <c r="W265" s="139">
        <f t="array" ref="W265">INDEX(F_Inputs!$G$4:$T$381,MATCH(Data!$B265&amp;Data!W$6,F_Inputs!$A$4:$A$381&amp;F_Inputs!$B$4:$B$381,0),MATCH(Data!$C265,F_Inputs!$G$2:$T$2,0))</f>
        <v>771.29584427752502</v>
      </c>
    </row>
    <row r="266" spans="1:23" x14ac:dyDescent="0.2">
      <c r="A266" s="141" t="s">
        <v>283</v>
      </c>
      <c r="B266" s="142" t="s">
        <v>39</v>
      </c>
      <c r="C266" s="142" t="s">
        <v>75</v>
      </c>
      <c r="D266" s="139">
        <f t="array" ref="D266">INDEX(F_Inputs!$G$4:$T$381,MATCH(Data!$B266&amp;Data!D$6,F_Inputs!$A$4:$A$381&amp;F_Inputs!$B$4:$B$381,0),MATCH(Data!$C266,F_Inputs!$G$2:$T$2,0))</f>
        <v>0</v>
      </c>
      <c r="E266" s="139">
        <f t="array" ref="E266">INDEX(F_Inputs!$G$4:$T$381,MATCH(Data!$B266&amp;Data!E$6,F_Inputs!$A$4:$A$381&amp;F_Inputs!$B$4:$B$381,0),MATCH(Data!$C266,F_Inputs!$G$2:$T$2,0))</f>
        <v>1.10214195478747</v>
      </c>
      <c r="F266" s="139">
        <f t="array" ref="F266">INDEX(F_Inputs!$G$4:$T$381,MATCH(Data!$B266&amp;Data!F$6,F_Inputs!$A$4:$A$381&amp;F_Inputs!$B$4:$B$381,0),MATCH(Data!$C266,F_Inputs!$G$2:$T$2,0))</f>
        <v>0</v>
      </c>
      <c r="G266" s="139">
        <f t="array" ref="G266">INDEX(F_Inputs!$G$4:$T$381,MATCH(Data!$B266&amp;Data!G$6,F_Inputs!$A$4:$A$381&amp;F_Inputs!$B$4:$B$381,0),MATCH(Data!$C266,F_Inputs!$G$2:$T$2,0))</f>
        <v>1.9620772750048401</v>
      </c>
      <c r="I266" s="139">
        <f t="array" ref="I266">INDEX(F_Inputs!$G$4:$T$381,MATCH(Data!$B266&amp;Data!I$6,F_Inputs!$A$4:$A$381&amp;F_Inputs!$B$4:$B$381,0),MATCH(Data!$C266,F_Inputs!$G$2:$T$2,0))</f>
        <v>0</v>
      </c>
      <c r="J266" s="139">
        <f t="array" ref="J266">INDEX(F_Inputs!$G$4:$T$381,MATCH(Data!$B266&amp;Data!J$6,F_Inputs!$A$4:$A$381&amp;F_Inputs!$B$4:$B$381,0),MATCH(Data!$C266,F_Inputs!$G$2:$T$2,0))</f>
        <v>0</v>
      </c>
      <c r="K266" s="139">
        <f t="array" ref="K266">INDEX(F_Inputs!$G$4:$T$381,MATCH(Data!$B266&amp;Data!K$6,F_Inputs!$A$4:$A$381&amp;F_Inputs!$B$4:$B$381,0),MATCH(Data!$C266,F_Inputs!$G$2:$T$2,0))</f>
        <v>0</v>
      </c>
      <c r="L266" s="139">
        <f t="array" ref="L266">INDEX(F_Inputs!$G$4:$T$381,MATCH(Data!$B266&amp;Data!L$6,F_Inputs!$A$4:$A$381&amp;F_Inputs!$B$4:$B$381,0),MATCH(Data!$C266,F_Inputs!$G$2:$T$2,0))</f>
        <v>0.67569202566452802</v>
      </c>
      <c r="N266" s="139">
        <f t="array" ref="N266">INDEX(F_Inputs!$G$4:$T$381,MATCH(Data!$B266&amp;Data!N$6,F_Inputs!$A$4:$A$381&amp;F_Inputs!$B$4:$B$381,0),MATCH(Data!$C266,F_Inputs!$G$2:$T$2,0))</f>
        <v>116.386526675222</v>
      </c>
      <c r="O266" s="144"/>
      <c r="P266" s="139">
        <f t="array" ref="P266">INDEX(F_Inputs!$G$4:$T$381,MATCH(Data!$B266&amp;Data!P$6,F_Inputs!$A$4:$A$381&amp;F_Inputs!$B$4:$B$381,0),MATCH(Data!$C266,F_Inputs!$G$2:$T$2,0))</f>
        <v>2.2999999999999998</v>
      </c>
      <c r="Q266" s="139">
        <f t="array" ref="Q266">INDEX(F_Inputs!$G$4:$T$381,MATCH(Data!$B266&amp;Data!Q$6,F_Inputs!$A$4:$A$381&amp;F_Inputs!$B$4:$B$381,0),MATCH(Data!$C266,F_Inputs!$G$2:$T$2,0))</f>
        <v>2.2999999999999998</v>
      </c>
      <c r="R266" s="139">
        <f t="array" ref="R266">INDEX(F_Inputs!$G$4:$T$381,MATCH(Data!$B266&amp;Data!R$6,F_Inputs!$A$4:$A$381&amp;F_Inputs!$B$4:$B$381,0),MATCH(Data!$C266,F_Inputs!$G$2:$T$2,0))</f>
        <v>7.4912227924267301</v>
      </c>
      <c r="S266" s="139">
        <f t="array" ref="S266">INDEX(F_Inputs!$G$4:$T$381,MATCH(Data!$B266&amp;Data!S$6,F_Inputs!$A$4:$A$381&amp;F_Inputs!$B$4:$B$381,0),MATCH(Data!$C266,F_Inputs!$G$2:$T$2,0))</f>
        <v>7.4912227924267301</v>
      </c>
      <c r="U266" s="139">
        <f t="array" ref="U266">INDEX(F_Inputs!$G$4:$T$381,MATCH(Data!$B266&amp;Data!U$6,F_Inputs!$A$4:$A$381&amp;F_Inputs!$B$4:$B$381,0),MATCH(Data!$C266,F_Inputs!$G$2:$T$2,0))</f>
        <v>72.3</v>
      </c>
      <c r="V266" s="139">
        <f t="array" ref="V266">INDEX(F_Inputs!$G$4:$T$381,MATCH(Data!$B266&amp;Data!V$6,F_Inputs!$A$4:$A$381&amp;F_Inputs!$B$4:$B$381,0),MATCH(Data!$C266,F_Inputs!$G$2:$T$2,0))</f>
        <v>8878.17</v>
      </c>
      <c r="W266" s="139">
        <f t="array" ref="W266">INDEX(F_Inputs!$G$4:$T$381,MATCH(Data!$B266&amp;Data!W$6,F_Inputs!$A$4:$A$381&amp;F_Inputs!$B$4:$B$381,0),MATCH(Data!$C266,F_Inputs!$G$2:$T$2,0))</f>
        <v>779.34954073983101</v>
      </c>
    </row>
    <row r="267" spans="1:23" x14ac:dyDescent="0.2">
      <c r="A267" s="141" t="s">
        <v>284</v>
      </c>
      <c r="B267" s="142" t="s">
        <v>39</v>
      </c>
      <c r="C267" s="142" t="s">
        <v>76</v>
      </c>
      <c r="D267" s="139">
        <f t="array" ref="D267">INDEX(F_Inputs!$G$4:$T$381,MATCH(Data!$B267&amp;Data!D$6,F_Inputs!$A$4:$A$381&amp;F_Inputs!$B$4:$B$381,0),MATCH(Data!$C267,F_Inputs!$G$2:$T$2,0))</f>
        <v>0</v>
      </c>
      <c r="E267" s="139">
        <f t="array" ref="E267">INDEX(F_Inputs!$G$4:$T$381,MATCH(Data!$B267&amp;Data!E$6,F_Inputs!$A$4:$A$381&amp;F_Inputs!$B$4:$B$381,0),MATCH(Data!$C267,F_Inputs!$G$2:$T$2,0))</f>
        <v>0.99223306178927595</v>
      </c>
      <c r="F267" s="139">
        <f t="array" ref="F267">INDEX(F_Inputs!$G$4:$T$381,MATCH(Data!$B267&amp;Data!F$6,F_Inputs!$A$4:$A$381&amp;F_Inputs!$B$4:$B$381,0),MATCH(Data!$C267,F_Inputs!$G$2:$T$2,0))</f>
        <v>0</v>
      </c>
      <c r="G267" s="139">
        <f t="array" ref="G267">INDEX(F_Inputs!$G$4:$T$381,MATCH(Data!$B267&amp;Data!G$6,F_Inputs!$A$4:$A$381&amp;F_Inputs!$B$4:$B$381,0),MATCH(Data!$C267,F_Inputs!$G$2:$T$2,0))</f>
        <v>1.9620772750048401</v>
      </c>
      <c r="I267" s="139">
        <f t="array" ref="I267">INDEX(F_Inputs!$G$4:$T$381,MATCH(Data!$B267&amp;Data!I$6,F_Inputs!$A$4:$A$381&amp;F_Inputs!$B$4:$B$381,0),MATCH(Data!$C267,F_Inputs!$G$2:$T$2,0))</f>
        <v>0</v>
      </c>
      <c r="J267" s="139">
        <f t="array" ref="J267">INDEX(F_Inputs!$G$4:$T$381,MATCH(Data!$B267&amp;Data!J$6,F_Inputs!$A$4:$A$381&amp;F_Inputs!$B$4:$B$381,0),MATCH(Data!$C267,F_Inputs!$G$2:$T$2,0))</f>
        <v>0</v>
      </c>
      <c r="K267" s="139">
        <f t="array" ref="K267">INDEX(F_Inputs!$G$4:$T$381,MATCH(Data!$B267&amp;Data!K$6,F_Inputs!$A$4:$A$381&amp;F_Inputs!$B$4:$B$381,0),MATCH(Data!$C267,F_Inputs!$G$2:$T$2,0))</f>
        <v>0</v>
      </c>
      <c r="L267" s="139">
        <f t="array" ref="L267">INDEX(F_Inputs!$G$4:$T$381,MATCH(Data!$B267&amp;Data!L$6,F_Inputs!$A$4:$A$381&amp;F_Inputs!$B$4:$B$381,0),MATCH(Data!$C267,F_Inputs!$G$2:$T$2,0))</f>
        <v>0.67569202566452802</v>
      </c>
      <c r="N267" s="139">
        <f t="array" ref="N267">INDEX(F_Inputs!$G$4:$T$381,MATCH(Data!$B267&amp;Data!N$6,F_Inputs!$A$4:$A$381&amp;F_Inputs!$B$4:$B$381,0),MATCH(Data!$C267,F_Inputs!$G$2:$T$2,0))</f>
        <v>93.913343052343194</v>
      </c>
      <c r="O267" s="144"/>
      <c r="P267" s="139">
        <f t="array" ref="P267">INDEX(F_Inputs!$G$4:$T$381,MATCH(Data!$B267&amp;Data!P$6,F_Inputs!$A$4:$A$381&amp;F_Inputs!$B$4:$B$381,0),MATCH(Data!$C267,F_Inputs!$G$2:$T$2,0))</f>
        <v>6.22</v>
      </c>
      <c r="Q267" s="139">
        <f t="array" ref="Q267">INDEX(F_Inputs!$G$4:$T$381,MATCH(Data!$B267&amp;Data!Q$6,F_Inputs!$A$4:$A$381&amp;F_Inputs!$B$4:$B$381,0),MATCH(Data!$C267,F_Inputs!$G$2:$T$2,0))</f>
        <v>6.22</v>
      </c>
      <c r="R267" s="139">
        <f t="array" ref="R267">INDEX(F_Inputs!$G$4:$T$381,MATCH(Data!$B267&amp;Data!R$6,F_Inputs!$A$4:$A$381&amp;F_Inputs!$B$4:$B$381,0),MATCH(Data!$C267,F_Inputs!$G$2:$T$2,0))</f>
        <v>8.4499709693931795</v>
      </c>
      <c r="S267" s="139">
        <f t="array" ref="S267">INDEX(F_Inputs!$G$4:$T$381,MATCH(Data!$B267&amp;Data!S$6,F_Inputs!$A$4:$A$381&amp;F_Inputs!$B$4:$B$381,0),MATCH(Data!$C267,F_Inputs!$G$2:$T$2,0))</f>
        <v>8.4499709693931795</v>
      </c>
      <c r="U267" s="139">
        <f t="array" ref="U267">INDEX(F_Inputs!$G$4:$T$381,MATCH(Data!$B267&amp;Data!U$6,F_Inputs!$A$4:$A$381&amp;F_Inputs!$B$4:$B$381,0),MATCH(Data!$C267,F_Inputs!$G$2:$T$2,0))</f>
        <v>68.400000000000006</v>
      </c>
      <c r="V267" s="139">
        <f t="array" ref="V267">INDEX(F_Inputs!$G$4:$T$381,MATCH(Data!$B267&amp;Data!V$6,F_Inputs!$A$4:$A$381&amp;F_Inputs!$B$4:$B$381,0),MATCH(Data!$C267,F_Inputs!$G$2:$T$2,0))</f>
        <v>8948.23</v>
      </c>
      <c r="W267" s="139">
        <f t="array" ref="W267">INDEX(F_Inputs!$G$4:$T$381,MATCH(Data!$B267&amp;Data!W$6,F_Inputs!$A$4:$A$381&amp;F_Inputs!$B$4:$B$381,0),MATCH(Data!$C267,F_Inputs!$G$2:$T$2,0))</f>
        <v>787.170099561337</v>
      </c>
    </row>
    <row r="268" spans="1:23" x14ac:dyDescent="0.2">
      <c r="A268" s="141" t="s">
        <v>285</v>
      </c>
      <c r="B268" s="142" t="s">
        <v>39</v>
      </c>
      <c r="C268" s="142" t="s">
        <v>24</v>
      </c>
      <c r="D268" s="139">
        <f t="array" ref="D268">INDEX(F_Inputs!$G$4:$T$381,MATCH(Data!$B268&amp;Data!D$6,F_Inputs!$A$4:$A$381&amp;F_Inputs!$B$4:$B$381,0),MATCH(Data!$C268,F_Inputs!$G$2:$T$2,0))</f>
        <v>0</v>
      </c>
      <c r="E268" s="139">
        <f t="array" ref="E268">INDEX(F_Inputs!$G$4:$T$381,MATCH(Data!$B268&amp;Data!E$6,F_Inputs!$A$4:$A$381&amp;F_Inputs!$B$4:$B$381,0),MATCH(Data!$C268,F_Inputs!$G$2:$T$2,0))</f>
        <v>0</v>
      </c>
      <c r="F268" s="139">
        <f t="array" ref="F268">INDEX(F_Inputs!$G$4:$T$381,MATCH(Data!$B268&amp;Data!F$6,F_Inputs!$A$4:$A$381&amp;F_Inputs!$B$4:$B$381,0),MATCH(Data!$C268,F_Inputs!$G$2:$T$2,0))</f>
        <v>0</v>
      </c>
      <c r="G268" s="139">
        <f t="array" ref="G268">INDEX(F_Inputs!$G$4:$T$381,MATCH(Data!$B268&amp;Data!G$6,F_Inputs!$A$4:$A$381&amp;F_Inputs!$B$4:$B$381,0),MATCH(Data!$C268,F_Inputs!$G$2:$T$2,0))</f>
        <v>1.9620772750048401</v>
      </c>
      <c r="I268" s="139">
        <f t="array" ref="I268">INDEX(F_Inputs!$G$4:$T$381,MATCH(Data!$B268&amp;Data!I$6,F_Inputs!$A$4:$A$381&amp;F_Inputs!$B$4:$B$381,0),MATCH(Data!$C268,F_Inputs!$G$2:$T$2,0))</f>
        <v>0</v>
      </c>
      <c r="J268" s="139">
        <f t="array" ref="J268">INDEX(F_Inputs!$G$4:$T$381,MATCH(Data!$B268&amp;Data!J$6,F_Inputs!$A$4:$A$381&amp;F_Inputs!$B$4:$B$381,0),MATCH(Data!$C268,F_Inputs!$G$2:$T$2,0))</f>
        <v>0</v>
      </c>
      <c r="K268" s="139">
        <f t="array" ref="K268">INDEX(F_Inputs!$G$4:$T$381,MATCH(Data!$B268&amp;Data!K$6,F_Inputs!$A$4:$A$381&amp;F_Inputs!$B$4:$B$381,0),MATCH(Data!$C268,F_Inputs!$G$2:$T$2,0))</f>
        <v>0</v>
      </c>
      <c r="L268" s="139">
        <f t="array" ref="L268">INDEX(F_Inputs!$G$4:$T$381,MATCH(Data!$B268&amp;Data!L$6,F_Inputs!$A$4:$A$381&amp;F_Inputs!$B$4:$B$381,0),MATCH(Data!$C268,F_Inputs!$G$2:$T$2,0))</f>
        <v>0.65239230064161302</v>
      </c>
      <c r="N268" s="139">
        <f t="array" ref="N268">INDEX(F_Inputs!$G$4:$T$381,MATCH(Data!$B268&amp;Data!N$6,F_Inputs!$A$4:$A$381&amp;F_Inputs!$B$4:$B$381,0),MATCH(Data!$C268,F_Inputs!$G$2:$T$2,0))</f>
        <v>96.804583812941502</v>
      </c>
      <c r="O268" s="144"/>
      <c r="P268" s="139">
        <f t="array" ref="P268">INDEX(F_Inputs!$G$4:$T$381,MATCH(Data!$B268&amp;Data!P$6,F_Inputs!$A$4:$A$381&amp;F_Inputs!$B$4:$B$381,0),MATCH(Data!$C268,F_Inputs!$G$2:$T$2,0))</f>
        <v>6.22</v>
      </c>
      <c r="Q268" s="139">
        <f t="array" ref="Q268">INDEX(F_Inputs!$G$4:$T$381,MATCH(Data!$B268&amp;Data!Q$6,F_Inputs!$A$4:$A$381&amp;F_Inputs!$B$4:$B$381,0),MATCH(Data!$C268,F_Inputs!$G$2:$T$2,0))</f>
        <v>6.22</v>
      </c>
      <c r="R268" s="139">
        <f t="array" ref="R268">INDEX(F_Inputs!$G$4:$T$381,MATCH(Data!$B268&amp;Data!R$6,F_Inputs!$A$4:$A$381&amp;F_Inputs!$B$4:$B$381,0),MATCH(Data!$C268,F_Inputs!$G$2:$T$2,0))</f>
        <v>9.4190677934449401</v>
      </c>
      <c r="S268" s="139">
        <f t="array" ref="S268">INDEX(F_Inputs!$G$4:$T$381,MATCH(Data!$B268&amp;Data!S$6,F_Inputs!$A$4:$A$381&amp;F_Inputs!$B$4:$B$381,0),MATCH(Data!$C268,F_Inputs!$G$2:$T$2,0))</f>
        <v>9.4190677934449099</v>
      </c>
      <c r="U268" s="139">
        <f t="array" ref="U268">INDEX(F_Inputs!$G$4:$T$381,MATCH(Data!$B268&amp;Data!U$6,F_Inputs!$A$4:$A$381&amp;F_Inputs!$B$4:$B$381,0),MATCH(Data!$C268,F_Inputs!$G$2:$T$2,0))</f>
        <v>64.400000000000006</v>
      </c>
      <c r="V268" s="139">
        <f t="array" ref="V268">INDEX(F_Inputs!$G$4:$T$381,MATCH(Data!$B268&amp;Data!V$6,F_Inputs!$A$4:$A$381&amp;F_Inputs!$B$4:$B$381,0),MATCH(Data!$C268,F_Inputs!$G$2:$T$2,0))</f>
        <v>9016.2000000000007</v>
      </c>
      <c r="W268" s="139">
        <f t="array" ref="W268">INDEX(F_Inputs!$G$4:$T$381,MATCH(Data!$B268&amp;Data!W$6,F_Inputs!$A$4:$A$381&amp;F_Inputs!$B$4:$B$381,0),MATCH(Data!$C268,F_Inputs!$G$2:$T$2,0))</f>
        <v>794.79173704289599</v>
      </c>
    </row>
    <row r="269" spans="1:23" x14ac:dyDescent="0.2">
      <c r="A269" s="19" t="str">
        <f t="shared" ref="A269:A278" si="16">B269&amp;RIGHT(C269,2)</f>
        <v>SVE12</v>
      </c>
      <c r="B269" s="19" t="s">
        <v>29</v>
      </c>
      <c r="C269" s="19" t="s">
        <v>64</v>
      </c>
      <c r="D269" s="139">
        <f t="array" ref="D269">INDEX(F_Inputs!$G$4:$T$381,MATCH(Data!$B269&amp;Data!D$6,F_Inputs!$A$4:$A$381&amp;F_Inputs!$B$4:$B$381,0),MATCH(Data!$C269,F_Inputs!$G$2:$T$2,0))</f>
        <v>0</v>
      </c>
      <c r="E269" s="139">
        <f t="array" ref="E269">INDEX(F_Inputs!$G$4:$T$381,MATCH(Data!$B269&amp;Data!E$6,F_Inputs!$A$4:$A$381&amp;F_Inputs!$B$4:$B$381,0),MATCH(Data!$C269,F_Inputs!$G$2:$T$2,0))</f>
        <v>0</v>
      </c>
      <c r="F269" s="139">
        <f t="array" ref="F269">INDEX(F_Inputs!$G$4:$T$381,MATCH(Data!$B269&amp;Data!F$6,F_Inputs!$A$4:$A$381&amp;F_Inputs!$B$4:$B$381,0),MATCH(Data!$C269,F_Inputs!$G$2:$T$2,0))</f>
        <v>0</v>
      </c>
      <c r="G269" s="139">
        <f t="array" ref="G269">INDEX(F_Inputs!$G$4:$T$381,MATCH(Data!$B269&amp;Data!G$6,F_Inputs!$A$4:$A$381&amp;F_Inputs!$B$4:$B$381,0),MATCH(Data!$C269,F_Inputs!$G$2:$T$2,0))</f>
        <v>0</v>
      </c>
      <c r="I269" s="139">
        <f t="array" ref="I269">INDEX(F_Inputs!$G$4:$T$381,MATCH(Data!$B269&amp;Data!I$6,F_Inputs!$A$4:$A$381&amp;F_Inputs!$B$4:$B$381,0),MATCH(Data!$C269,F_Inputs!$G$2:$T$2,0))</f>
        <v>0</v>
      </c>
      <c r="J269" s="139">
        <f t="array" ref="J269">INDEX(F_Inputs!$G$4:$T$381,MATCH(Data!$B269&amp;Data!J$6,F_Inputs!$A$4:$A$381&amp;F_Inputs!$B$4:$B$381,0),MATCH(Data!$C269,F_Inputs!$G$2:$T$2,0))</f>
        <v>0</v>
      </c>
      <c r="K269" s="139">
        <f t="array" ref="K269">INDEX(F_Inputs!$G$4:$T$381,MATCH(Data!$B269&amp;Data!K$6,F_Inputs!$A$4:$A$381&amp;F_Inputs!$B$4:$B$381,0),MATCH(Data!$C269,F_Inputs!$G$2:$T$2,0))</f>
        <v>0</v>
      </c>
      <c r="L269" s="139">
        <f t="array" ref="L269">INDEX(F_Inputs!$G$4:$T$381,MATCH(Data!$B269&amp;Data!L$6,F_Inputs!$A$4:$A$381&amp;F_Inputs!$B$4:$B$381,0),MATCH(Data!$C269,F_Inputs!$G$2:$T$2,0))</f>
        <v>0</v>
      </c>
      <c r="N269" s="139">
        <f t="array" ref="N269">INDEX(F_Inputs!$G$4:$T$381,MATCH(Data!$B269&amp;Data!N$6,F_Inputs!$A$4:$A$381&amp;F_Inputs!$B$4:$B$381,0),MATCH(Data!$C269,F_Inputs!$G$2:$T$2,0))</f>
        <v>0</v>
      </c>
      <c r="O269" s="144"/>
      <c r="P269" s="139">
        <f t="array" ref="P269">INDEX(F_Inputs!$G$4:$T$381,MATCH(Data!$B269&amp;Data!P$6,F_Inputs!$A$4:$A$381&amp;F_Inputs!$B$4:$B$381,0),MATCH(Data!$C269,F_Inputs!$G$2:$T$2,0))</f>
        <v>0</v>
      </c>
      <c r="Q269" s="139">
        <f t="array" ref="Q269">INDEX(F_Inputs!$G$4:$T$381,MATCH(Data!$B269&amp;Data!Q$6,F_Inputs!$A$4:$A$381&amp;F_Inputs!$B$4:$B$381,0),MATCH(Data!$C269,F_Inputs!$G$2:$T$2,0))</f>
        <v>0</v>
      </c>
      <c r="R269" s="139">
        <f t="array" ref="R269">INDEX(F_Inputs!$G$4:$T$381,MATCH(Data!$B269&amp;Data!R$6,F_Inputs!$A$4:$A$381&amp;F_Inputs!$B$4:$B$381,0),MATCH(Data!$C269,F_Inputs!$G$2:$T$2,0))</f>
        <v>0</v>
      </c>
      <c r="S269" s="139">
        <f t="array" ref="S269">INDEX(F_Inputs!$G$4:$T$381,MATCH(Data!$B269&amp;Data!S$6,F_Inputs!$A$4:$A$381&amp;F_Inputs!$B$4:$B$381,0),MATCH(Data!$C269,F_Inputs!$G$2:$T$2,0))</f>
        <v>0</v>
      </c>
      <c r="U269" s="139">
        <f t="array" ref="U269">INDEX(F_Inputs!$G$4:$T$381,MATCH(Data!$B269&amp;Data!U$6,F_Inputs!$A$4:$A$381&amp;F_Inputs!$B$4:$B$381,0),MATCH(Data!$C269,F_Inputs!$G$2:$T$2,0))</f>
        <v>0</v>
      </c>
      <c r="V269" s="139">
        <f t="array" ref="V269">INDEX(F_Inputs!$G$4:$T$381,MATCH(Data!$B269&amp;Data!V$6,F_Inputs!$A$4:$A$381&amp;F_Inputs!$B$4:$B$381,0),MATCH(Data!$C269,F_Inputs!$G$2:$T$2,0))</f>
        <v>0</v>
      </c>
      <c r="W269" s="139">
        <f t="array" ref="W269">INDEX(F_Inputs!$G$4:$T$381,MATCH(Data!$B269&amp;Data!W$6,F_Inputs!$A$4:$A$381&amp;F_Inputs!$B$4:$B$381,0),MATCH(Data!$C269,F_Inputs!$G$2:$T$2,0))</f>
        <v>0</v>
      </c>
    </row>
    <row r="270" spans="1:23" x14ac:dyDescent="0.2">
      <c r="A270" s="19" t="str">
        <f t="shared" si="16"/>
        <v>SVE13</v>
      </c>
      <c r="B270" s="19" t="s">
        <v>29</v>
      </c>
      <c r="C270" s="19" t="s">
        <v>65</v>
      </c>
      <c r="D270" s="139">
        <f t="array" ref="D270">INDEX(F_Inputs!$G$4:$T$381,MATCH(Data!$B270&amp;Data!D$6,F_Inputs!$A$4:$A$381&amp;F_Inputs!$B$4:$B$381,0),MATCH(Data!$C270,F_Inputs!$G$2:$T$2,0))</f>
        <v>0</v>
      </c>
      <c r="E270" s="139">
        <f t="array" ref="E270">INDEX(F_Inputs!$G$4:$T$381,MATCH(Data!$B270&amp;Data!E$6,F_Inputs!$A$4:$A$381&amp;F_Inputs!$B$4:$B$381,0),MATCH(Data!$C270,F_Inputs!$G$2:$T$2,0))</f>
        <v>0</v>
      </c>
      <c r="F270" s="139">
        <f t="array" ref="F270">INDEX(F_Inputs!$G$4:$T$381,MATCH(Data!$B270&amp;Data!F$6,F_Inputs!$A$4:$A$381&amp;F_Inputs!$B$4:$B$381,0),MATCH(Data!$C270,F_Inputs!$G$2:$T$2,0))</f>
        <v>0</v>
      </c>
      <c r="G270" s="139">
        <f t="array" ref="G270">INDEX(F_Inputs!$G$4:$T$381,MATCH(Data!$B270&amp;Data!G$6,F_Inputs!$A$4:$A$381&amp;F_Inputs!$B$4:$B$381,0),MATCH(Data!$C270,F_Inputs!$G$2:$T$2,0))</f>
        <v>0</v>
      </c>
      <c r="I270" s="139">
        <f t="array" ref="I270">INDEX(F_Inputs!$G$4:$T$381,MATCH(Data!$B270&amp;Data!I$6,F_Inputs!$A$4:$A$381&amp;F_Inputs!$B$4:$B$381,0),MATCH(Data!$C270,F_Inputs!$G$2:$T$2,0))</f>
        <v>0</v>
      </c>
      <c r="J270" s="139">
        <f t="array" ref="J270">INDEX(F_Inputs!$G$4:$T$381,MATCH(Data!$B270&amp;Data!J$6,F_Inputs!$A$4:$A$381&amp;F_Inputs!$B$4:$B$381,0),MATCH(Data!$C270,F_Inputs!$G$2:$T$2,0))</f>
        <v>0</v>
      </c>
      <c r="K270" s="139">
        <f t="array" ref="K270">INDEX(F_Inputs!$G$4:$T$381,MATCH(Data!$B270&amp;Data!K$6,F_Inputs!$A$4:$A$381&amp;F_Inputs!$B$4:$B$381,0),MATCH(Data!$C270,F_Inputs!$G$2:$T$2,0))</f>
        <v>0</v>
      </c>
      <c r="L270" s="139">
        <f t="array" ref="L270">INDEX(F_Inputs!$G$4:$T$381,MATCH(Data!$B270&amp;Data!L$6,F_Inputs!$A$4:$A$381&amp;F_Inputs!$B$4:$B$381,0),MATCH(Data!$C270,F_Inputs!$G$2:$T$2,0))</f>
        <v>0</v>
      </c>
      <c r="N270" s="139">
        <f t="array" ref="N270">INDEX(F_Inputs!$G$4:$T$381,MATCH(Data!$B270&amp;Data!N$6,F_Inputs!$A$4:$A$381&amp;F_Inputs!$B$4:$B$381,0),MATCH(Data!$C270,F_Inputs!$G$2:$T$2,0))</f>
        <v>0</v>
      </c>
      <c r="O270" s="144"/>
      <c r="P270" s="139">
        <f t="array" ref="P270">INDEX(F_Inputs!$G$4:$T$381,MATCH(Data!$B270&amp;Data!P$6,F_Inputs!$A$4:$A$381&amp;F_Inputs!$B$4:$B$381,0),MATCH(Data!$C270,F_Inputs!$G$2:$T$2,0))</f>
        <v>0</v>
      </c>
      <c r="Q270" s="139">
        <f t="array" ref="Q270">INDEX(F_Inputs!$G$4:$T$381,MATCH(Data!$B270&amp;Data!Q$6,F_Inputs!$A$4:$A$381&amp;F_Inputs!$B$4:$B$381,0),MATCH(Data!$C270,F_Inputs!$G$2:$T$2,0))</f>
        <v>0</v>
      </c>
      <c r="R270" s="139">
        <f t="array" ref="R270">INDEX(F_Inputs!$G$4:$T$381,MATCH(Data!$B270&amp;Data!R$6,F_Inputs!$A$4:$A$381&amp;F_Inputs!$B$4:$B$381,0),MATCH(Data!$C270,F_Inputs!$G$2:$T$2,0))</f>
        <v>0</v>
      </c>
      <c r="S270" s="139">
        <f t="array" ref="S270">INDEX(F_Inputs!$G$4:$T$381,MATCH(Data!$B270&amp;Data!S$6,F_Inputs!$A$4:$A$381&amp;F_Inputs!$B$4:$B$381,0),MATCH(Data!$C270,F_Inputs!$G$2:$T$2,0))</f>
        <v>0</v>
      </c>
      <c r="U270" s="139">
        <f t="array" ref="U270">INDEX(F_Inputs!$G$4:$T$381,MATCH(Data!$B270&amp;Data!U$6,F_Inputs!$A$4:$A$381&amp;F_Inputs!$B$4:$B$381,0),MATCH(Data!$C270,F_Inputs!$G$2:$T$2,0))</f>
        <v>0</v>
      </c>
      <c r="V270" s="139">
        <f t="array" ref="V270">INDEX(F_Inputs!$G$4:$T$381,MATCH(Data!$B270&amp;Data!V$6,F_Inputs!$A$4:$A$381&amp;F_Inputs!$B$4:$B$381,0),MATCH(Data!$C270,F_Inputs!$G$2:$T$2,0))</f>
        <v>0</v>
      </c>
      <c r="W270" s="139">
        <f t="array" ref="W270">INDEX(F_Inputs!$G$4:$T$381,MATCH(Data!$B270&amp;Data!W$6,F_Inputs!$A$4:$A$381&amp;F_Inputs!$B$4:$B$381,0),MATCH(Data!$C270,F_Inputs!$G$2:$T$2,0))</f>
        <v>0</v>
      </c>
    </row>
    <row r="271" spans="1:23" x14ac:dyDescent="0.2">
      <c r="A271" s="19" t="str">
        <f t="shared" si="16"/>
        <v>SVE14</v>
      </c>
      <c r="B271" s="19" t="s">
        <v>29</v>
      </c>
      <c r="C271" s="19" t="s">
        <v>66</v>
      </c>
      <c r="D271" s="139">
        <f t="array" ref="D271">INDEX(F_Inputs!$G$4:$T$381,MATCH(Data!$B271&amp;Data!D$6,F_Inputs!$A$4:$A$381&amp;F_Inputs!$B$4:$B$381,0),MATCH(Data!$C271,F_Inputs!$G$2:$T$2,0))</f>
        <v>0</v>
      </c>
      <c r="E271" s="139">
        <f t="array" ref="E271">INDEX(F_Inputs!$G$4:$T$381,MATCH(Data!$B271&amp;Data!E$6,F_Inputs!$A$4:$A$381&amp;F_Inputs!$B$4:$B$381,0),MATCH(Data!$C271,F_Inputs!$G$2:$T$2,0))</f>
        <v>0</v>
      </c>
      <c r="F271" s="139">
        <f t="array" ref="F271">INDEX(F_Inputs!$G$4:$T$381,MATCH(Data!$B271&amp;Data!F$6,F_Inputs!$A$4:$A$381&amp;F_Inputs!$B$4:$B$381,0),MATCH(Data!$C271,F_Inputs!$G$2:$T$2,0))</f>
        <v>0</v>
      </c>
      <c r="G271" s="139">
        <f t="array" ref="G271">INDEX(F_Inputs!$G$4:$T$381,MATCH(Data!$B271&amp;Data!G$6,F_Inputs!$A$4:$A$381&amp;F_Inputs!$B$4:$B$381,0),MATCH(Data!$C271,F_Inputs!$G$2:$T$2,0))</f>
        <v>0</v>
      </c>
      <c r="I271" s="139">
        <f t="array" ref="I271">INDEX(F_Inputs!$G$4:$T$381,MATCH(Data!$B271&amp;Data!I$6,F_Inputs!$A$4:$A$381&amp;F_Inputs!$B$4:$B$381,0),MATCH(Data!$C271,F_Inputs!$G$2:$T$2,0))</f>
        <v>0</v>
      </c>
      <c r="J271" s="139">
        <f t="array" ref="J271">INDEX(F_Inputs!$G$4:$T$381,MATCH(Data!$B271&amp;Data!J$6,F_Inputs!$A$4:$A$381&amp;F_Inputs!$B$4:$B$381,0),MATCH(Data!$C271,F_Inputs!$G$2:$T$2,0))</f>
        <v>0</v>
      </c>
      <c r="K271" s="139">
        <f t="array" ref="K271">INDEX(F_Inputs!$G$4:$T$381,MATCH(Data!$B271&amp;Data!K$6,F_Inputs!$A$4:$A$381&amp;F_Inputs!$B$4:$B$381,0),MATCH(Data!$C271,F_Inputs!$G$2:$T$2,0))</f>
        <v>0</v>
      </c>
      <c r="L271" s="139">
        <f t="array" ref="L271">INDEX(F_Inputs!$G$4:$T$381,MATCH(Data!$B271&amp;Data!L$6,F_Inputs!$A$4:$A$381&amp;F_Inputs!$B$4:$B$381,0),MATCH(Data!$C271,F_Inputs!$G$2:$T$2,0))</f>
        <v>0</v>
      </c>
      <c r="N271" s="139">
        <f t="array" ref="N271">INDEX(F_Inputs!$G$4:$T$381,MATCH(Data!$B271&amp;Data!N$6,F_Inputs!$A$4:$A$381&amp;F_Inputs!$B$4:$B$381,0),MATCH(Data!$C271,F_Inputs!$G$2:$T$2,0))</f>
        <v>0</v>
      </c>
      <c r="O271" s="144"/>
      <c r="P271" s="139">
        <f t="array" ref="P271">INDEX(F_Inputs!$G$4:$T$381,MATCH(Data!$B271&amp;Data!P$6,F_Inputs!$A$4:$A$381&amp;F_Inputs!$B$4:$B$381,0),MATCH(Data!$C271,F_Inputs!$G$2:$T$2,0))</f>
        <v>0</v>
      </c>
      <c r="Q271" s="139">
        <f t="array" ref="Q271">INDEX(F_Inputs!$G$4:$T$381,MATCH(Data!$B271&amp;Data!Q$6,F_Inputs!$A$4:$A$381&amp;F_Inputs!$B$4:$B$381,0),MATCH(Data!$C271,F_Inputs!$G$2:$T$2,0))</f>
        <v>0</v>
      </c>
      <c r="R271" s="139">
        <f t="array" ref="R271">INDEX(F_Inputs!$G$4:$T$381,MATCH(Data!$B271&amp;Data!R$6,F_Inputs!$A$4:$A$381&amp;F_Inputs!$B$4:$B$381,0),MATCH(Data!$C271,F_Inputs!$G$2:$T$2,0))</f>
        <v>0</v>
      </c>
      <c r="S271" s="139">
        <f t="array" ref="S271">INDEX(F_Inputs!$G$4:$T$381,MATCH(Data!$B271&amp;Data!S$6,F_Inputs!$A$4:$A$381&amp;F_Inputs!$B$4:$B$381,0),MATCH(Data!$C271,F_Inputs!$G$2:$T$2,0))</f>
        <v>0</v>
      </c>
      <c r="U271" s="139">
        <f t="array" ref="U271">INDEX(F_Inputs!$G$4:$T$381,MATCH(Data!$B271&amp;Data!U$6,F_Inputs!$A$4:$A$381&amp;F_Inputs!$B$4:$B$381,0),MATCH(Data!$C271,F_Inputs!$G$2:$T$2,0))</f>
        <v>0</v>
      </c>
      <c r="V271" s="139">
        <f t="array" ref="V271">INDEX(F_Inputs!$G$4:$T$381,MATCH(Data!$B271&amp;Data!V$6,F_Inputs!$A$4:$A$381&amp;F_Inputs!$B$4:$B$381,0),MATCH(Data!$C271,F_Inputs!$G$2:$T$2,0))</f>
        <v>0</v>
      </c>
      <c r="W271" s="139">
        <f t="array" ref="W271">INDEX(F_Inputs!$G$4:$T$381,MATCH(Data!$B271&amp;Data!W$6,F_Inputs!$A$4:$A$381&amp;F_Inputs!$B$4:$B$381,0),MATCH(Data!$C271,F_Inputs!$G$2:$T$2,0))</f>
        <v>0</v>
      </c>
    </row>
    <row r="272" spans="1:23" x14ac:dyDescent="0.2">
      <c r="A272" s="19" t="str">
        <f t="shared" si="16"/>
        <v>SVE15</v>
      </c>
      <c r="B272" s="19" t="s">
        <v>29</v>
      </c>
      <c r="C272" s="19" t="s">
        <v>67</v>
      </c>
      <c r="D272" s="139">
        <f t="array" ref="D272">INDEX(F_Inputs!$G$4:$T$381,MATCH(Data!$B272&amp;Data!D$6,F_Inputs!$A$4:$A$381&amp;F_Inputs!$B$4:$B$381,0),MATCH(Data!$C272,F_Inputs!$G$2:$T$2,0))</f>
        <v>0</v>
      </c>
      <c r="E272" s="139">
        <f t="array" ref="E272">INDEX(F_Inputs!$G$4:$T$381,MATCH(Data!$B272&amp;Data!E$6,F_Inputs!$A$4:$A$381&amp;F_Inputs!$B$4:$B$381,0),MATCH(Data!$C272,F_Inputs!$G$2:$T$2,0))</f>
        <v>0</v>
      </c>
      <c r="F272" s="139">
        <f t="array" ref="F272">INDEX(F_Inputs!$G$4:$T$381,MATCH(Data!$B272&amp;Data!F$6,F_Inputs!$A$4:$A$381&amp;F_Inputs!$B$4:$B$381,0),MATCH(Data!$C272,F_Inputs!$G$2:$T$2,0))</f>
        <v>0</v>
      </c>
      <c r="G272" s="139">
        <f t="array" ref="G272">INDEX(F_Inputs!$G$4:$T$381,MATCH(Data!$B272&amp;Data!G$6,F_Inputs!$A$4:$A$381&amp;F_Inputs!$B$4:$B$381,0),MATCH(Data!$C272,F_Inputs!$G$2:$T$2,0))</f>
        <v>0</v>
      </c>
      <c r="I272" s="139">
        <f t="array" ref="I272">INDEX(F_Inputs!$G$4:$T$381,MATCH(Data!$B272&amp;Data!I$6,F_Inputs!$A$4:$A$381&amp;F_Inputs!$B$4:$B$381,0),MATCH(Data!$C272,F_Inputs!$G$2:$T$2,0))</f>
        <v>0</v>
      </c>
      <c r="J272" s="139">
        <f t="array" ref="J272">INDEX(F_Inputs!$G$4:$T$381,MATCH(Data!$B272&amp;Data!J$6,F_Inputs!$A$4:$A$381&amp;F_Inputs!$B$4:$B$381,0),MATCH(Data!$C272,F_Inputs!$G$2:$T$2,0))</f>
        <v>0</v>
      </c>
      <c r="K272" s="139">
        <f t="array" ref="K272">INDEX(F_Inputs!$G$4:$T$381,MATCH(Data!$B272&amp;Data!K$6,F_Inputs!$A$4:$A$381&amp;F_Inputs!$B$4:$B$381,0),MATCH(Data!$C272,F_Inputs!$G$2:$T$2,0))</f>
        <v>0</v>
      </c>
      <c r="L272" s="139">
        <f t="array" ref="L272">INDEX(F_Inputs!$G$4:$T$381,MATCH(Data!$B272&amp;Data!L$6,F_Inputs!$A$4:$A$381&amp;F_Inputs!$B$4:$B$381,0),MATCH(Data!$C272,F_Inputs!$G$2:$T$2,0))</f>
        <v>0</v>
      </c>
      <c r="N272" s="139">
        <f t="array" ref="N272">INDEX(F_Inputs!$G$4:$T$381,MATCH(Data!$B272&amp;Data!N$6,F_Inputs!$A$4:$A$381&amp;F_Inputs!$B$4:$B$381,0),MATCH(Data!$C272,F_Inputs!$G$2:$T$2,0))</f>
        <v>0</v>
      </c>
      <c r="O272" s="144"/>
      <c r="P272" s="139">
        <f t="array" ref="P272">INDEX(F_Inputs!$G$4:$T$381,MATCH(Data!$B272&amp;Data!P$6,F_Inputs!$A$4:$A$381&amp;F_Inputs!$B$4:$B$381,0),MATCH(Data!$C272,F_Inputs!$G$2:$T$2,0))</f>
        <v>0</v>
      </c>
      <c r="Q272" s="139">
        <f t="array" ref="Q272">INDEX(F_Inputs!$G$4:$T$381,MATCH(Data!$B272&amp;Data!Q$6,F_Inputs!$A$4:$A$381&amp;F_Inputs!$B$4:$B$381,0),MATCH(Data!$C272,F_Inputs!$G$2:$T$2,0))</f>
        <v>0</v>
      </c>
      <c r="R272" s="139">
        <f t="array" ref="R272">INDEX(F_Inputs!$G$4:$T$381,MATCH(Data!$B272&amp;Data!R$6,F_Inputs!$A$4:$A$381&amp;F_Inputs!$B$4:$B$381,0),MATCH(Data!$C272,F_Inputs!$G$2:$T$2,0))</f>
        <v>0</v>
      </c>
      <c r="S272" s="139">
        <f t="array" ref="S272">INDEX(F_Inputs!$G$4:$T$381,MATCH(Data!$B272&amp;Data!S$6,F_Inputs!$A$4:$A$381&amp;F_Inputs!$B$4:$B$381,0),MATCH(Data!$C272,F_Inputs!$G$2:$T$2,0))</f>
        <v>0</v>
      </c>
      <c r="U272" s="139">
        <f t="array" ref="U272">INDEX(F_Inputs!$G$4:$T$381,MATCH(Data!$B272&amp;Data!U$6,F_Inputs!$A$4:$A$381&amp;F_Inputs!$B$4:$B$381,0),MATCH(Data!$C272,F_Inputs!$G$2:$T$2,0))</f>
        <v>0</v>
      </c>
      <c r="V272" s="139">
        <f t="array" ref="V272">INDEX(F_Inputs!$G$4:$T$381,MATCH(Data!$B272&amp;Data!V$6,F_Inputs!$A$4:$A$381&amp;F_Inputs!$B$4:$B$381,0),MATCH(Data!$C272,F_Inputs!$G$2:$T$2,0))</f>
        <v>0</v>
      </c>
      <c r="W272" s="139">
        <f t="array" ref="W272">INDEX(F_Inputs!$G$4:$T$381,MATCH(Data!$B272&amp;Data!W$6,F_Inputs!$A$4:$A$381&amp;F_Inputs!$B$4:$B$381,0),MATCH(Data!$C272,F_Inputs!$G$2:$T$2,0))</f>
        <v>0</v>
      </c>
    </row>
    <row r="273" spans="1:23" x14ac:dyDescent="0.2">
      <c r="A273" s="19" t="str">
        <f t="shared" si="16"/>
        <v>SVE16</v>
      </c>
      <c r="B273" s="19" t="s">
        <v>29</v>
      </c>
      <c r="C273" s="19" t="s">
        <v>68</v>
      </c>
      <c r="D273" s="139">
        <f t="array" ref="D273">INDEX(F_Inputs!$G$4:$T$381,MATCH(Data!$B273&amp;Data!D$6,F_Inputs!$A$4:$A$381&amp;F_Inputs!$B$4:$B$381,0),MATCH(Data!$C273,F_Inputs!$G$2:$T$2,0))</f>
        <v>0</v>
      </c>
      <c r="E273" s="139">
        <f t="array" ref="E273">INDEX(F_Inputs!$G$4:$T$381,MATCH(Data!$B273&amp;Data!E$6,F_Inputs!$A$4:$A$381&amp;F_Inputs!$B$4:$B$381,0),MATCH(Data!$C273,F_Inputs!$G$2:$T$2,0))</f>
        <v>0</v>
      </c>
      <c r="F273" s="139">
        <f t="array" ref="F273">INDEX(F_Inputs!$G$4:$T$381,MATCH(Data!$B273&amp;Data!F$6,F_Inputs!$A$4:$A$381&amp;F_Inputs!$B$4:$B$381,0),MATCH(Data!$C273,F_Inputs!$G$2:$T$2,0))</f>
        <v>0</v>
      </c>
      <c r="G273" s="139">
        <f t="array" ref="G273">INDEX(F_Inputs!$G$4:$T$381,MATCH(Data!$B273&amp;Data!G$6,F_Inputs!$A$4:$A$381&amp;F_Inputs!$B$4:$B$381,0),MATCH(Data!$C273,F_Inputs!$G$2:$T$2,0))</f>
        <v>0</v>
      </c>
      <c r="I273" s="139">
        <f t="array" ref="I273">INDEX(F_Inputs!$G$4:$T$381,MATCH(Data!$B273&amp;Data!I$6,F_Inputs!$A$4:$A$381&amp;F_Inputs!$B$4:$B$381,0),MATCH(Data!$C273,F_Inputs!$G$2:$T$2,0))</f>
        <v>0</v>
      </c>
      <c r="J273" s="139">
        <f t="array" ref="J273">INDEX(F_Inputs!$G$4:$T$381,MATCH(Data!$B273&amp;Data!J$6,F_Inputs!$A$4:$A$381&amp;F_Inputs!$B$4:$B$381,0),MATCH(Data!$C273,F_Inputs!$G$2:$T$2,0))</f>
        <v>0</v>
      </c>
      <c r="K273" s="139">
        <f t="array" ref="K273">INDEX(F_Inputs!$G$4:$T$381,MATCH(Data!$B273&amp;Data!K$6,F_Inputs!$A$4:$A$381&amp;F_Inputs!$B$4:$B$381,0),MATCH(Data!$C273,F_Inputs!$G$2:$T$2,0))</f>
        <v>0</v>
      </c>
      <c r="L273" s="139">
        <f t="array" ref="L273">INDEX(F_Inputs!$G$4:$T$381,MATCH(Data!$B273&amp;Data!L$6,F_Inputs!$A$4:$A$381&amp;F_Inputs!$B$4:$B$381,0),MATCH(Data!$C273,F_Inputs!$G$2:$T$2,0))</f>
        <v>0</v>
      </c>
      <c r="N273" s="139">
        <f t="array" ref="N273">INDEX(F_Inputs!$G$4:$T$381,MATCH(Data!$B273&amp;Data!N$6,F_Inputs!$A$4:$A$381&amp;F_Inputs!$B$4:$B$381,0),MATCH(Data!$C273,F_Inputs!$G$2:$T$2,0))</f>
        <v>0</v>
      </c>
      <c r="O273" s="144"/>
      <c r="P273" s="139">
        <f t="array" ref="P273">INDEX(F_Inputs!$G$4:$T$381,MATCH(Data!$B273&amp;Data!P$6,F_Inputs!$A$4:$A$381&amp;F_Inputs!$B$4:$B$381,0),MATCH(Data!$C273,F_Inputs!$G$2:$T$2,0))</f>
        <v>0</v>
      </c>
      <c r="Q273" s="139">
        <f t="array" ref="Q273">INDEX(F_Inputs!$G$4:$T$381,MATCH(Data!$B273&amp;Data!Q$6,F_Inputs!$A$4:$A$381&amp;F_Inputs!$B$4:$B$381,0),MATCH(Data!$C273,F_Inputs!$G$2:$T$2,0))</f>
        <v>0</v>
      </c>
      <c r="R273" s="139">
        <f t="array" ref="R273">INDEX(F_Inputs!$G$4:$T$381,MATCH(Data!$B273&amp;Data!R$6,F_Inputs!$A$4:$A$381&amp;F_Inputs!$B$4:$B$381,0),MATCH(Data!$C273,F_Inputs!$G$2:$T$2,0))</f>
        <v>0</v>
      </c>
      <c r="S273" s="139">
        <f t="array" ref="S273">INDEX(F_Inputs!$G$4:$T$381,MATCH(Data!$B273&amp;Data!S$6,F_Inputs!$A$4:$A$381&amp;F_Inputs!$B$4:$B$381,0),MATCH(Data!$C273,F_Inputs!$G$2:$T$2,0))</f>
        <v>0</v>
      </c>
      <c r="U273" s="139">
        <f t="array" ref="U273">INDEX(F_Inputs!$G$4:$T$381,MATCH(Data!$B273&amp;Data!U$6,F_Inputs!$A$4:$A$381&amp;F_Inputs!$B$4:$B$381,0),MATCH(Data!$C273,F_Inputs!$G$2:$T$2,0))</f>
        <v>0</v>
      </c>
      <c r="V273" s="139">
        <f t="array" ref="V273">INDEX(F_Inputs!$G$4:$T$381,MATCH(Data!$B273&amp;Data!V$6,F_Inputs!$A$4:$A$381&amp;F_Inputs!$B$4:$B$381,0),MATCH(Data!$C273,F_Inputs!$G$2:$T$2,0))</f>
        <v>0</v>
      </c>
      <c r="W273" s="139">
        <f t="array" ref="W273">INDEX(F_Inputs!$G$4:$T$381,MATCH(Data!$B273&amp;Data!W$6,F_Inputs!$A$4:$A$381&amp;F_Inputs!$B$4:$B$381,0),MATCH(Data!$C273,F_Inputs!$G$2:$T$2,0))</f>
        <v>0</v>
      </c>
    </row>
    <row r="274" spans="1:23" x14ac:dyDescent="0.2">
      <c r="A274" s="19" t="str">
        <f t="shared" si="16"/>
        <v>SVE17</v>
      </c>
      <c r="B274" s="19" t="s">
        <v>29</v>
      </c>
      <c r="C274" s="19" t="s">
        <v>69</v>
      </c>
      <c r="D274" s="139">
        <f t="array" ref="D274">INDEX(F_Inputs!$G$4:$T$381,MATCH(Data!$B274&amp;Data!D$6,F_Inputs!$A$4:$A$381&amp;F_Inputs!$B$4:$B$381,0),MATCH(Data!$C274,F_Inputs!$G$2:$T$2,0))</f>
        <v>0</v>
      </c>
      <c r="E274" s="139">
        <f t="array" ref="E274">INDEX(F_Inputs!$G$4:$T$381,MATCH(Data!$B274&amp;Data!E$6,F_Inputs!$A$4:$A$381&amp;F_Inputs!$B$4:$B$381,0),MATCH(Data!$C274,F_Inputs!$G$2:$T$2,0))</f>
        <v>0</v>
      </c>
      <c r="F274" s="139">
        <f t="array" ref="F274">INDEX(F_Inputs!$G$4:$T$381,MATCH(Data!$B274&amp;Data!F$6,F_Inputs!$A$4:$A$381&amp;F_Inputs!$B$4:$B$381,0),MATCH(Data!$C274,F_Inputs!$G$2:$T$2,0))</f>
        <v>0</v>
      </c>
      <c r="G274" s="139">
        <f t="array" ref="G274">INDEX(F_Inputs!$G$4:$T$381,MATCH(Data!$B274&amp;Data!G$6,F_Inputs!$A$4:$A$381&amp;F_Inputs!$B$4:$B$381,0),MATCH(Data!$C274,F_Inputs!$G$2:$T$2,0))</f>
        <v>0</v>
      </c>
      <c r="I274" s="139">
        <f t="array" ref="I274">INDEX(F_Inputs!$G$4:$T$381,MATCH(Data!$B274&amp;Data!I$6,F_Inputs!$A$4:$A$381&amp;F_Inputs!$B$4:$B$381,0),MATCH(Data!$C274,F_Inputs!$G$2:$T$2,0))</f>
        <v>0</v>
      </c>
      <c r="J274" s="139">
        <f t="array" ref="J274">INDEX(F_Inputs!$G$4:$T$381,MATCH(Data!$B274&amp;Data!J$6,F_Inputs!$A$4:$A$381&amp;F_Inputs!$B$4:$B$381,0),MATCH(Data!$C274,F_Inputs!$G$2:$T$2,0))</f>
        <v>0</v>
      </c>
      <c r="K274" s="139">
        <f t="array" ref="K274">INDEX(F_Inputs!$G$4:$T$381,MATCH(Data!$B274&amp;Data!K$6,F_Inputs!$A$4:$A$381&amp;F_Inputs!$B$4:$B$381,0),MATCH(Data!$C274,F_Inputs!$G$2:$T$2,0))</f>
        <v>0</v>
      </c>
      <c r="L274" s="139">
        <f t="array" ref="L274">INDEX(F_Inputs!$G$4:$T$381,MATCH(Data!$B274&amp;Data!L$6,F_Inputs!$A$4:$A$381&amp;F_Inputs!$B$4:$B$381,0),MATCH(Data!$C274,F_Inputs!$G$2:$T$2,0))</f>
        <v>0</v>
      </c>
      <c r="N274" s="139">
        <f t="array" ref="N274">INDEX(F_Inputs!$G$4:$T$381,MATCH(Data!$B274&amp;Data!N$6,F_Inputs!$A$4:$A$381&amp;F_Inputs!$B$4:$B$381,0),MATCH(Data!$C274,F_Inputs!$G$2:$T$2,0))</f>
        <v>0</v>
      </c>
      <c r="O274" s="144"/>
      <c r="P274" s="139">
        <f t="array" ref="P274">INDEX(F_Inputs!$G$4:$T$381,MATCH(Data!$B274&amp;Data!P$6,F_Inputs!$A$4:$A$381&amp;F_Inputs!$B$4:$B$381,0),MATCH(Data!$C274,F_Inputs!$G$2:$T$2,0))</f>
        <v>0</v>
      </c>
      <c r="Q274" s="139">
        <f t="array" ref="Q274">INDEX(F_Inputs!$G$4:$T$381,MATCH(Data!$B274&amp;Data!Q$6,F_Inputs!$A$4:$A$381&amp;F_Inputs!$B$4:$B$381,0),MATCH(Data!$C274,F_Inputs!$G$2:$T$2,0))</f>
        <v>0</v>
      </c>
      <c r="R274" s="139">
        <f t="array" ref="R274">INDEX(F_Inputs!$G$4:$T$381,MATCH(Data!$B274&amp;Data!R$6,F_Inputs!$A$4:$A$381&amp;F_Inputs!$B$4:$B$381,0),MATCH(Data!$C274,F_Inputs!$G$2:$T$2,0))</f>
        <v>0</v>
      </c>
      <c r="S274" s="139">
        <f t="array" ref="S274">INDEX(F_Inputs!$G$4:$T$381,MATCH(Data!$B274&amp;Data!S$6,F_Inputs!$A$4:$A$381&amp;F_Inputs!$B$4:$B$381,0),MATCH(Data!$C274,F_Inputs!$G$2:$T$2,0))</f>
        <v>0</v>
      </c>
      <c r="U274" s="139">
        <f t="array" ref="U274">INDEX(F_Inputs!$G$4:$T$381,MATCH(Data!$B274&amp;Data!U$6,F_Inputs!$A$4:$A$381&amp;F_Inputs!$B$4:$B$381,0),MATCH(Data!$C274,F_Inputs!$G$2:$T$2,0))</f>
        <v>0</v>
      </c>
      <c r="V274" s="139">
        <f t="array" ref="V274">INDEX(F_Inputs!$G$4:$T$381,MATCH(Data!$B274&amp;Data!V$6,F_Inputs!$A$4:$A$381&amp;F_Inputs!$B$4:$B$381,0),MATCH(Data!$C274,F_Inputs!$G$2:$T$2,0))</f>
        <v>0</v>
      </c>
      <c r="W274" s="139">
        <f t="array" ref="W274">INDEX(F_Inputs!$G$4:$T$381,MATCH(Data!$B274&amp;Data!W$6,F_Inputs!$A$4:$A$381&amp;F_Inputs!$B$4:$B$381,0),MATCH(Data!$C274,F_Inputs!$G$2:$T$2,0))</f>
        <v>0</v>
      </c>
    </row>
    <row r="275" spans="1:23" x14ac:dyDescent="0.2">
      <c r="A275" s="141" t="str">
        <f t="shared" si="16"/>
        <v>SVE18</v>
      </c>
      <c r="B275" s="142" t="str">
        <f>B274</f>
        <v>SVE</v>
      </c>
      <c r="C275" s="142" t="s">
        <v>70</v>
      </c>
      <c r="D275" s="139">
        <f t="array" ref="D275">INDEX(F_Inputs!$G$4:$T$381,MATCH(Data!$B275&amp;Data!D$6,F_Inputs!$A$4:$A$381&amp;F_Inputs!$B$4:$B$381,0),MATCH(Data!$C275,F_Inputs!$G$2:$T$2,0))</f>
        <v>0</v>
      </c>
      <c r="E275" s="139">
        <f t="array" ref="E275">INDEX(F_Inputs!$G$4:$T$381,MATCH(Data!$B275&amp;Data!E$6,F_Inputs!$A$4:$A$381&amp;F_Inputs!$B$4:$B$381,0),MATCH(Data!$C275,F_Inputs!$G$2:$T$2,0))</f>
        <v>1.1299999999999999</v>
      </c>
      <c r="F275" s="139">
        <f t="array" ref="F275">INDEX(F_Inputs!$G$4:$T$381,MATCH(Data!$B275&amp;Data!F$6,F_Inputs!$A$4:$A$381&amp;F_Inputs!$B$4:$B$381,0),MATCH(Data!$C275,F_Inputs!$G$2:$T$2,0))</f>
        <v>0</v>
      </c>
      <c r="G275" s="139">
        <f t="array" ref="G275">INDEX(F_Inputs!$G$4:$T$381,MATCH(Data!$B275&amp;Data!G$6,F_Inputs!$A$4:$A$381&amp;F_Inputs!$B$4:$B$381,0),MATCH(Data!$C275,F_Inputs!$G$2:$T$2,0))</f>
        <v>0</v>
      </c>
      <c r="I275" s="139">
        <f t="array" ref="I275">INDEX(F_Inputs!$G$4:$T$381,MATCH(Data!$B275&amp;Data!I$6,F_Inputs!$A$4:$A$381&amp;F_Inputs!$B$4:$B$381,0),MATCH(Data!$C275,F_Inputs!$G$2:$T$2,0))</f>
        <v>0</v>
      </c>
      <c r="J275" s="139">
        <f t="array" ref="J275">INDEX(F_Inputs!$G$4:$T$381,MATCH(Data!$B275&amp;Data!J$6,F_Inputs!$A$4:$A$381&amp;F_Inputs!$B$4:$B$381,0),MATCH(Data!$C275,F_Inputs!$G$2:$T$2,0))</f>
        <v>0</v>
      </c>
      <c r="K275" s="139">
        <f t="array" ref="K275">INDEX(F_Inputs!$G$4:$T$381,MATCH(Data!$B275&amp;Data!K$6,F_Inputs!$A$4:$A$381&amp;F_Inputs!$B$4:$B$381,0),MATCH(Data!$C275,F_Inputs!$G$2:$T$2,0))</f>
        <v>0</v>
      </c>
      <c r="L275" s="139">
        <f t="array" ref="L275">INDEX(F_Inputs!$G$4:$T$381,MATCH(Data!$B275&amp;Data!L$6,F_Inputs!$A$4:$A$381&amp;F_Inputs!$B$4:$B$381,0),MATCH(Data!$C275,F_Inputs!$G$2:$T$2,0))</f>
        <v>0</v>
      </c>
      <c r="N275" s="139">
        <f t="array" ref="N275">INDEX(F_Inputs!$G$4:$T$381,MATCH(Data!$B275&amp;Data!N$6,F_Inputs!$A$4:$A$381&amp;F_Inputs!$B$4:$B$381,0),MATCH(Data!$C275,F_Inputs!$G$2:$T$2,0))</f>
        <v>687.972523421613</v>
      </c>
      <c r="O275" s="144"/>
      <c r="P275" s="139">
        <f t="array" ref="P275">INDEX(F_Inputs!$G$4:$T$381,MATCH(Data!$B275&amp;Data!P$6,F_Inputs!$A$4:$A$381&amp;F_Inputs!$B$4:$B$381,0),MATCH(Data!$C275,F_Inputs!$G$2:$T$2,0))</f>
        <v>5.2060254107180102</v>
      </c>
      <c r="Q275" s="139">
        <f t="array" ref="Q275">INDEX(F_Inputs!$G$4:$T$381,MATCH(Data!$B275&amp;Data!Q$6,F_Inputs!$A$4:$A$381&amp;F_Inputs!$B$4:$B$381,0),MATCH(Data!$C275,F_Inputs!$G$2:$T$2,0))</f>
        <v>5.2060254107180102</v>
      </c>
      <c r="R275" s="139">
        <f t="array" ref="R275">INDEX(F_Inputs!$G$4:$T$381,MATCH(Data!$B275&amp;Data!R$6,F_Inputs!$A$4:$A$381&amp;F_Inputs!$B$4:$B$381,0),MATCH(Data!$C275,F_Inputs!$G$2:$T$2,0))</f>
        <v>-0.213069414329524</v>
      </c>
      <c r="S275" s="139">
        <f t="array" ref="S275">INDEX(F_Inputs!$G$4:$T$381,MATCH(Data!$B275&amp;Data!S$6,F_Inputs!$A$4:$A$381&amp;F_Inputs!$B$4:$B$381,0),MATCH(Data!$C275,F_Inputs!$G$2:$T$2,0))</f>
        <v>-0.213069414329524</v>
      </c>
      <c r="U275" s="139">
        <f t="array" ref="U275">INDEX(F_Inputs!$G$4:$T$381,MATCH(Data!$B275&amp;Data!U$6,F_Inputs!$A$4:$A$381&amp;F_Inputs!$B$4:$B$381,0),MATCH(Data!$C275,F_Inputs!$G$2:$T$2,0))</f>
        <v>439.22</v>
      </c>
      <c r="V275" s="139">
        <f t="array" ref="V275">INDEX(F_Inputs!$G$4:$T$381,MATCH(Data!$B275&amp;Data!V$6,F_Inputs!$A$4:$A$381&amp;F_Inputs!$B$4:$B$381,0),MATCH(Data!$C275,F_Inputs!$G$2:$T$2,0))</f>
        <v>46539.848021003003</v>
      </c>
      <c r="W275" s="139">
        <f t="array" ref="W275">INDEX(F_Inputs!$G$4:$T$381,MATCH(Data!$B275&amp;Data!W$6,F_Inputs!$A$4:$A$381&amp;F_Inputs!$B$4:$B$381,0),MATCH(Data!$C275,F_Inputs!$G$2:$T$2,0))</f>
        <v>3612.1930000000002</v>
      </c>
    </row>
    <row r="276" spans="1:23" x14ac:dyDescent="0.2">
      <c r="A276" s="141" t="str">
        <f t="shared" si="16"/>
        <v>SVE19</v>
      </c>
      <c r="B276" s="142" t="str">
        <f>B275</f>
        <v>SVE</v>
      </c>
      <c r="C276" s="142" t="s">
        <v>71</v>
      </c>
      <c r="D276" s="139">
        <f t="array" ref="D276">INDEX(F_Inputs!$G$4:$T$381,MATCH(Data!$B276&amp;Data!D$6,F_Inputs!$A$4:$A$381&amp;F_Inputs!$B$4:$B$381,0),MATCH(Data!$C276,F_Inputs!$G$2:$T$2,0))</f>
        <v>0</v>
      </c>
      <c r="E276" s="139">
        <f t="array" ref="E276">INDEX(F_Inputs!$G$4:$T$381,MATCH(Data!$B276&amp;Data!E$6,F_Inputs!$A$4:$A$381&amp;F_Inputs!$B$4:$B$381,0),MATCH(Data!$C276,F_Inputs!$G$2:$T$2,0))</f>
        <v>1.0620254564413301</v>
      </c>
      <c r="F276" s="139">
        <f t="array" ref="F276">INDEX(F_Inputs!$G$4:$T$381,MATCH(Data!$B276&amp;Data!F$6,F_Inputs!$A$4:$A$381&amp;F_Inputs!$B$4:$B$381,0),MATCH(Data!$C276,F_Inputs!$G$2:$T$2,0))</f>
        <v>0</v>
      </c>
      <c r="G276" s="139">
        <f t="array" ref="G276">INDEX(F_Inputs!$G$4:$T$381,MATCH(Data!$B276&amp;Data!G$6,F_Inputs!$A$4:$A$381&amp;F_Inputs!$B$4:$B$381,0),MATCH(Data!$C276,F_Inputs!$G$2:$T$2,0))</f>
        <v>8.6660099398526196</v>
      </c>
      <c r="I276" s="139">
        <f t="array" ref="I276">INDEX(F_Inputs!$G$4:$T$381,MATCH(Data!$B276&amp;Data!I$6,F_Inputs!$A$4:$A$381&amp;F_Inputs!$B$4:$B$381,0),MATCH(Data!$C276,F_Inputs!$G$2:$T$2,0))</f>
        <v>0</v>
      </c>
      <c r="J276" s="139">
        <f t="array" ref="J276">INDEX(F_Inputs!$G$4:$T$381,MATCH(Data!$B276&amp;Data!J$6,F_Inputs!$A$4:$A$381&amp;F_Inputs!$B$4:$B$381,0),MATCH(Data!$C276,F_Inputs!$G$2:$T$2,0))</f>
        <v>0</v>
      </c>
      <c r="K276" s="139">
        <f t="array" ref="K276">INDEX(F_Inputs!$G$4:$T$381,MATCH(Data!$B276&amp;Data!K$6,F_Inputs!$A$4:$A$381&amp;F_Inputs!$B$4:$B$381,0),MATCH(Data!$C276,F_Inputs!$G$2:$T$2,0))</f>
        <v>0</v>
      </c>
      <c r="L276" s="139">
        <f t="array" ref="L276">INDEX(F_Inputs!$G$4:$T$381,MATCH(Data!$B276&amp;Data!L$6,F_Inputs!$A$4:$A$381&amp;F_Inputs!$B$4:$B$381,0),MATCH(Data!$C276,F_Inputs!$G$2:$T$2,0))</f>
        <v>0</v>
      </c>
      <c r="N276" s="139">
        <f t="array" ref="N276">INDEX(F_Inputs!$G$4:$T$381,MATCH(Data!$B276&amp;Data!N$6,F_Inputs!$A$4:$A$381&amp;F_Inputs!$B$4:$B$381,0),MATCH(Data!$C276,F_Inputs!$G$2:$T$2,0))</f>
        <v>757.23871777494298</v>
      </c>
      <c r="O276" s="144"/>
      <c r="P276" s="139">
        <f t="array" ref="P276">INDEX(F_Inputs!$G$4:$T$381,MATCH(Data!$B276&amp;Data!P$6,F_Inputs!$A$4:$A$381&amp;F_Inputs!$B$4:$B$381,0),MATCH(Data!$C276,F_Inputs!$G$2:$T$2,0))</f>
        <v>0</v>
      </c>
      <c r="Q276" s="139">
        <f t="array" ref="Q276">INDEX(F_Inputs!$G$4:$T$381,MATCH(Data!$B276&amp;Data!Q$6,F_Inputs!$A$4:$A$381&amp;F_Inputs!$B$4:$B$381,0),MATCH(Data!$C276,F_Inputs!$G$2:$T$2,0))</f>
        <v>0</v>
      </c>
      <c r="R276" s="139">
        <f t="array" ref="R276">INDEX(F_Inputs!$G$4:$T$381,MATCH(Data!$B276&amp;Data!R$6,F_Inputs!$A$4:$A$381&amp;F_Inputs!$B$4:$B$381,0),MATCH(Data!$C276,F_Inputs!$G$2:$T$2,0))</f>
        <v>6.53000000000005</v>
      </c>
      <c r="S276" s="139">
        <f t="array" ref="S276">INDEX(F_Inputs!$G$4:$T$381,MATCH(Data!$B276&amp;Data!S$6,F_Inputs!$A$4:$A$381&amp;F_Inputs!$B$4:$B$381,0),MATCH(Data!$C276,F_Inputs!$G$2:$T$2,0))</f>
        <v>6.53000000000005</v>
      </c>
      <c r="U276" s="139">
        <f t="array" ref="U276">INDEX(F_Inputs!$G$4:$T$381,MATCH(Data!$B276&amp;Data!U$6,F_Inputs!$A$4:$A$381&amp;F_Inputs!$B$4:$B$381,0),MATCH(Data!$C276,F_Inputs!$G$2:$T$2,0))</f>
        <v>425.63180359945801</v>
      </c>
      <c r="V276" s="139">
        <f t="array" ref="V276">INDEX(F_Inputs!$G$4:$T$381,MATCH(Data!$B276&amp;Data!V$6,F_Inputs!$A$4:$A$381&amp;F_Inputs!$B$4:$B$381,0),MATCH(Data!$C276,F_Inputs!$G$2:$T$2,0))</f>
        <v>46658.928021002997</v>
      </c>
      <c r="W276" s="139">
        <f t="array" ref="W276">INDEX(F_Inputs!$G$4:$T$381,MATCH(Data!$B276&amp;Data!W$6,F_Inputs!$A$4:$A$381&amp;F_Inputs!$B$4:$B$381,0),MATCH(Data!$C276,F_Inputs!$G$2:$T$2,0))</f>
        <v>3635.7182314246302</v>
      </c>
    </row>
    <row r="277" spans="1:23" x14ac:dyDescent="0.2">
      <c r="A277" s="141" t="str">
        <f t="shared" si="16"/>
        <v>SVE20</v>
      </c>
      <c r="B277" s="142" t="str">
        <f t="shared" ref="B277:B282" si="17">B276</f>
        <v>SVE</v>
      </c>
      <c r="C277" s="142" t="s">
        <v>72</v>
      </c>
      <c r="D277" s="139">
        <f t="array" ref="D277">INDEX(F_Inputs!$G$4:$T$381,MATCH(Data!$B277&amp;Data!D$6,F_Inputs!$A$4:$A$381&amp;F_Inputs!$B$4:$B$381,0),MATCH(Data!$C277,F_Inputs!$G$2:$T$2,0))</f>
        <v>0</v>
      </c>
      <c r="E277" s="139">
        <f t="array" ref="E277">INDEX(F_Inputs!$G$4:$T$381,MATCH(Data!$B277&amp;Data!E$6,F_Inputs!$A$4:$A$381&amp;F_Inputs!$B$4:$B$381,0),MATCH(Data!$C277,F_Inputs!$G$2:$T$2,0))</f>
        <v>5.04294473994306</v>
      </c>
      <c r="F277" s="139">
        <f t="array" ref="F277">INDEX(F_Inputs!$G$4:$T$381,MATCH(Data!$B277&amp;Data!F$6,F_Inputs!$A$4:$A$381&amp;F_Inputs!$B$4:$B$381,0),MATCH(Data!$C277,F_Inputs!$G$2:$T$2,0))</f>
        <v>0</v>
      </c>
      <c r="G277" s="139">
        <f t="array" ref="G277">INDEX(F_Inputs!$G$4:$T$381,MATCH(Data!$B277&amp;Data!G$6,F_Inputs!$A$4:$A$381&amp;F_Inputs!$B$4:$B$381,0),MATCH(Data!$C277,F_Inputs!$G$2:$T$2,0))</f>
        <v>10.738710361579299</v>
      </c>
      <c r="I277" s="139">
        <f t="array" ref="I277">INDEX(F_Inputs!$G$4:$T$381,MATCH(Data!$B277&amp;Data!I$6,F_Inputs!$A$4:$A$381&amp;F_Inputs!$B$4:$B$381,0),MATCH(Data!$C277,F_Inputs!$G$2:$T$2,0))</f>
        <v>0</v>
      </c>
      <c r="J277" s="139">
        <f t="array" ref="J277">INDEX(F_Inputs!$G$4:$T$381,MATCH(Data!$B277&amp;Data!J$6,F_Inputs!$A$4:$A$381&amp;F_Inputs!$B$4:$B$381,0),MATCH(Data!$C277,F_Inputs!$G$2:$T$2,0))</f>
        <v>0</v>
      </c>
      <c r="K277" s="139">
        <f t="array" ref="K277">INDEX(F_Inputs!$G$4:$T$381,MATCH(Data!$B277&amp;Data!K$6,F_Inputs!$A$4:$A$381&amp;F_Inputs!$B$4:$B$381,0),MATCH(Data!$C277,F_Inputs!$G$2:$T$2,0))</f>
        <v>0</v>
      </c>
      <c r="L277" s="139">
        <f t="array" ref="L277">INDEX(F_Inputs!$G$4:$T$381,MATCH(Data!$B277&amp;Data!L$6,F_Inputs!$A$4:$A$381&amp;F_Inputs!$B$4:$B$381,0),MATCH(Data!$C277,F_Inputs!$G$2:$T$2,0))</f>
        <v>0</v>
      </c>
      <c r="N277" s="139">
        <f t="array" ref="N277">INDEX(F_Inputs!$G$4:$T$381,MATCH(Data!$B277&amp;Data!N$6,F_Inputs!$A$4:$A$381&amp;F_Inputs!$B$4:$B$381,0),MATCH(Data!$C277,F_Inputs!$G$2:$T$2,0))</f>
        <v>799.06846555770403</v>
      </c>
      <c r="O277" s="144"/>
      <c r="P277" s="139">
        <f t="array" ref="P277">INDEX(F_Inputs!$G$4:$T$381,MATCH(Data!$B277&amp;Data!P$6,F_Inputs!$A$4:$A$381&amp;F_Inputs!$B$4:$B$381,0),MATCH(Data!$C277,F_Inputs!$G$2:$T$2,0))</f>
        <v>0</v>
      </c>
      <c r="Q277" s="139">
        <f t="array" ref="Q277">INDEX(F_Inputs!$G$4:$T$381,MATCH(Data!$B277&amp;Data!Q$6,F_Inputs!$A$4:$A$381&amp;F_Inputs!$B$4:$B$381,0),MATCH(Data!$C277,F_Inputs!$G$2:$T$2,0))</f>
        <v>0</v>
      </c>
      <c r="R277" s="139">
        <f t="array" ref="R277">INDEX(F_Inputs!$G$4:$T$381,MATCH(Data!$B277&amp;Data!R$6,F_Inputs!$A$4:$A$381&amp;F_Inputs!$B$4:$B$381,0),MATCH(Data!$C277,F_Inputs!$G$2:$T$2,0))</f>
        <v>6.3799999999999901</v>
      </c>
      <c r="S277" s="139">
        <f t="array" ref="S277">INDEX(F_Inputs!$G$4:$T$381,MATCH(Data!$B277&amp;Data!S$6,F_Inputs!$A$4:$A$381&amp;F_Inputs!$B$4:$B$381,0),MATCH(Data!$C277,F_Inputs!$G$2:$T$2,0))</f>
        <v>6.3799999999999901</v>
      </c>
      <c r="U277" s="139">
        <f t="array" ref="U277">INDEX(F_Inputs!$G$4:$T$381,MATCH(Data!$B277&amp;Data!U$6,F_Inputs!$A$4:$A$381&amp;F_Inputs!$B$4:$B$381,0),MATCH(Data!$C277,F_Inputs!$G$2:$T$2,0))</f>
        <v>421.58735630655002</v>
      </c>
      <c r="V277" s="139">
        <f t="array" ref="V277">INDEX(F_Inputs!$G$4:$T$381,MATCH(Data!$B277&amp;Data!V$6,F_Inputs!$A$4:$A$381&amp;F_Inputs!$B$4:$B$381,0),MATCH(Data!$C277,F_Inputs!$G$2:$T$2,0))</f>
        <v>46778.008021002999</v>
      </c>
      <c r="W277" s="139">
        <f t="array" ref="W277">INDEX(F_Inputs!$G$4:$T$381,MATCH(Data!$B277&amp;Data!W$6,F_Inputs!$A$4:$A$381&amp;F_Inputs!$B$4:$B$381,0),MATCH(Data!$C277,F_Inputs!$G$2:$T$2,0))</f>
        <v>3655.5675177160101</v>
      </c>
    </row>
    <row r="278" spans="1:23" x14ac:dyDescent="0.2">
      <c r="A278" s="141" t="str">
        <f t="shared" si="16"/>
        <v>SVE21</v>
      </c>
      <c r="B278" s="142" t="str">
        <f t="shared" si="17"/>
        <v>SVE</v>
      </c>
      <c r="C278" s="142" t="s">
        <v>73</v>
      </c>
      <c r="D278" s="139">
        <f t="array" ref="D278">INDEX(F_Inputs!$G$4:$T$381,MATCH(Data!$B278&amp;Data!D$6,F_Inputs!$A$4:$A$381&amp;F_Inputs!$B$4:$B$381,0),MATCH(Data!$C278,F_Inputs!$G$2:$T$2,0))</f>
        <v>0</v>
      </c>
      <c r="E278" s="139">
        <f t="array" ref="E278">INDEX(F_Inputs!$G$4:$T$381,MATCH(Data!$B278&amp;Data!E$6,F_Inputs!$A$4:$A$381&amp;F_Inputs!$B$4:$B$381,0),MATCH(Data!$C278,F_Inputs!$G$2:$T$2,0))</f>
        <v>11.523999999999999</v>
      </c>
      <c r="F278" s="139">
        <f t="array" ref="F278">INDEX(F_Inputs!$G$4:$T$381,MATCH(Data!$B278&amp;Data!F$6,F_Inputs!$A$4:$A$381&amp;F_Inputs!$B$4:$B$381,0),MATCH(Data!$C278,F_Inputs!$G$2:$T$2,0))</f>
        <v>0</v>
      </c>
      <c r="G278" s="139">
        <f t="array" ref="G278">INDEX(F_Inputs!$G$4:$T$381,MATCH(Data!$B278&amp;Data!G$6,F_Inputs!$A$4:$A$381&amp;F_Inputs!$B$4:$B$381,0),MATCH(Data!$C278,F_Inputs!$G$2:$T$2,0))</f>
        <v>7.8470000000000004</v>
      </c>
      <c r="I278" s="139">
        <f t="array" ref="I278">INDEX(F_Inputs!$G$4:$T$381,MATCH(Data!$B278&amp;Data!I$6,F_Inputs!$A$4:$A$381&amp;F_Inputs!$B$4:$B$381,0),MATCH(Data!$C278,F_Inputs!$G$2:$T$2,0))</f>
        <v>0</v>
      </c>
      <c r="J278" s="139">
        <f t="array" ref="J278">INDEX(F_Inputs!$G$4:$T$381,MATCH(Data!$B278&amp;Data!J$6,F_Inputs!$A$4:$A$381&amp;F_Inputs!$B$4:$B$381,0),MATCH(Data!$C278,F_Inputs!$G$2:$T$2,0))</f>
        <v>0</v>
      </c>
      <c r="K278" s="139">
        <f t="array" ref="K278">INDEX(F_Inputs!$G$4:$T$381,MATCH(Data!$B278&amp;Data!K$6,F_Inputs!$A$4:$A$381&amp;F_Inputs!$B$4:$B$381,0),MATCH(Data!$C278,F_Inputs!$G$2:$T$2,0))</f>
        <v>0</v>
      </c>
      <c r="L278" s="139">
        <f t="array" ref="L278">INDEX(F_Inputs!$G$4:$T$381,MATCH(Data!$B278&amp;Data!L$6,F_Inputs!$A$4:$A$381&amp;F_Inputs!$B$4:$B$381,0),MATCH(Data!$C278,F_Inputs!$G$2:$T$2,0))</f>
        <v>0.92113</v>
      </c>
      <c r="N278" s="139">
        <f t="array" ref="N278">INDEX(F_Inputs!$G$4:$T$381,MATCH(Data!$B278&amp;Data!N$6,F_Inputs!$A$4:$A$381&amp;F_Inputs!$B$4:$B$381,0),MATCH(Data!$C278,F_Inputs!$G$2:$T$2,0))</f>
        <v>575.06571742576398</v>
      </c>
      <c r="O278" s="144"/>
      <c r="P278" s="139">
        <f t="array" ref="P278">INDEX(F_Inputs!$G$4:$T$381,MATCH(Data!$B278&amp;Data!P$6,F_Inputs!$A$4:$A$381&amp;F_Inputs!$B$4:$B$381,0),MATCH(Data!$C278,F_Inputs!$G$2:$T$2,0))</f>
        <v>0</v>
      </c>
      <c r="Q278" s="139">
        <f t="array" ref="Q278">INDEX(F_Inputs!$G$4:$T$381,MATCH(Data!$B278&amp;Data!Q$6,F_Inputs!$A$4:$A$381&amp;F_Inputs!$B$4:$B$381,0),MATCH(Data!$C278,F_Inputs!$G$2:$T$2,0))</f>
        <v>0</v>
      </c>
      <c r="R278" s="139">
        <f t="array" ref="R278">INDEX(F_Inputs!$G$4:$T$381,MATCH(Data!$B278&amp;Data!R$6,F_Inputs!$A$4:$A$381&amp;F_Inputs!$B$4:$B$381,0),MATCH(Data!$C278,F_Inputs!$G$2:$T$2,0))</f>
        <v>2.06</v>
      </c>
      <c r="S278" s="139">
        <f t="array" ref="S278">INDEX(F_Inputs!$G$4:$T$381,MATCH(Data!$B278&amp;Data!S$6,F_Inputs!$A$4:$A$381&amp;F_Inputs!$B$4:$B$381,0),MATCH(Data!$C278,F_Inputs!$G$2:$T$2,0))</f>
        <v>2.06</v>
      </c>
      <c r="U278" s="139">
        <f t="array" ref="U278">INDEX(F_Inputs!$G$4:$T$381,MATCH(Data!$B278&amp;Data!U$6,F_Inputs!$A$4:$A$381&amp;F_Inputs!$B$4:$B$381,0),MATCH(Data!$C278,F_Inputs!$G$2:$T$2,0))</f>
        <v>421.58735630655002</v>
      </c>
      <c r="V278" s="139">
        <f t="array" ref="V278">INDEX(F_Inputs!$G$4:$T$381,MATCH(Data!$B278&amp;Data!V$6,F_Inputs!$A$4:$A$381&amp;F_Inputs!$B$4:$B$381,0),MATCH(Data!$C278,F_Inputs!$G$2:$T$2,0))</f>
        <v>46897.088021003001</v>
      </c>
      <c r="W278" s="139">
        <f t="array" ref="W278">INDEX(F_Inputs!$G$4:$T$381,MATCH(Data!$B278&amp;Data!W$6,F_Inputs!$A$4:$A$381&amp;F_Inputs!$B$4:$B$381,0),MATCH(Data!$C278,F_Inputs!$G$2:$T$2,0))</f>
        <v>3675.80777126678</v>
      </c>
    </row>
    <row r="279" spans="1:23" x14ac:dyDescent="0.2">
      <c r="A279" s="141" t="str">
        <f>B279&amp;RIGHT(C279,2)</f>
        <v>SVE22</v>
      </c>
      <c r="B279" s="142" t="str">
        <f t="shared" si="17"/>
        <v>SVE</v>
      </c>
      <c r="C279" s="142" t="s">
        <v>74</v>
      </c>
      <c r="D279" s="139">
        <f t="array" ref="D279">INDEX(F_Inputs!$G$4:$T$381,MATCH(Data!$B279&amp;Data!D$6,F_Inputs!$A$4:$A$381&amp;F_Inputs!$B$4:$B$381,0),MATCH(Data!$C279,F_Inputs!$G$2:$T$2,0))</f>
        <v>0</v>
      </c>
      <c r="E279" s="139">
        <f t="array" ref="E279">INDEX(F_Inputs!$G$4:$T$381,MATCH(Data!$B279&amp;Data!E$6,F_Inputs!$A$4:$A$381&amp;F_Inputs!$B$4:$B$381,0),MATCH(Data!$C279,F_Inputs!$G$2:$T$2,0))</f>
        <v>17.172999999999998</v>
      </c>
      <c r="F279" s="139">
        <f t="array" ref="F279">INDEX(F_Inputs!$G$4:$T$381,MATCH(Data!$B279&amp;Data!F$6,F_Inputs!$A$4:$A$381&amp;F_Inputs!$B$4:$B$381,0),MATCH(Data!$C279,F_Inputs!$G$2:$T$2,0))</f>
        <v>0</v>
      </c>
      <c r="G279" s="139">
        <f t="array" ref="G279">INDEX(F_Inputs!$G$4:$T$381,MATCH(Data!$B279&amp;Data!G$6,F_Inputs!$A$4:$A$381&amp;F_Inputs!$B$4:$B$381,0),MATCH(Data!$C279,F_Inputs!$G$2:$T$2,0))</f>
        <v>7.8470000000000004</v>
      </c>
      <c r="I279" s="139">
        <f t="array" ref="I279">INDEX(F_Inputs!$G$4:$T$381,MATCH(Data!$B279&amp;Data!I$6,F_Inputs!$A$4:$A$381&amp;F_Inputs!$B$4:$B$381,0),MATCH(Data!$C279,F_Inputs!$G$2:$T$2,0))</f>
        <v>0</v>
      </c>
      <c r="J279" s="139">
        <f t="array" ref="J279">INDEX(F_Inputs!$G$4:$T$381,MATCH(Data!$B279&amp;Data!J$6,F_Inputs!$A$4:$A$381&amp;F_Inputs!$B$4:$B$381,0),MATCH(Data!$C279,F_Inputs!$G$2:$T$2,0))</f>
        <v>0</v>
      </c>
      <c r="K279" s="139">
        <f t="array" ref="K279">INDEX(F_Inputs!$G$4:$T$381,MATCH(Data!$B279&amp;Data!K$6,F_Inputs!$A$4:$A$381&amp;F_Inputs!$B$4:$B$381,0),MATCH(Data!$C279,F_Inputs!$G$2:$T$2,0))</f>
        <v>0</v>
      </c>
      <c r="L279" s="139">
        <f t="array" ref="L279">INDEX(F_Inputs!$G$4:$T$381,MATCH(Data!$B279&amp;Data!L$6,F_Inputs!$A$4:$A$381&amp;F_Inputs!$B$4:$B$381,0),MATCH(Data!$C279,F_Inputs!$G$2:$T$2,0))</f>
        <v>0.92113</v>
      </c>
      <c r="N279" s="139">
        <f t="array" ref="N279">INDEX(F_Inputs!$G$4:$T$381,MATCH(Data!$B279&amp;Data!N$6,F_Inputs!$A$4:$A$381&amp;F_Inputs!$B$4:$B$381,0),MATCH(Data!$C279,F_Inputs!$G$2:$T$2,0))</f>
        <v>631.12859132579104</v>
      </c>
      <c r="O279" s="144"/>
      <c r="P279" s="139">
        <f t="array" ref="P279">INDEX(F_Inputs!$G$4:$T$381,MATCH(Data!$B279&amp;Data!P$6,F_Inputs!$A$4:$A$381&amp;F_Inputs!$B$4:$B$381,0),MATCH(Data!$C279,F_Inputs!$G$2:$T$2,0))</f>
        <v>0</v>
      </c>
      <c r="Q279" s="139">
        <f t="array" ref="Q279">INDEX(F_Inputs!$G$4:$T$381,MATCH(Data!$B279&amp;Data!Q$6,F_Inputs!$A$4:$A$381&amp;F_Inputs!$B$4:$B$381,0),MATCH(Data!$C279,F_Inputs!$G$2:$T$2,0))</f>
        <v>0</v>
      </c>
      <c r="R279" s="139">
        <f t="array" ref="R279">INDEX(F_Inputs!$G$4:$T$381,MATCH(Data!$B279&amp;Data!R$6,F_Inputs!$A$4:$A$381&amp;F_Inputs!$B$4:$B$381,0),MATCH(Data!$C279,F_Inputs!$G$2:$T$2,0))</f>
        <v>19.57</v>
      </c>
      <c r="S279" s="139">
        <f t="array" ref="S279">INDEX(F_Inputs!$G$4:$T$381,MATCH(Data!$B279&amp;Data!S$6,F_Inputs!$A$4:$A$381&amp;F_Inputs!$B$4:$B$381,0),MATCH(Data!$C279,F_Inputs!$G$2:$T$2,0))</f>
        <v>19.57</v>
      </c>
      <c r="U279" s="139">
        <f t="array" ref="U279">INDEX(F_Inputs!$G$4:$T$381,MATCH(Data!$B279&amp;Data!U$6,F_Inputs!$A$4:$A$381&amp;F_Inputs!$B$4:$B$381,0),MATCH(Data!$C279,F_Inputs!$G$2:$T$2,0))</f>
        <v>406.56735630654998</v>
      </c>
      <c r="V279" s="139">
        <f t="array" ref="V279">INDEX(F_Inputs!$G$4:$T$381,MATCH(Data!$B279&amp;Data!V$6,F_Inputs!$A$4:$A$381&amp;F_Inputs!$B$4:$B$381,0),MATCH(Data!$C279,F_Inputs!$G$2:$T$2,0))</f>
        <v>47016.168021003003</v>
      </c>
      <c r="W279" s="139">
        <f t="array" ref="W279">INDEX(F_Inputs!$G$4:$T$381,MATCH(Data!$B279&amp;Data!W$6,F_Inputs!$A$4:$A$381&amp;F_Inputs!$B$4:$B$381,0),MATCH(Data!$C279,F_Inputs!$G$2:$T$2,0))</f>
        <v>3697.55658425194</v>
      </c>
    </row>
    <row r="280" spans="1:23" x14ac:dyDescent="0.2">
      <c r="A280" s="141" t="str">
        <f>B280&amp;RIGHT(C280,2)</f>
        <v>SVE23</v>
      </c>
      <c r="B280" s="142" t="str">
        <f t="shared" si="17"/>
        <v>SVE</v>
      </c>
      <c r="C280" s="142" t="s">
        <v>75</v>
      </c>
      <c r="D280" s="139">
        <f t="array" ref="D280">INDEX(F_Inputs!$G$4:$T$381,MATCH(Data!$B280&amp;Data!D$6,F_Inputs!$A$4:$A$381&amp;F_Inputs!$B$4:$B$381,0),MATCH(Data!$C280,F_Inputs!$G$2:$T$2,0))</f>
        <v>0</v>
      </c>
      <c r="E280" s="139">
        <f t="array" ref="E280">INDEX(F_Inputs!$G$4:$T$381,MATCH(Data!$B280&amp;Data!E$6,F_Inputs!$A$4:$A$381&amp;F_Inputs!$B$4:$B$381,0),MATCH(Data!$C280,F_Inputs!$G$2:$T$2,0))</f>
        <v>22.867000000000001</v>
      </c>
      <c r="F280" s="139">
        <f t="array" ref="F280">INDEX(F_Inputs!$G$4:$T$381,MATCH(Data!$B280&amp;Data!F$6,F_Inputs!$A$4:$A$381&amp;F_Inputs!$B$4:$B$381,0),MATCH(Data!$C280,F_Inputs!$G$2:$T$2,0))</f>
        <v>0</v>
      </c>
      <c r="G280" s="139">
        <f t="array" ref="G280">INDEX(F_Inputs!$G$4:$T$381,MATCH(Data!$B280&amp;Data!G$6,F_Inputs!$A$4:$A$381&amp;F_Inputs!$B$4:$B$381,0),MATCH(Data!$C280,F_Inputs!$G$2:$T$2,0))</f>
        <v>4.9489999999999998</v>
      </c>
      <c r="I280" s="139">
        <f t="array" ref="I280">INDEX(F_Inputs!$G$4:$T$381,MATCH(Data!$B280&amp;Data!I$6,F_Inputs!$A$4:$A$381&amp;F_Inputs!$B$4:$B$381,0),MATCH(Data!$C280,F_Inputs!$G$2:$T$2,0))</f>
        <v>0</v>
      </c>
      <c r="J280" s="139">
        <f t="array" ref="J280">INDEX(F_Inputs!$G$4:$T$381,MATCH(Data!$B280&amp;Data!J$6,F_Inputs!$A$4:$A$381&amp;F_Inputs!$B$4:$B$381,0),MATCH(Data!$C280,F_Inputs!$G$2:$T$2,0))</f>
        <v>0</v>
      </c>
      <c r="K280" s="139">
        <f t="array" ref="K280">INDEX(F_Inputs!$G$4:$T$381,MATCH(Data!$B280&amp;Data!K$6,F_Inputs!$A$4:$A$381&amp;F_Inputs!$B$4:$B$381,0),MATCH(Data!$C280,F_Inputs!$G$2:$T$2,0))</f>
        <v>0</v>
      </c>
      <c r="L280" s="139">
        <f t="array" ref="L280">INDEX(F_Inputs!$G$4:$T$381,MATCH(Data!$B280&amp;Data!L$6,F_Inputs!$A$4:$A$381&amp;F_Inputs!$B$4:$B$381,0),MATCH(Data!$C280,F_Inputs!$G$2:$T$2,0))</f>
        <v>0.92113</v>
      </c>
      <c r="N280" s="139">
        <f t="array" ref="N280">INDEX(F_Inputs!$G$4:$T$381,MATCH(Data!$B280&amp;Data!N$6,F_Inputs!$A$4:$A$381&amp;F_Inputs!$B$4:$B$381,0),MATCH(Data!$C280,F_Inputs!$G$2:$T$2,0))</f>
        <v>643.43469392974998</v>
      </c>
      <c r="O280" s="144"/>
      <c r="P280" s="139">
        <f t="array" ref="P280">INDEX(F_Inputs!$G$4:$T$381,MATCH(Data!$B280&amp;Data!P$6,F_Inputs!$A$4:$A$381&amp;F_Inputs!$B$4:$B$381,0),MATCH(Data!$C280,F_Inputs!$G$2:$T$2,0))</f>
        <v>0</v>
      </c>
      <c r="Q280" s="139">
        <f t="array" ref="Q280">INDEX(F_Inputs!$G$4:$T$381,MATCH(Data!$B280&amp;Data!Q$6,F_Inputs!$A$4:$A$381&amp;F_Inputs!$B$4:$B$381,0),MATCH(Data!$C280,F_Inputs!$G$2:$T$2,0))</f>
        <v>0</v>
      </c>
      <c r="R280" s="139">
        <f t="array" ref="R280">INDEX(F_Inputs!$G$4:$T$381,MATCH(Data!$B280&amp;Data!R$6,F_Inputs!$A$4:$A$381&amp;F_Inputs!$B$4:$B$381,0),MATCH(Data!$C280,F_Inputs!$G$2:$T$2,0))</f>
        <v>29.0004332033247</v>
      </c>
      <c r="S280" s="139">
        <f t="array" ref="S280">INDEX(F_Inputs!$G$4:$T$381,MATCH(Data!$B280&amp;Data!S$6,F_Inputs!$A$4:$A$381&amp;F_Inputs!$B$4:$B$381,0),MATCH(Data!$C280,F_Inputs!$G$2:$T$2,0))</f>
        <v>29.0004332033247</v>
      </c>
      <c r="U280" s="139">
        <f t="array" ref="U280">INDEX(F_Inputs!$G$4:$T$381,MATCH(Data!$B280&amp;Data!U$6,F_Inputs!$A$4:$A$381&amp;F_Inputs!$B$4:$B$381,0),MATCH(Data!$C280,F_Inputs!$G$2:$T$2,0))</f>
        <v>384.84692310322498</v>
      </c>
      <c r="V280" s="139">
        <f t="array" ref="V280">INDEX(F_Inputs!$G$4:$T$381,MATCH(Data!$B280&amp;Data!V$6,F_Inputs!$A$4:$A$381&amp;F_Inputs!$B$4:$B$381,0),MATCH(Data!$C280,F_Inputs!$G$2:$T$2,0))</f>
        <v>47135.248021002997</v>
      </c>
      <c r="W280" s="139">
        <f t="array" ref="W280">INDEX(F_Inputs!$G$4:$T$381,MATCH(Data!$B280&amp;Data!W$6,F_Inputs!$A$4:$A$381&amp;F_Inputs!$B$4:$B$381,0),MATCH(Data!$C280,F_Inputs!$G$2:$T$2,0))</f>
        <v>3720.7210692249701</v>
      </c>
    </row>
    <row r="281" spans="1:23" x14ac:dyDescent="0.2">
      <c r="A281" s="141" t="str">
        <f>B281&amp;RIGHT(C281,2)</f>
        <v>SVE24</v>
      </c>
      <c r="B281" s="142" t="str">
        <f t="shared" si="17"/>
        <v>SVE</v>
      </c>
      <c r="C281" s="142" t="s">
        <v>76</v>
      </c>
      <c r="D281" s="139">
        <f t="array" ref="D281">INDEX(F_Inputs!$G$4:$T$381,MATCH(Data!$B281&amp;Data!D$6,F_Inputs!$A$4:$A$381&amp;F_Inputs!$B$4:$B$381,0),MATCH(Data!$C281,F_Inputs!$G$2:$T$2,0))</f>
        <v>0</v>
      </c>
      <c r="E281" s="139">
        <f t="array" ref="E281">INDEX(F_Inputs!$G$4:$T$381,MATCH(Data!$B281&amp;Data!E$6,F_Inputs!$A$4:$A$381&amp;F_Inputs!$B$4:$B$381,0),MATCH(Data!$C281,F_Inputs!$G$2:$T$2,0))</f>
        <v>29.83</v>
      </c>
      <c r="F281" s="139">
        <f t="array" ref="F281">INDEX(F_Inputs!$G$4:$T$381,MATCH(Data!$B281&amp;Data!F$6,F_Inputs!$A$4:$A$381&amp;F_Inputs!$B$4:$B$381,0),MATCH(Data!$C281,F_Inputs!$G$2:$T$2,0))</f>
        <v>0</v>
      </c>
      <c r="G281" s="139">
        <f t="array" ref="G281">INDEX(F_Inputs!$G$4:$T$381,MATCH(Data!$B281&amp;Data!G$6,F_Inputs!$A$4:$A$381&amp;F_Inputs!$B$4:$B$381,0),MATCH(Data!$C281,F_Inputs!$G$2:$T$2,0))</f>
        <v>4.9489999999999998</v>
      </c>
      <c r="I281" s="139">
        <f t="array" ref="I281">INDEX(F_Inputs!$G$4:$T$381,MATCH(Data!$B281&amp;Data!I$6,F_Inputs!$A$4:$A$381&amp;F_Inputs!$B$4:$B$381,0),MATCH(Data!$C281,F_Inputs!$G$2:$T$2,0))</f>
        <v>0</v>
      </c>
      <c r="J281" s="139">
        <f t="array" ref="J281">INDEX(F_Inputs!$G$4:$T$381,MATCH(Data!$B281&amp;Data!J$6,F_Inputs!$A$4:$A$381&amp;F_Inputs!$B$4:$B$381,0),MATCH(Data!$C281,F_Inputs!$G$2:$T$2,0))</f>
        <v>0</v>
      </c>
      <c r="K281" s="139">
        <f t="array" ref="K281">INDEX(F_Inputs!$G$4:$T$381,MATCH(Data!$B281&amp;Data!K$6,F_Inputs!$A$4:$A$381&amp;F_Inputs!$B$4:$B$381,0),MATCH(Data!$C281,F_Inputs!$G$2:$T$2,0))</f>
        <v>0</v>
      </c>
      <c r="L281" s="139">
        <f t="array" ref="L281">INDEX(F_Inputs!$G$4:$T$381,MATCH(Data!$B281&amp;Data!L$6,F_Inputs!$A$4:$A$381&amp;F_Inputs!$B$4:$B$381,0),MATCH(Data!$C281,F_Inputs!$G$2:$T$2,0))</f>
        <v>0.92113</v>
      </c>
      <c r="N281" s="139">
        <f t="array" ref="N281">INDEX(F_Inputs!$G$4:$T$381,MATCH(Data!$B281&amp;Data!N$6,F_Inputs!$A$4:$A$381&amp;F_Inputs!$B$4:$B$381,0),MATCH(Data!$C281,F_Inputs!$G$2:$T$2,0))</f>
        <v>635.41164547131598</v>
      </c>
      <c r="O281" s="144"/>
      <c r="P281" s="139">
        <f t="array" ref="P281">INDEX(F_Inputs!$G$4:$T$381,MATCH(Data!$B281&amp;Data!P$6,F_Inputs!$A$4:$A$381&amp;F_Inputs!$B$4:$B$381,0),MATCH(Data!$C281,F_Inputs!$G$2:$T$2,0))</f>
        <v>0</v>
      </c>
      <c r="Q281" s="139">
        <f t="array" ref="Q281">INDEX(F_Inputs!$G$4:$T$381,MATCH(Data!$B281&amp;Data!Q$6,F_Inputs!$A$4:$A$381&amp;F_Inputs!$B$4:$B$381,0),MATCH(Data!$C281,F_Inputs!$G$2:$T$2,0))</f>
        <v>0</v>
      </c>
      <c r="R281" s="139">
        <f t="array" ref="R281">INDEX(F_Inputs!$G$4:$T$381,MATCH(Data!$B281&amp;Data!R$6,F_Inputs!$A$4:$A$381&amp;F_Inputs!$B$4:$B$381,0),MATCH(Data!$C281,F_Inputs!$G$2:$T$2,0))</f>
        <v>35.060433203324699</v>
      </c>
      <c r="S281" s="139">
        <f t="array" ref="S281">INDEX(F_Inputs!$G$4:$T$381,MATCH(Data!$B281&amp;Data!S$6,F_Inputs!$A$4:$A$381&amp;F_Inputs!$B$4:$B$381,0),MATCH(Data!$C281,F_Inputs!$G$2:$T$2,0))</f>
        <v>35.060433203324699</v>
      </c>
      <c r="U281" s="139">
        <f t="array" ref="U281">INDEX(F_Inputs!$G$4:$T$381,MATCH(Data!$B281&amp;Data!U$6,F_Inputs!$A$4:$A$381&amp;F_Inputs!$B$4:$B$381,0),MATCH(Data!$C281,F_Inputs!$G$2:$T$2,0))</f>
        <v>359.9764898999</v>
      </c>
      <c r="V281" s="139">
        <f t="array" ref="V281">INDEX(F_Inputs!$G$4:$T$381,MATCH(Data!$B281&amp;Data!V$6,F_Inputs!$A$4:$A$381&amp;F_Inputs!$B$4:$B$381,0),MATCH(Data!$C281,F_Inputs!$G$2:$T$2,0))</f>
        <v>47254.328021002999</v>
      </c>
      <c r="W281" s="139">
        <f t="array" ref="W281">INDEX(F_Inputs!$G$4:$T$381,MATCH(Data!$B281&amp;Data!W$6,F_Inputs!$A$4:$A$381&amp;F_Inputs!$B$4:$B$381,0),MATCH(Data!$C281,F_Inputs!$G$2:$T$2,0))</f>
        <v>3744.30130964006</v>
      </c>
    </row>
    <row r="282" spans="1:23" x14ac:dyDescent="0.2">
      <c r="A282" s="141" t="str">
        <f>B282&amp;RIGHT(C282,2)</f>
        <v>SVE25</v>
      </c>
      <c r="B282" s="142" t="str">
        <f t="shared" si="17"/>
        <v>SVE</v>
      </c>
      <c r="C282" s="142" t="s">
        <v>24</v>
      </c>
      <c r="D282" s="139">
        <f t="array" ref="D282">INDEX(F_Inputs!$G$4:$T$381,MATCH(Data!$B282&amp;Data!D$6,F_Inputs!$A$4:$A$381&amp;F_Inputs!$B$4:$B$381,0),MATCH(Data!$C282,F_Inputs!$G$2:$T$2,0))</f>
        <v>0</v>
      </c>
      <c r="E282" s="139">
        <f t="array" ref="E282">INDEX(F_Inputs!$G$4:$T$381,MATCH(Data!$B282&amp;Data!E$6,F_Inputs!$A$4:$A$381&amp;F_Inputs!$B$4:$B$381,0),MATCH(Data!$C282,F_Inputs!$G$2:$T$2,0))</f>
        <v>35.206000000000003</v>
      </c>
      <c r="F282" s="139">
        <f t="array" ref="F282">INDEX(F_Inputs!$G$4:$T$381,MATCH(Data!$B282&amp;Data!F$6,F_Inputs!$A$4:$A$381&amp;F_Inputs!$B$4:$B$381,0),MATCH(Data!$C282,F_Inputs!$G$2:$T$2,0))</f>
        <v>0</v>
      </c>
      <c r="G282" s="139">
        <f t="array" ref="G282">INDEX(F_Inputs!$G$4:$T$381,MATCH(Data!$B282&amp;Data!G$6,F_Inputs!$A$4:$A$381&amp;F_Inputs!$B$4:$B$381,0),MATCH(Data!$C282,F_Inputs!$G$2:$T$2,0))</f>
        <v>6.3979999999999997</v>
      </c>
      <c r="I282" s="139">
        <f t="array" ref="I282">INDEX(F_Inputs!$G$4:$T$381,MATCH(Data!$B282&amp;Data!I$6,F_Inputs!$A$4:$A$381&amp;F_Inputs!$B$4:$B$381,0),MATCH(Data!$C282,F_Inputs!$G$2:$T$2,0))</f>
        <v>0</v>
      </c>
      <c r="J282" s="139">
        <f t="array" ref="J282">INDEX(F_Inputs!$G$4:$T$381,MATCH(Data!$B282&amp;Data!J$6,F_Inputs!$A$4:$A$381&amp;F_Inputs!$B$4:$B$381,0),MATCH(Data!$C282,F_Inputs!$G$2:$T$2,0))</f>
        <v>0</v>
      </c>
      <c r="K282" s="139">
        <f t="array" ref="K282">INDEX(F_Inputs!$G$4:$T$381,MATCH(Data!$B282&amp;Data!K$6,F_Inputs!$A$4:$A$381&amp;F_Inputs!$B$4:$B$381,0),MATCH(Data!$C282,F_Inputs!$G$2:$T$2,0))</f>
        <v>0</v>
      </c>
      <c r="L282" s="139">
        <f t="array" ref="L282">INDEX(F_Inputs!$G$4:$T$381,MATCH(Data!$B282&amp;Data!L$6,F_Inputs!$A$4:$A$381&amp;F_Inputs!$B$4:$B$381,0),MATCH(Data!$C282,F_Inputs!$G$2:$T$2,0))</f>
        <v>0.92113</v>
      </c>
      <c r="N282" s="139">
        <f t="array" ref="N282">INDEX(F_Inputs!$G$4:$T$381,MATCH(Data!$B282&amp;Data!N$6,F_Inputs!$A$4:$A$381&amp;F_Inputs!$B$4:$B$381,0),MATCH(Data!$C282,F_Inputs!$G$2:$T$2,0))</f>
        <v>630.76354224170598</v>
      </c>
      <c r="O282" s="144"/>
      <c r="P282" s="139">
        <f t="array" ref="P282">INDEX(F_Inputs!$G$4:$T$381,MATCH(Data!$B282&amp;Data!P$6,F_Inputs!$A$4:$A$381&amp;F_Inputs!$B$4:$B$381,0),MATCH(Data!$C282,F_Inputs!$G$2:$T$2,0))</f>
        <v>0</v>
      </c>
      <c r="Q282" s="139">
        <f t="array" ref="Q282">INDEX(F_Inputs!$G$4:$T$381,MATCH(Data!$B282&amp;Data!Q$6,F_Inputs!$A$4:$A$381&amp;F_Inputs!$B$4:$B$381,0),MATCH(Data!$C282,F_Inputs!$G$2:$T$2,0))</f>
        <v>0</v>
      </c>
      <c r="R282" s="139">
        <f t="array" ref="R282">INDEX(F_Inputs!$G$4:$T$381,MATCH(Data!$B282&amp;Data!R$6,F_Inputs!$A$4:$A$381&amp;F_Inputs!$B$4:$B$381,0),MATCH(Data!$C282,F_Inputs!$G$2:$T$2,0))</f>
        <v>17.920435316341901</v>
      </c>
      <c r="S282" s="139">
        <f t="array" ref="S282">INDEX(F_Inputs!$G$4:$T$381,MATCH(Data!$B282&amp;Data!S$6,F_Inputs!$A$4:$A$381&amp;F_Inputs!$B$4:$B$381,0),MATCH(Data!$C282,F_Inputs!$G$2:$T$2,0))</f>
        <v>17.920435316341901</v>
      </c>
      <c r="U282" s="139">
        <f t="array" ref="U282">INDEX(F_Inputs!$G$4:$T$381,MATCH(Data!$B282&amp;Data!U$6,F_Inputs!$A$4:$A$381&amp;F_Inputs!$B$4:$B$381,0),MATCH(Data!$C282,F_Inputs!$G$2:$T$2,0))</f>
        <v>357.25605458355801</v>
      </c>
      <c r="V282" s="139">
        <f t="array" ref="V282">INDEX(F_Inputs!$G$4:$T$381,MATCH(Data!$B282&amp;Data!V$6,F_Inputs!$A$4:$A$381&amp;F_Inputs!$B$4:$B$381,0),MATCH(Data!$C282,F_Inputs!$G$2:$T$2,0))</f>
        <v>47373.408021003001</v>
      </c>
      <c r="W282" s="139">
        <f t="array" ref="W282">INDEX(F_Inputs!$G$4:$T$381,MATCH(Data!$B282&amp;Data!W$6,F_Inputs!$A$4:$A$381&amp;F_Inputs!$B$4:$B$381,0),MATCH(Data!$C282,F_Inputs!$G$2:$T$2,0))</f>
        <v>3768.2953310395701</v>
      </c>
    </row>
    <row r="283" spans="1:23" x14ac:dyDescent="0.2">
      <c r="A283" s="19" t="str">
        <f t="shared" ref="A283:A292" si="18">B283&amp;RIGHT(C283,2)</f>
        <v>HDD12</v>
      </c>
      <c r="B283" s="19" t="s">
        <v>106</v>
      </c>
      <c r="C283" s="19" t="s">
        <v>64</v>
      </c>
      <c r="D283" s="139">
        <f t="array" ref="D283">INDEX(F_Inputs!$G$4:$T$381,MATCH(Data!$B283&amp;Data!D$6,F_Inputs!$A$4:$A$381&amp;F_Inputs!$B$4:$B$381,0),MATCH(Data!$C283,F_Inputs!$G$2:$T$2,0))</f>
        <v>0</v>
      </c>
      <c r="E283" s="139">
        <f t="array" ref="E283">INDEX(F_Inputs!$G$4:$T$381,MATCH(Data!$B283&amp;Data!E$6,F_Inputs!$A$4:$A$381&amp;F_Inputs!$B$4:$B$381,0),MATCH(Data!$C283,F_Inputs!$G$2:$T$2,0))</f>
        <v>0</v>
      </c>
      <c r="F283" s="139">
        <f t="array" ref="F283">INDEX(F_Inputs!$G$4:$T$381,MATCH(Data!$B283&amp;Data!F$6,F_Inputs!$A$4:$A$381&amp;F_Inputs!$B$4:$B$381,0),MATCH(Data!$C283,F_Inputs!$G$2:$T$2,0))</f>
        <v>0</v>
      </c>
      <c r="G283" s="139">
        <f t="array" ref="G283">INDEX(F_Inputs!$G$4:$T$381,MATCH(Data!$B283&amp;Data!G$6,F_Inputs!$A$4:$A$381&amp;F_Inputs!$B$4:$B$381,0),MATCH(Data!$C283,F_Inputs!$G$2:$T$2,0))</f>
        <v>0</v>
      </c>
      <c r="I283" s="139">
        <f t="array" ref="I283">INDEX(F_Inputs!$G$4:$T$381,MATCH(Data!$B283&amp;Data!I$6,F_Inputs!$A$4:$A$381&amp;F_Inputs!$B$4:$B$381,0),MATCH(Data!$C283,F_Inputs!$G$2:$T$2,0))</f>
        <v>0</v>
      </c>
      <c r="J283" s="139">
        <f t="array" ref="J283">INDEX(F_Inputs!$G$4:$T$381,MATCH(Data!$B283&amp;Data!J$6,F_Inputs!$A$4:$A$381&amp;F_Inputs!$B$4:$B$381,0),MATCH(Data!$C283,F_Inputs!$G$2:$T$2,0))</f>
        <v>0</v>
      </c>
      <c r="K283" s="139">
        <f t="array" ref="K283">INDEX(F_Inputs!$G$4:$T$381,MATCH(Data!$B283&amp;Data!K$6,F_Inputs!$A$4:$A$381&amp;F_Inputs!$B$4:$B$381,0),MATCH(Data!$C283,F_Inputs!$G$2:$T$2,0))</f>
        <v>0</v>
      </c>
      <c r="L283" s="139">
        <f t="array" ref="L283">INDEX(F_Inputs!$G$4:$T$381,MATCH(Data!$B283&amp;Data!L$6,F_Inputs!$A$4:$A$381&amp;F_Inputs!$B$4:$B$381,0),MATCH(Data!$C283,F_Inputs!$G$2:$T$2,0))</f>
        <v>0</v>
      </c>
      <c r="N283" s="139">
        <f t="array" ref="N283">INDEX(F_Inputs!$G$4:$T$381,MATCH(Data!$B283&amp;Data!N$6,F_Inputs!$A$4:$A$381&amp;F_Inputs!$B$4:$B$381,0),MATCH(Data!$C283,F_Inputs!$G$2:$T$2,0))</f>
        <v>0</v>
      </c>
      <c r="O283" s="144"/>
      <c r="P283" s="139">
        <f t="array" ref="P283">INDEX(F_Inputs!$G$4:$T$381,MATCH(Data!$B283&amp;Data!P$6,F_Inputs!$A$4:$A$381&amp;F_Inputs!$B$4:$B$381,0),MATCH(Data!$C283,F_Inputs!$G$2:$T$2,0))</f>
        <v>0</v>
      </c>
      <c r="Q283" s="139">
        <f t="array" ref="Q283">INDEX(F_Inputs!$G$4:$T$381,MATCH(Data!$B283&amp;Data!Q$6,F_Inputs!$A$4:$A$381&amp;F_Inputs!$B$4:$B$381,0),MATCH(Data!$C283,F_Inputs!$G$2:$T$2,0))</f>
        <v>0</v>
      </c>
      <c r="R283" s="139">
        <f t="array" ref="R283">INDEX(F_Inputs!$G$4:$T$381,MATCH(Data!$B283&amp;Data!R$6,F_Inputs!$A$4:$A$381&amp;F_Inputs!$B$4:$B$381,0),MATCH(Data!$C283,F_Inputs!$G$2:$T$2,0))</f>
        <v>0</v>
      </c>
      <c r="S283" s="139">
        <f t="array" ref="S283">INDEX(F_Inputs!$G$4:$T$381,MATCH(Data!$B283&amp;Data!S$6,F_Inputs!$A$4:$A$381&amp;F_Inputs!$B$4:$B$381,0),MATCH(Data!$C283,F_Inputs!$G$2:$T$2,0))</f>
        <v>0</v>
      </c>
      <c r="U283" s="139">
        <f t="array" ref="U283">INDEX(F_Inputs!$G$4:$T$381,MATCH(Data!$B283&amp;Data!U$6,F_Inputs!$A$4:$A$381&amp;F_Inputs!$B$4:$B$381,0),MATCH(Data!$C283,F_Inputs!$G$2:$T$2,0))</f>
        <v>0</v>
      </c>
      <c r="V283" s="139">
        <f t="array" ref="V283">INDEX(F_Inputs!$G$4:$T$381,MATCH(Data!$B283&amp;Data!V$6,F_Inputs!$A$4:$A$381&amp;F_Inputs!$B$4:$B$381,0),MATCH(Data!$C283,F_Inputs!$G$2:$T$2,0))</f>
        <v>0</v>
      </c>
      <c r="W283" s="139">
        <f t="array" ref="W283">INDEX(F_Inputs!$G$4:$T$381,MATCH(Data!$B283&amp;Data!W$6,F_Inputs!$A$4:$A$381&amp;F_Inputs!$B$4:$B$381,0),MATCH(Data!$C283,F_Inputs!$G$2:$T$2,0))</f>
        <v>0</v>
      </c>
    </row>
    <row r="284" spans="1:23" x14ac:dyDescent="0.2">
      <c r="A284" s="19" t="str">
        <f t="shared" si="18"/>
        <v>HDD13</v>
      </c>
      <c r="B284" s="19" t="s">
        <v>106</v>
      </c>
      <c r="C284" s="19" t="s">
        <v>65</v>
      </c>
      <c r="D284" s="139">
        <f t="array" ref="D284">INDEX(F_Inputs!$G$4:$T$381,MATCH(Data!$B284&amp;Data!D$6,F_Inputs!$A$4:$A$381&amp;F_Inputs!$B$4:$B$381,0),MATCH(Data!$C284,F_Inputs!$G$2:$T$2,0))</f>
        <v>0</v>
      </c>
      <c r="E284" s="139">
        <f t="array" ref="E284">INDEX(F_Inputs!$G$4:$T$381,MATCH(Data!$B284&amp;Data!E$6,F_Inputs!$A$4:$A$381&amp;F_Inputs!$B$4:$B$381,0),MATCH(Data!$C284,F_Inputs!$G$2:$T$2,0))</f>
        <v>0</v>
      </c>
      <c r="F284" s="139">
        <f t="array" ref="F284">INDEX(F_Inputs!$G$4:$T$381,MATCH(Data!$B284&amp;Data!F$6,F_Inputs!$A$4:$A$381&amp;F_Inputs!$B$4:$B$381,0),MATCH(Data!$C284,F_Inputs!$G$2:$T$2,0))</f>
        <v>0</v>
      </c>
      <c r="G284" s="139">
        <f t="array" ref="G284">INDEX(F_Inputs!$G$4:$T$381,MATCH(Data!$B284&amp;Data!G$6,F_Inputs!$A$4:$A$381&amp;F_Inputs!$B$4:$B$381,0),MATCH(Data!$C284,F_Inputs!$G$2:$T$2,0))</f>
        <v>0</v>
      </c>
      <c r="I284" s="139">
        <f t="array" ref="I284">INDEX(F_Inputs!$G$4:$T$381,MATCH(Data!$B284&amp;Data!I$6,F_Inputs!$A$4:$A$381&amp;F_Inputs!$B$4:$B$381,0),MATCH(Data!$C284,F_Inputs!$G$2:$T$2,0))</f>
        <v>0</v>
      </c>
      <c r="J284" s="139">
        <f t="array" ref="J284">INDEX(F_Inputs!$G$4:$T$381,MATCH(Data!$B284&amp;Data!J$6,F_Inputs!$A$4:$A$381&amp;F_Inputs!$B$4:$B$381,0),MATCH(Data!$C284,F_Inputs!$G$2:$T$2,0))</f>
        <v>0</v>
      </c>
      <c r="K284" s="139">
        <f t="array" ref="K284">INDEX(F_Inputs!$G$4:$T$381,MATCH(Data!$B284&amp;Data!K$6,F_Inputs!$A$4:$A$381&amp;F_Inputs!$B$4:$B$381,0),MATCH(Data!$C284,F_Inputs!$G$2:$T$2,0))</f>
        <v>0</v>
      </c>
      <c r="L284" s="139">
        <f t="array" ref="L284">INDEX(F_Inputs!$G$4:$T$381,MATCH(Data!$B284&amp;Data!L$6,F_Inputs!$A$4:$A$381&amp;F_Inputs!$B$4:$B$381,0),MATCH(Data!$C284,F_Inputs!$G$2:$T$2,0))</f>
        <v>0</v>
      </c>
      <c r="N284" s="139">
        <f t="array" ref="N284">INDEX(F_Inputs!$G$4:$T$381,MATCH(Data!$B284&amp;Data!N$6,F_Inputs!$A$4:$A$381&amp;F_Inputs!$B$4:$B$381,0),MATCH(Data!$C284,F_Inputs!$G$2:$T$2,0))</f>
        <v>0</v>
      </c>
      <c r="O284" s="144"/>
      <c r="P284" s="139">
        <f t="array" ref="P284">INDEX(F_Inputs!$G$4:$T$381,MATCH(Data!$B284&amp;Data!P$6,F_Inputs!$A$4:$A$381&amp;F_Inputs!$B$4:$B$381,0),MATCH(Data!$C284,F_Inputs!$G$2:$T$2,0))</f>
        <v>0</v>
      </c>
      <c r="Q284" s="139">
        <f t="array" ref="Q284">INDEX(F_Inputs!$G$4:$T$381,MATCH(Data!$B284&amp;Data!Q$6,F_Inputs!$A$4:$A$381&amp;F_Inputs!$B$4:$B$381,0),MATCH(Data!$C284,F_Inputs!$G$2:$T$2,0))</f>
        <v>0</v>
      </c>
      <c r="R284" s="139">
        <f t="array" ref="R284">INDEX(F_Inputs!$G$4:$T$381,MATCH(Data!$B284&amp;Data!R$6,F_Inputs!$A$4:$A$381&amp;F_Inputs!$B$4:$B$381,0),MATCH(Data!$C284,F_Inputs!$G$2:$T$2,0))</f>
        <v>0</v>
      </c>
      <c r="S284" s="139">
        <f t="array" ref="S284">INDEX(F_Inputs!$G$4:$T$381,MATCH(Data!$B284&amp;Data!S$6,F_Inputs!$A$4:$A$381&amp;F_Inputs!$B$4:$B$381,0),MATCH(Data!$C284,F_Inputs!$G$2:$T$2,0))</f>
        <v>0</v>
      </c>
      <c r="U284" s="139">
        <f t="array" ref="U284">INDEX(F_Inputs!$G$4:$T$381,MATCH(Data!$B284&amp;Data!U$6,F_Inputs!$A$4:$A$381&amp;F_Inputs!$B$4:$B$381,0),MATCH(Data!$C284,F_Inputs!$G$2:$T$2,0))</f>
        <v>0</v>
      </c>
      <c r="V284" s="139">
        <f t="array" ref="V284">INDEX(F_Inputs!$G$4:$T$381,MATCH(Data!$B284&amp;Data!V$6,F_Inputs!$A$4:$A$381&amp;F_Inputs!$B$4:$B$381,0),MATCH(Data!$C284,F_Inputs!$G$2:$T$2,0))</f>
        <v>0</v>
      </c>
      <c r="W284" s="139">
        <f t="array" ref="W284">INDEX(F_Inputs!$G$4:$T$381,MATCH(Data!$B284&amp;Data!W$6,F_Inputs!$A$4:$A$381&amp;F_Inputs!$B$4:$B$381,0),MATCH(Data!$C284,F_Inputs!$G$2:$T$2,0))</f>
        <v>0</v>
      </c>
    </row>
    <row r="285" spans="1:23" x14ac:dyDescent="0.2">
      <c r="A285" s="19" t="str">
        <f t="shared" si="18"/>
        <v>HDD14</v>
      </c>
      <c r="B285" s="19" t="s">
        <v>106</v>
      </c>
      <c r="C285" s="19" t="s">
        <v>66</v>
      </c>
      <c r="D285" s="139">
        <f t="array" ref="D285">INDEX(F_Inputs!$G$4:$T$381,MATCH(Data!$B285&amp;Data!D$6,F_Inputs!$A$4:$A$381&amp;F_Inputs!$B$4:$B$381,0),MATCH(Data!$C285,F_Inputs!$G$2:$T$2,0))</f>
        <v>0</v>
      </c>
      <c r="E285" s="139">
        <f t="array" ref="E285">INDEX(F_Inputs!$G$4:$T$381,MATCH(Data!$B285&amp;Data!E$6,F_Inputs!$A$4:$A$381&amp;F_Inputs!$B$4:$B$381,0),MATCH(Data!$C285,F_Inputs!$G$2:$T$2,0))</f>
        <v>0</v>
      </c>
      <c r="F285" s="139">
        <f t="array" ref="F285">INDEX(F_Inputs!$G$4:$T$381,MATCH(Data!$B285&amp;Data!F$6,F_Inputs!$A$4:$A$381&amp;F_Inputs!$B$4:$B$381,0),MATCH(Data!$C285,F_Inputs!$G$2:$T$2,0))</f>
        <v>0</v>
      </c>
      <c r="G285" s="139">
        <f t="array" ref="G285">INDEX(F_Inputs!$G$4:$T$381,MATCH(Data!$B285&amp;Data!G$6,F_Inputs!$A$4:$A$381&amp;F_Inputs!$B$4:$B$381,0),MATCH(Data!$C285,F_Inputs!$G$2:$T$2,0))</f>
        <v>0</v>
      </c>
      <c r="I285" s="139">
        <f t="array" ref="I285">INDEX(F_Inputs!$G$4:$T$381,MATCH(Data!$B285&amp;Data!I$6,F_Inputs!$A$4:$A$381&amp;F_Inputs!$B$4:$B$381,0),MATCH(Data!$C285,F_Inputs!$G$2:$T$2,0))</f>
        <v>0</v>
      </c>
      <c r="J285" s="139">
        <f t="array" ref="J285">INDEX(F_Inputs!$G$4:$T$381,MATCH(Data!$B285&amp;Data!J$6,F_Inputs!$A$4:$A$381&amp;F_Inputs!$B$4:$B$381,0),MATCH(Data!$C285,F_Inputs!$G$2:$T$2,0))</f>
        <v>0</v>
      </c>
      <c r="K285" s="139">
        <f t="array" ref="K285">INDEX(F_Inputs!$G$4:$T$381,MATCH(Data!$B285&amp;Data!K$6,F_Inputs!$A$4:$A$381&amp;F_Inputs!$B$4:$B$381,0),MATCH(Data!$C285,F_Inputs!$G$2:$T$2,0))</f>
        <v>0</v>
      </c>
      <c r="L285" s="139">
        <f t="array" ref="L285">INDEX(F_Inputs!$G$4:$T$381,MATCH(Data!$B285&amp;Data!L$6,F_Inputs!$A$4:$A$381&amp;F_Inputs!$B$4:$B$381,0),MATCH(Data!$C285,F_Inputs!$G$2:$T$2,0))</f>
        <v>0</v>
      </c>
      <c r="N285" s="139">
        <f t="array" ref="N285">INDEX(F_Inputs!$G$4:$T$381,MATCH(Data!$B285&amp;Data!N$6,F_Inputs!$A$4:$A$381&amp;F_Inputs!$B$4:$B$381,0),MATCH(Data!$C285,F_Inputs!$G$2:$T$2,0))</f>
        <v>0</v>
      </c>
      <c r="O285" s="144"/>
      <c r="P285" s="139">
        <f t="array" ref="P285">INDEX(F_Inputs!$G$4:$T$381,MATCH(Data!$B285&amp;Data!P$6,F_Inputs!$A$4:$A$381&amp;F_Inputs!$B$4:$B$381,0),MATCH(Data!$C285,F_Inputs!$G$2:$T$2,0))</f>
        <v>0</v>
      </c>
      <c r="Q285" s="139">
        <f t="array" ref="Q285">INDEX(F_Inputs!$G$4:$T$381,MATCH(Data!$B285&amp;Data!Q$6,F_Inputs!$A$4:$A$381&amp;F_Inputs!$B$4:$B$381,0),MATCH(Data!$C285,F_Inputs!$G$2:$T$2,0))</f>
        <v>0</v>
      </c>
      <c r="R285" s="139">
        <f t="array" ref="R285">INDEX(F_Inputs!$G$4:$T$381,MATCH(Data!$B285&amp;Data!R$6,F_Inputs!$A$4:$A$381&amp;F_Inputs!$B$4:$B$381,0),MATCH(Data!$C285,F_Inputs!$G$2:$T$2,0))</f>
        <v>0</v>
      </c>
      <c r="S285" s="139">
        <f t="array" ref="S285">INDEX(F_Inputs!$G$4:$T$381,MATCH(Data!$B285&amp;Data!S$6,F_Inputs!$A$4:$A$381&amp;F_Inputs!$B$4:$B$381,0),MATCH(Data!$C285,F_Inputs!$G$2:$T$2,0))</f>
        <v>0</v>
      </c>
      <c r="U285" s="139">
        <f t="array" ref="U285">INDEX(F_Inputs!$G$4:$T$381,MATCH(Data!$B285&amp;Data!U$6,F_Inputs!$A$4:$A$381&amp;F_Inputs!$B$4:$B$381,0),MATCH(Data!$C285,F_Inputs!$G$2:$T$2,0))</f>
        <v>0</v>
      </c>
      <c r="V285" s="139">
        <f t="array" ref="V285">INDEX(F_Inputs!$G$4:$T$381,MATCH(Data!$B285&amp;Data!V$6,F_Inputs!$A$4:$A$381&amp;F_Inputs!$B$4:$B$381,0),MATCH(Data!$C285,F_Inputs!$G$2:$T$2,0))</f>
        <v>0</v>
      </c>
      <c r="W285" s="139">
        <f t="array" ref="W285">INDEX(F_Inputs!$G$4:$T$381,MATCH(Data!$B285&amp;Data!W$6,F_Inputs!$A$4:$A$381&amp;F_Inputs!$B$4:$B$381,0),MATCH(Data!$C285,F_Inputs!$G$2:$T$2,0))</f>
        <v>0</v>
      </c>
    </row>
    <row r="286" spans="1:23" x14ac:dyDescent="0.2">
      <c r="A286" s="19" t="str">
        <f t="shared" si="18"/>
        <v>HDD15</v>
      </c>
      <c r="B286" s="19" t="s">
        <v>106</v>
      </c>
      <c r="C286" s="19" t="s">
        <v>67</v>
      </c>
      <c r="D286" s="139">
        <f t="array" ref="D286">INDEX(F_Inputs!$G$4:$T$381,MATCH(Data!$B286&amp;Data!D$6,F_Inputs!$A$4:$A$381&amp;F_Inputs!$B$4:$B$381,0),MATCH(Data!$C286,F_Inputs!$G$2:$T$2,0))</f>
        <v>0</v>
      </c>
      <c r="E286" s="139">
        <f t="array" ref="E286">INDEX(F_Inputs!$G$4:$T$381,MATCH(Data!$B286&amp;Data!E$6,F_Inputs!$A$4:$A$381&amp;F_Inputs!$B$4:$B$381,0),MATCH(Data!$C286,F_Inputs!$G$2:$T$2,0))</f>
        <v>0</v>
      </c>
      <c r="F286" s="139">
        <f t="array" ref="F286">INDEX(F_Inputs!$G$4:$T$381,MATCH(Data!$B286&amp;Data!F$6,F_Inputs!$A$4:$A$381&amp;F_Inputs!$B$4:$B$381,0),MATCH(Data!$C286,F_Inputs!$G$2:$T$2,0))</f>
        <v>0</v>
      </c>
      <c r="G286" s="139">
        <f t="array" ref="G286">INDEX(F_Inputs!$G$4:$T$381,MATCH(Data!$B286&amp;Data!G$6,F_Inputs!$A$4:$A$381&amp;F_Inputs!$B$4:$B$381,0),MATCH(Data!$C286,F_Inputs!$G$2:$T$2,0))</f>
        <v>0</v>
      </c>
      <c r="I286" s="139">
        <f t="array" ref="I286">INDEX(F_Inputs!$G$4:$T$381,MATCH(Data!$B286&amp;Data!I$6,F_Inputs!$A$4:$A$381&amp;F_Inputs!$B$4:$B$381,0),MATCH(Data!$C286,F_Inputs!$G$2:$T$2,0))</f>
        <v>0</v>
      </c>
      <c r="J286" s="139">
        <f t="array" ref="J286">INDEX(F_Inputs!$G$4:$T$381,MATCH(Data!$B286&amp;Data!J$6,F_Inputs!$A$4:$A$381&amp;F_Inputs!$B$4:$B$381,0),MATCH(Data!$C286,F_Inputs!$G$2:$T$2,0))</f>
        <v>0</v>
      </c>
      <c r="K286" s="139">
        <f t="array" ref="K286">INDEX(F_Inputs!$G$4:$T$381,MATCH(Data!$B286&amp;Data!K$6,F_Inputs!$A$4:$A$381&amp;F_Inputs!$B$4:$B$381,0),MATCH(Data!$C286,F_Inputs!$G$2:$T$2,0))</f>
        <v>0</v>
      </c>
      <c r="L286" s="139">
        <f t="array" ref="L286">INDEX(F_Inputs!$G$4:$T$381,MATCH(Data!$B286&amp;Data!L$6,F_Inputs!$A$4:$A$381&amp;F_Inputs!$B$4:$B$381,0),MATCH(Data!$C286,F_Inputs!$G$2:$T$2,0))</f>
        <v>0</v>
      </c>
      <c r="N286" s="139">
        <f t="array" ref="N286">INDEX(F_Inputs!$G$4:$T$381,MATCH(Data!$B286&amp;Data!N$6,F_Inputs!$A$4:$A$381&amp;F_Inputs!$B$4:$B$381,0),MATCH(Data!$C286,F_Inputs!$G$2:$T$2,0))</f>
        <v>0</v>
      </c>
      <c r="O286" s="144"/>
      <c r="P286" s="139">
        <f t="array" ref="P286">INDEX(F_Inputs!$G$4:$T$381,MATCH(Data!$B286&amp;Data!P$6,F_Inputs!$A$4:$A$381&amp;F_Inputs!$B$4:$B$381,0),MATCH(Data!$C286,F_Inputs!$G$2:$T$2,0))</f>
        <v>0</v>
      </c>
      <c r="Q286" s="139">
        <f t="array" ref="Q286">INDEX(F_Inputs!$G$4:$T$381,MATCH(Data!$B286&amp;Data!Q$6,F_Inputs!$A$4:$A$381&amp;F_Inputs!$B$4:$B$381,0),MATCH(Data!$C286,F_Inputs!$G$2:$T$2,0))</f>
        <v>0</v>
      </c>
      <c r="R286" s="139">
        <f t="array" ref="R286">INDEX(F_Inputs!$G$4:$T$381,MATCH(Data!$B286&amp;Data!R$6,F_Inputs!$A$4:$A$381&amp;F_Inputs!$B$4:$B$381,0),MATCH(Data!$C286,F_Inputs!$G$2:$T$2,0))</f>
        <v>0</v>
      </c>
      <c r="S286" s="139">
        <f t="array" ref="S286">INDEX(F_Inputs!$G$4:$T$381,MATCH(Data!$B286&amp;Data!S$6,F_Inputs!$A$4:$A$381&amp;F_Inputs!$B$4:$B$381,0),MATCH(Data!$C286,F_Inputs!$G$2:$T$2,0))</f>
        <v>0</v>
      </c>
      <c r="U286" s="139">
        <f t="array" ref="U286">INDEX(F_Inputs!$G$4:$T$381,MATCH(Data!$B286&amp;Data!U$6,F_Inputs!$A$4:$A$381&amp;F_Inputs!$B$4:$B$381,0),MATCH(Data!$C286,F_Inputs!$G$2:$T$2,0))</f>
        <v>0</v>
      </c>
      <c r="V286" s="139">
        <f t="array" ref="V286">INDEX(F_Inputs!$G$4:$T$381,MATCH(Data!$B286&amp;Data!V$6,F_Inputs!$A$4:$A$381&amp;F_Inputs!$B$4:$B$381,0),MATCH(Data!$C286,F_Inputs!$G$2:$T$2,0))</f>
        <v>0</v>
      </c>
      <c r="W286" s="139">
        <f t="array" ref="W286">INDEX(F_Inputs!$G$4:$T$381,MATCH(Data!$B286&amp;Data!W$6,F_Inputs!$A$4:$A$381&amp;F_Inputs!$B$4:$B$381,0),MATCH(Data!$C286,F_Inputs!$G$2:$T$2,0))</f>
        <v>0</v>
      </c>
    </row>
    <row r="287" spans="1:23" x14ac:dyDescent="0.2">
      <c r="A287" s="19" t="str">
        <f t="shared" si="18"/>
        <v>HDD16</v>
      </c>
      <c r="B287" s="19" t="s">
        <v>106</v>
      </c>
      <c r="C287" s="19" t="s">
        <v>68</v>
      </c>
      <c r="D287" s="139">
        <f t="array" ref="D287">INDEX(F_Inputs!$G$4:$T$381,MATCH(Data!$B287&amp;Data!D$6,F_Inputs!$A$4:$A$381&amp;F_Inputs!$B$4:$B$381,0),MATCH(Data!$C287,F_Inputs!$G$2:$T$2,0))</f>
        <v>0</v>
      </c>
      <c r="E287" s="139">
        <f t="array" ref="E287">INDEX(F_Inputs!$G$4:$T$381,MATCH(Data!$B287&amp;Data!E$6,F_Inputs!$A$4:$A$381&amp;F_Inputs!$B$4:$B$381,0),MATCH(Data!$C287,F_Inputs!$G$2:$T$2,0))</f>
        <v>0</v>
      </c>
      <c r="F287" s="139">
        <f t="array" ref="F287">INDEX(F_Inputs!$G$4:$T$381,MATCH(Data!$B287&amp;Data!F$6,F_Inputs!$A$4:$A$381&amp;F_Inputs!$B$4:$B$381,0),MATCH(Data!$C287,F_Inputs!$G$2:$T$2,0))</f>
        <v>0</v>
      </c>
      <c r="G287" s="139">
        <f t="array" ref="G287">INDEX(F_Inputs!$G$4:$T$381,MATCH(Data!$B287&amp;Data!G$6,F_Inputs!$A$4:$A$381&amp;F_Inputs!$B$4:$B$381,0),MATCH(Data!$C287,F_Inputs!$G$2:$T$2,0))</f>
        <v>0</v>
      </c>
      <c r="I287" s="139">
        <f t="array" ref="I287">INDEX(F_Inputs!$G$4:$T$381,MATCH(Data!$B287&amp;Data!I$6,F_Inputs!$A$4:$A$381&amp;F_Inputs!$B$4:$B$381,0),MATCH(Data!$C287,F_Inputs!$G$2:$T$2,0))</f>
        <v>0</v>
      </c>
      <c r="J287" s="139">
        <f t="array" ref="J287">INDEX(F_Inputs!$G$4:$T$381,MATCH(Data!$B287&amp;Data!J$6,F_Inputs!$A$4:$A$381&amp;F_Inputs!$B$4:$B$381,0),MATCH(Data!$C287,F_Inputs!$G$2:$T$2,0))</f>
        <v>0</v>
      </c>
      <c r="K287" s="139">
        <f t="array" ref="K287">INDEX(F_Inputs!$G$4:$T$381,MATCH(Data!$B287&amp;Data!K$6,F_Inputs!$A$4:$A$381&amp;F_Inputs!$B$4:$B$381,0),MATCH(Data!$C287,F_Inputs!$G$2:$T$2,0))</f>
        <v>0</v>
      </c>
      <c r="L287" s="139">
        <f t="array" ref="L287">INDEX(F_Inputs!$G$4:$T$381,MATCH(Data!$B287&amp;Data!L$6,F_Inputs!$A$4:$A$381&amp;F_Inputs!$B$4:$B$381,0),MATCH(Data!$C287,F_Inputs!$G$2:$T$2,0))</f>
        <v>0</v>
      </c>
      <c r="N287" s="139">
        <f t="array" ref="N287">INDEX(F_Inputs!$G$4:$T$381,MATCH(Data!$B287&amp;Data!N$6,F_Inputs!$A$4:$A$381&amp;F_Inputs!$B$4:$B$381,0),MATCH(Data!$C287,F_Inputs!$G$2:$T$2,0))</f>
        <v>0</v>
      </c>
      <c r="O287" s="144"/>
      <c r="P287" s="139">
        <f t="array" ref="P287">INDEX(F_Inputs!$G$4:$T$381,MATCH(Data!$B287&amp;Data!P$6,F_Inputs!$A$4:$A$381&amp;F_Inputs!$B$4:$B$381,0),MATCH(Data!$C287,F_Inputs!$G$2:$T$2,0))</f>
        <v>0</v>
      </c>
      <c r="Q287" s="139">
        <f t="array" ref="Q287">INDEX(F_Inputs!$G$4:$T$381,MATCH(Data!$B287&amp;Data!Q$6,F_Inputs!$A$4:$A$381&amp;F_Inputs!$B$4:$B$381,0),MATCH(Data!$C287,F_Inputs!$G$2:$T$2,0))</f>
        <v>0</v>
      </c>
      <c r="R287" s="139">
        <f t="array" ref="R287">INDEX(F_Inputs!$G$4:$T$381,MATCH(Data!$B287&amp;Data!R$6,F_Inputs!$A$4:$A$381&amp;F_Inputs!$B$4:$B$381,0),MATCH(Data!$C287,F_Inputs!$G$2:$T$2,0))</f>
        <v>0</v>
      </c>
      <c r="S287" s="139">
        <f t="array" ref="S287">INDEX(F_Inputs!$G$4:$T$381,MATCH(Data!$B287&amp;Data!S$6,F_Inputs!$A$4:$A$381&amp;F_Inputs!$B$4:$B$381,0),MATCH(Data!$C287,F_Inputs!$G$2:$T$2,0))</f>
        <v>0</v>
      </c>
      <c r="U287" s="139">
        <f t="array" ref="U287">INDEX(F_Inputs!$G$4:$T$381,MATCH(Data!$B287&amp;Data!U$6,F_Inputs!$A$4:$A$381&amp;F_Inputs!$B$4:$B$381,0),MATCH(Data!$C287,F_Inputs!$G$2:$T$2,0))</f>
        <v>0</v>
      </c>
      <c r="V287" s="139">
        <f t="array" ref="V287">INDEX(F_Inputs!$G$4:$T$381,MATCH(Data!$B287&amp;Data!V$6,F_Inputs!$A$4:$A$381&amp;F_Inputs!$B$4:$B$381,0),MATCH(Data!$C287,F_Inputs!$G$2:$T$2,0))</f>
        <v>0</v>
      </c>
      <c r="W287" s="139">
        <f t="array" ref="W287">INDEX(F_Inputs!$G$4:$T$381,MATCH(Data!$B287&amp;Data!W$6,F_Inputs!$A$4:$A$381&amp;F_Inputs!$B$4:$B$381,0),MATCH(Data!$C287,F_Inputs!$G$2:$T$2,0))</f>
        <v>0</v>
      </c>
    </row>
    <row r="288" spans="1:23" x14ac:dyDescent="0.2">
      <c r="A288" s="19" t="str">
        <f t="shared" si="18"/>
        <v>HDD17</v>
      </c>
      <c r="B288" s="19" t="s">
        <v>106</v>
      </c>
      <c r="C288" s="19" t="s">
        <v>69</v>
      </c>
      <c r="D288" s="139">
        <f t="array" ref="D288">INDEX(F_Inputs!$G$4:$T$381,MATCH(Data!$B288&amp;Data!D$6,F_Inputs!$A$4:$A$381&amp;F_Inputs!$B$4:$B$381,0),MATCH(Data!$C288,F_Inputs!$G$2:$T$2,0))</f>
        <v>0</v>
      </c>
      <c r="E288" s="139">
        <f t="array" ref="E288">INDEX(F_Inputs!$G$4:$T$381,MATCH(Data!$B288&amp;Data!E$6,F_Inputs!$A$4:$A$381&amp;F_Inputs!$B$4:$B$381,0),MATCH(Data!$C288,F_Inputs!$G$2:$T$2,0))</f>
        <v>0</v>
      </c>
      <c r="F288" s="139">
        <f t="array" ref="F288">INDEX(F_Inputs!$G$4:$T$381,MATCH(Data!$B288&amp;Data!F$6,F_Inputs!$A$4:$A$381&amp;F_Inputs!$B$4:$B$381,0),MATCH(Data!$C288,F_Inputs!$G$2:$T$2,0))</f>
        <v>0</v>
      </c>
      <c r="G288" s="139">
        <f t="array" ref="G288">INDEX(F_Inputs!$G$4:$T$381,MATCH(Data!$B288&amp;Data!G$6,F_Inputs!$A$4:$A$381&amp;F_Inputs!$B$4:$B$381,0),MATCH(Data!$C288,F_Inputs!$G$2:$T$2,0))</f>
        <v>0</v>
      </c>
      <c r="I288" s="139">
        <f t="array" ref="I288">INDEX(F_Inputs!$G$4:$T$381,MATCH(Data!$B288&amp;Data!I$6,F_Inputs!$A$4:$A$381&amp;F_Inputs!$B$4:$B$381,0),MATCH(Data!$C288,F_Inputs!$G$2:$T$2,0))</f>
        <v>0</v>
      </c>
      <c r="J288" s="139">
        <f t="array" ref="J288">INDEX(F_Inputs!$G$4:$T$381,MATCH(Data!$B288&amp;Data!J$6,F_Inputs!$A$4:$A$381&amp;F_Inputs!$B$4:$B$381,0),MATCH(Data!$C288,F_Inputs!$G$2:$T$2,0))</f>
        <v>0</v>
      </c>
      <c r="K288" s="139">
        <f t="array" ref="K288">INDEX(F_Inputs!$G$4:$T$381,MATCH(Data!$B288&amp;Data!K$6,F_Inputs!$A$4:$A$381&amp;F_Inputs!$B$4:$B$381,0),MATCH(Data!$C288,F_Inputs!$G$2:$T$2,0))</f>
        <v>0</v>
      </c>
      <c r="L288" s="139">
        <f t="array" ref="L288">INDEX(F_Inputs!$G$4:$T$381,MATCH(Data!$B288&amp;Data!L$6,F_Inputs!$A$4:$A$381&amp;F_Inputs!$B$4:$B$381,0),MATCH(Data!$C288,F_Inputs!$G$2:$T$2,0))</f>
        <v>0</v>
      </c>
      <c r="N288" s="139">
        <f t="array" ref="N288">INDEX(F_Inputs!$G$4:$T$381,MATCH(Data!$B288&amp;Data!N$6,F_Inputs!$A$4:$A$381&amp;F_Inputs!$B$4:$B$381,0),MATCH(Data!$C288,F_Inputs!$G$2:$T$2,0))</f>
        <v>0</v>
      </c>
      <c r="O288" s="144"/>
      <c r="P288" s="139">
        <f t="array" ref="P288">INDEX(F_Inputs!$G$4:$T$381,MATCH(Data!$B288&amp;Data!P$6,F_Inputs!$A$4:$A$381&amp;F_Inputs!$B$4:$B$381,0),MATCH(Data!$C288,F_Inputs!$G$2:$T$2,0))</f>
        <v>0</v>
      </c>
      <c r="Q288" s="139">
        <f t="array" ref="Q288">INDEX(F_Inputs!$G$4:$T$381,MATCH(Data!$B288&amp;Data!Q$6,F_Inputs!$A$4:$A$381&amp;F_Inputs!$B$4:$B$381,0),MATCH(Data!$C288,F_Inputs!$G$2:$T$2,0))</f>
        <v>0</v>
      </c>
      <c r="R288" s="139">
        <f t="array" ref="R288">INDEX(F_Inputs!$G$4:$T$381,MATCH(Data!$B288&amp;Data!R$6,F_Inputs!$A$4:$A$381&amp;F_Inputs!$B$4:$B$381,0),MATCH(Data!$C288,F_Inputs!$G$2:$T$2,0))</f>
        <v>0</v>
      </c>
      <c r="S288" s="139">
        <f t="array" ref="S288">INDEX(F_Inputs!$G$4:$T$381,MATCH(Data!$B288&amp;Data!S$6,F_Inputs!$A$4:$A$381&amp;F_Inputs!$B$4:$B$381,0),MATCH(Data!$C288,F_Inputs!$G$2:$T$2,0))</f>
        <v>0</v>
      </c>
      <c r="U288" s="139">
        <f t="array" ref="U288">INDEX(F_Inputs!$G$4:$T$381,MATCH(Data!$B288&amp;Data!U$6,F_Inputs!$A$4:$A$381&amp;F_Inputs!$B$4:$B$381,0),MATCH(Data!$C288,F_Inputs!$G$2:$T$2,0))</f>
        <v>0</v>
      </c>
      <c r="V288" s="139">
        <f t="array" ref="V288">INDEX(F_Inputs!$G$4:$T$381,MATCH(Data!$B288&amp;Data!V$6,F_Inputs!$A$4:$A$381&amp;F_Inputs!$B$4:$B$381,0),MATCH(Data!$C288,F_Inputs!$G$2:$T$2,0))</f>
        <v>0</v>
      </c>
      <c r="W288" s="139">
        <f t="array" ref="W288">INDEX(F_Inputs!$G$4:$T$381,MATCH(Data!$B288&amp;Data!W$6,F_Inputs!$A$4:$A$381&amp;F_Inputs!$B$4:$B$381,0),MATCH(Data!$C288,F_Inputs!$G$2:$T$2,0))</f>
        <v>0</v>
      </c>
    </row>
    <row r="289" spans="1:23" x14ac:dyDescent="0.2">
      <c r="A289" s="141" t="str">
        <f t="shared" si="18"/>
        <v>HDD18</v>
      </c>
      <c r="B289" s="142" t="str">
        <f>B288</f>
        <v>HDD</v>
      </c>
      <c r="C289" s="142" t="s">
        <v>70</v>
      </c>
      <c r="D289" s="139">
        <f t="array" ref="D289">INDEX(F_Inputs!$G$4:$T$381,MATCH(Data!$B289&amp;Data!D$6,F_Inputs!$A$4:$A$381&amp;F_Inputs!$B$4:$B$381,0),MATCH(Data!$C289,F_Inputs!$G$2:$T$2,0))</f>
        <v>0</v>
      </c>
      <c r="E289" s="139">
        <f t="array" ref="E289">INDEX(F_Inputs!$G$4:$T$381,MATCH(Data!$B289&amp;Data!E$6,F_Inputs!$A$4:$A$381&amp;F_Inputs!$B$4:$B$381,0),MATCH(Data!$C289,F_Inputs!$G$2:$T$2,0))</f>
        <v>0</v>
      </c>
      <c r="F289" s="139">
        <f t="array" ref="F289">INDEX(F_Inputs!$G$4:$T$381,MATCH(Data!$B289&amp;Data!F$6,F_Inputs!$A$4:$A$381&amp;F_Inputs!$B$4:$B$381,0),MATCH(Data!$C289,F_Inputs!$G$2:$T$2,0))</f>
        <v>0</v>
      </c>
      <c r="G289" s="139">
        <f t="array" ref="G289">INDEX(F_Inputs!$G$4:$T$381,MATCH(Data!$B289&amp;Data!G$6,F_Inputs!$A$4:$A$381&amp;F_Inputs!$B$4:$B$381,0),MATCH(Data!$C289,F_Inputs!$G$2:$T$2,0))</f>
        <v>0.12432094690781099</v>
      </c>
      <c r="I289" s="139">
        <f t="array" ref="I289">INDEX(F_Inputs!$G$4:$T$381,MATCH(Data!$B289&amp;Data!I$6,F_Inputs!$A$4:$A$381&amp;F_Inputs!$B$4:$B$381,0),MATCH(Data!$C289,F_Inputs!$G$2:$T$2,0))</f>
        <v>0</v>
      </c>
      <c r="J289" s="139">
        <f t="array" ref="J289">INDEX(F_Inputs!$G$4:$T$381,MATCH(Data!$B289&amp;Data!J$6,F_Inputs!$A$4:$A$381&amp;F_Inputs!$B$4:$B$381,0),MATCH(Data!$C289,F_Inputs!$G$2:$T$2,0))</f>
        <v>0</v>
      </c>
      <c r="K289" s="139">
        <f t="array" ref="K289">INDEX(F_Inputs!$G$4:$T$381,MATCH(Data!$B289&amp;Data!K$6,F_Inputs!$A$4:$A$381&amp;F_Inputs!$B$4:$B$381,0),MATCH(Data!$C289,F_Inputs!$G$2:$T$2,0))</f>
        <v>0</v>
      </c>
      <c r="L289" s="139">
        <f t="array" ref="L289">INDEX(F_Inputs!$G$4:$T$381,MATCH(Data!$B289&amp;Data!L$6,F_Inputs!$A$4:$A$381&amp;F_Inputs!$B$4:$B$381,0),MATCH(Data!$C289,F_Inputs!$G$2:$T$2,0))</f>
        <v>0</v>
      </c>
      <c r="N289" s="139">
        <f t="array" ref="N289">INDEX(F_Inputs!$G$4:$T$381,MATCH(Data!$B289&amp;Data!N$6,F_Inputs!$A$4:$A$381&amp;F_Inputs!$B$4:$B$381,0),MATCH(Data!$C289,F_Inputs!$G$2:$T$2,0))</f>
        <v>28.883528135844902</v>
      </c>
      <c r="O289" s="144"/>
      <c r="P289" s="139">
        <f t="array" ref="P289">INDEX(F_Inputs!$G$4:$T$381,MATCH(Data!$B289&amp;Data!P$6,F_Inputs!$A$4:$A$381&amp;F_Inputs!$B$4:$B$381,0),MATCH(Data!$C289,F_Inputs!$G$2:$T$2,0))</f>
        <v>0</v>
      </c>
      <c r="Q289" s="139">
        <f t="array" ref="Q289">INDEX(F_Inputs!$G$4:$T$381,MATCH(Data!$B289&amp;Data!Q$6,F_Inputs!$A$4:$A$381&amp;F_Inputs!$B$4:$B$381,0),MATCH(Data!$C289,F_Inputs!$G$2:$T$2,0))</f>
        <v>0</v>
      </c>
      <c r="R289" s="139">
        <f t="array" ref="R289">INDEX(F_Inputs!$G$4:$T$381,MATCH(Data!$B289&amp;Data!R$6,F_Inputs!$A$4:$A$381&amp;F_Inputs!$B$4:$B$381,0),MATCH(Data!$C289,F_Inputs!$G$2:$T$2,0))</f>
        <v>0</v>
      </c>
      <c r="S289" s="139">
        <f t="array" ref="S289">INDEX(F_Inputs!$G$4:$T$381,MATCH(Data!$B289&amp;Data!S$6,F_Inputs!$A$4:$A$381&amp;F_Inputs!$B$4:$B$381,0),MATCH(Data!$C289,F_Inputs!$G$2:$T$2,0))</f>
        <v>0</v>
      </c>
      <c r="U289" s="139">
        <f t="array" ref="U289">INDEX(F_Inputs!$G$4:$T$381,MATCH(Data!$B289&amp;Data!U$6,F_Inputs!$A$4:$A$381&amp;F_Inputs!$B$4:$B$381,0),MATCH(Data!$C289,F_Inputs!$G$2:$T$2,0))</f>
        <v>14.6198616647624</v>
      </c>
      <c r="V289" s="139">
        <f t="array" ref="V289">INDEX(F_Inputs!$G$4:$T$381,MATCH(Data!$B289&amp;Data!V$6,F_Inputs!$A$4:$A$381&amp;F_Inputs!$B$4:$B$381,0),MATCH(Data!$C289,F_Inputs!$G$2:$T$2,0))</f>
        <v>2626.6137800000001</v>
      </c>
      <c r="W289" s="139">
        <f t="array" ref="W289">INDEX(F_Inputs!$G$4:$T$381,MATCH(Data!$B289&amp;Data!W$6,F_Inputs!$A$4:$A$381&amp;F_Inputs!$B$4:$B$381,0),MATCH(Data!$C289,F_Inputs!$G$2:$T$2,0))</f>
        <v>104.86799999999999</v>
      </c>
    </row>
    <row r="290" spans="1:23" x14ac:dyDescent="0.2">
      <c r="A290" s="141" t="str">
        <f t="shared" si="18"/>
        <v>HDD19</v>
      </c>
      <c r="B290" s="142" t="str">
        <f>B289</f>
        <v>HDD</v>
      </c>
      <c r="C290" s="142" t="s">
        <v>71</v>
      </c>
      <c r="D290" s="139">
        <f t="array" ref="D290">INDEX(F_Inputs!$G$4:$T$381,MATCH(Data!$B290&amp;Data!D$6,F_Inputs!$A$4:$A$381&amp;F_Inputs!$B$4:$B$381,0),MATCH(Data!$C290,F_Inputs!$G$2:$T$2,0))</f>
        <v>0</v>
      </c>
      <c r="E290" s="139">
        <f t="array" ref="E290">INDEX(F_Inputs!$G$4:$T$381,MATCH(Data!$B290&amp;Data!E$6,F_Inputs!$A$4:$A$381&amp;F_Inputs!$B$4:$B$381,0),MATCH(Data!$C290,F_Inputs!$G$2:$T$2,0))</f>
        <v>0</v>
      </c>
      <c r="F290" s="139">
        <f t="array" ref="F290">INDEX(F_Inputs!$G$4:$T$381,MATCH(Data!$B290&amp;Data!F$6,F_Inputs!$A$4:$A$381&amp;F_Inputs!$B$4:$B$381,0),MATCH(Data!$C290,F_Inputs!$G$2:$T$2,0))</f>
        <v>0</v>
      </c>
      <c r="G290" s="139">
        <f t="array" ref="G290">INDEX(F_Inputs!$G$4:$T$381,MATCH(Data!$B290&amp;Data!G$6,F_Inputs!$A$4:$A$381&amp;F_Inputs!$B$4:$B$381,0),MATCH(Data!$C290,F_Inputs!$G$2:$T$2,0))</f>
        <v>5.72923327785195E-2</v>
      </c>
      <c r="I290" s="139">
        <f t="array" ref="I290">INDEX(F_Inputs!$G$4:$T$381,MATCH(Data!$B290&amp;Data!I$6,F_Inputs!$A$4:$A$381&amp;F_Inputs!$B$4:$B$381,0),MATCH(Data!$C290,F_Inputs!$G$2:$T$2,0))</f>
        <v>0</v>
      </c>
      <c r="J290" s="139">
        <f t="array" ref="J290">INDEX(F_Inputs!$G$4:$T$381,MATCH(Data!$B290&amp;Data!J$6,F_Inputs!$A$4:$A$381&amp;F_Inputs!$B$4:$B$381,0),MATCH(Data!$C290,F_Inputs!$G$2:$T$2,0))</f>
        <v>0</v>
      </c>
      <c r="K290" s="139">
        <f t="array" ref="K290">INDEX(F_Inputs!$G$4:$T$381,MATCH(Data!$B290&amp;Data!K$6,F_Inputs!$A$4:$A$381&amp;F_Inputs!$B$4:$B$381,0),MATCH(Data!$C290,F_Inputs!$G$2:$T$2,0))</f>
        <v>0</v>
      </c>
      <c r="L290" s="139">
        <f t="array" ref="L290">INDEX(F_Inputs!$G$4:$T$381,MATCH(Data!$B290&amp;Data!L$6,F_Inputs!$A$4:$A$381&amp;F_Inputs!$B$4:$B$381,0),MATCH(Data!$C290,F_Inputs!$G$2:$T$2,0))</f>
        <v>0</v>
      </c>
      <c r="N290" s="139">
        <f t="array" ref="N290">INDEX(F_Inputs!$G$4:$T$381,MATCH(Data!$B290&amp;Data!N$6,F_Inputs!$A$4:$A$381&amp;F_Inputs!$B$4:$B$381,0),MATCH(Data!$C290,F_Inputs!$G$2:$T$2,0))</f>
        <v>31.639380728239999</v>
      </c>
      <c r="O290" s="144"/>
      <c r="P290" s="139">
        <f t="array" ref="P290">INDEX(F_Inputs!$G$4:$T$381,MATCH(Data!$B290&amp;Data!P$6,F_Inputs!$A$4:$A$381&amp;F_Inputs!$B$4:$B$381,0),MATCH(Data!$C290,F_Inputs!$G$2:$T$2,0))</f>
        <v>0</v>
      </c>
      <c r="Q290" s="139">
        <f t="array" ref="Q290">INDEX(F_Inputs!$G$4:$T$381,MATCH(Data!$B290&amp;Data!Q$6,F_Inputs!$A$4:$A$381&amp;F_Inputs!$B$4:$B$381,0),MATCH(Data!$C290,F_Inputs!$G$2:$T$2,0))</f>
        <v>0</v>
      </c>
      <c r="R290" s="139">
        <f t="array" ref="R290">INDEX(F_Inputs!$G$4:$T$381,MATCH(Data!$B290&amp;Data!R$6,F_Inputs!$A$4:$A$381&amp;F_Inputs!$B$4:$B$381,0),MATCH(Data!$C290,F_Inputs!$G$2:$T$2,0))</f>
        <v>0</v>
      </c>
      <c r="S290" s="139">
        <f t="array" ref="S290">INDEX(F_Inputs!$G$4:$T$381,MATCH(Data!$B290&amp;Data!S$6,F_Inputs!$A$4:$A$381&amp;F_Inputs!$B$4:$B$381,0),MATCH(Data!$C290,F_Inputs!$G$2:$T$2,0))</f>
        <v>0</v>
      </c>
      <c r="U290" s="139">
        <f t="array" ref="U290">INDEX(F_Inputs!$G$4:$T$381,MATCH(Data!$B290&amp;Data!U$6,F_Inputs!$A$4:$A$381&amp;F_Inputs!$B$4:$B$381,0),MATCH(Data!$C290,F_Inputs!$G$2:$T$2,0))</f>
        <v>14.5657326228533</v>
      </c>
      <c r="V290" s="139">
        <f t="array" ref="V290">INDEX(F_Inputs!$G$4:$T$381,MATCH(Data!$B290&amp;Data!V$6,F_Inputs!$A$4:$A$381&amp;F_Inputs!$B$4:$B$381,0),MATCH(Data!$C290,F_Inputs!$G$2:$T$2,0))</f>
        <v>2637.31378</v>
      </c>
      <c r="W290" s="139">
        <f t="array" ref="W290">INDEX(F_Inputs!$G$4:$T$381,MATCH(Data!$B290&amp;Data!W$6,F_Inputs!$A$4:$A$381&amp;F_Inputs!$B$4:$B$381,0),MATCH(Data!$C290,F_Inputs!$G$2:$T$2,0))</f>
        <v>105.212032502396</v>
      </c>
    </row>
    <row r="291" spans="1:23" x14ac:dyDescent="0.2">
      <c r="A291" s="141" t="str">
        <f t="shared" si="18"/>
        <v>HDD20</v>
      </c>
      <c r="B291" s="142" t="str">
        <f t="shared" ref="B291:B296" si="19">B290</f>
        <v>HDD</v>
      </c>
      <c r="C291" s="142" t="s">
        <v>72</v>
      </c>
      <c r="D291" s="139">
        <f t="array" ref="D291">INDEX(F_Inputs!$G$4:$T$381,MATCH(Data!$B291&amp;Data!D$6,F_Inputs!$A$4:$A$381&amp;F_Inputs!$B$4:$B$381,0),MATCH(Data!$C291,F_Inputs!$G$2:$T$2,0))</f>
        <v>0</v>
      </c>
      <c r="E291" s="139">
        <f t="array" ref="E291">INDEX(F_Inputs!$G$4:$T$381,MATCH(Data!$B291&amp;Data!E$6,F_Inputs!$A$4:$A$381&amp;F_Inputs!$B$4:$B$381,0),MATCH(Data!$C291,F_Inputs!$G$2:$T$2,0))</f>
        <v>0</v>
      </c>
      <c r="F291" s="139">
        <f t="array" ref="F291">INDEX(F_Inputs!$G$4:$T$381,MATCH(Data!$B291&amp;Data!F$6,F_Inputs!$A$4:$A$381&amp;F_Inputs!$B$4:$B$381,0),MATCH(Data!$C291,F_Inputs!$G$2:$T$2,0))</f>
        <v>0</v>
      </c>
      <c r="G291" s="139">
        <f t="array" ref="G291">INDEX(F_Inputs!$G$4:$T$381,MATCH(Data!$B291&amp;Data!G$6,F_Inputs!$A$4:$A$381&amp;F_Inputs!$B$4:$B$381,0),MATCH(Data!$C291,F_Inputs!$G$2:$T$2,0))</f>
        <v>9.2659836419697703E-2</v>
      </c>
      <c r="I291" s="139">
        <f t="array" ref="I291">INDEX(F_Inputs!$G$4:$T$381,MATCH(Data!$B291&amp;Data!I$6,F_Inputs!$A$4:$A$381&amp;F_Inputs!$B$4:$B$381,0),MATCH(Data!$C291,F_Inputs!$G$2:$T$2,0))</f>
        <v>0</v>
      </c>
      <c r="J291" s="139">
        <f t="array" ref="J291">INDEX(F_Inputs!$G$4:$T$381,MATCH(Data!$B291&amp;Data!J$6,F_Inputs!$A$4:$A$381&amp;F_Inputs!$B$4:$B$381,0),MATCH(Data!$C291,F_Inputs!$G$2:$T$2,0))</f>
        <v>0</v>
      </c>
      <c r="K291" s="139">
        <f t="array" ref="K291">INDEX(F_Inputs!$G$4:$T$381,MATCH(Data!$B291&amp;Data!K$6,F_Inputs!$A$4:$A$381&amp;F_Inputs!$B$4:$B$381,0),MATCH(Data!$C291,F_Inputs!$G$2:$T$2,0))</f>
        <v>0</v>
      </c>
      <c r="L291" s="139">
        <f t="array" ref="L291">INDEX(F_Inputs!$G$4:$T$381,MATCH(Data!$B291&amp;Data!L$6,F_Inputs!$A$4:$A$381&amp;F_Inputs!$B$4:$B$381,0),MATCH(Data!$C291,F_Inputs!$G$2:$T$2,0))</f>
        <v>0</v>
      </c>
      <c r="N291" s="139">
        <f t="array" ref="N291">INDEX(F_Inputs!$G$4:$T$381,MATCH(Data!$B291&amp;Data!N$6,F_Inputs!$A$4:$A$381&amp;F_Inputs!$B$4:$B$381,0),MATCH(Data!$C291,F_Inputs!$G$2:$T$2,0))</f>
        <v>24.7939310449453</v>
      </c>
      <c r="O291" s="144"/>
      <c r="P291" s="139">
        <f t="array" ref="P291">INDEX(F_Inputs!$G$4:$T$381,MATCH(Data!$B291&amp;Data!P$6,F_Inputs!$A$4:$A$381&amp;F_Inputs!$B$4:$B$381,0),MATCH(Data!$C291,F_Inputs!$G$2:$T$2,0))</f>
        <v>0</v>
      </c>
      <c r="Q291" s="139">
        <f t="array" ref="Q291">INDEX(F_Inputs!$G$4:$T$381,MATCH(Data!$B291&amp;Data!Q$6,F_Inputs!$A$4:$A$381&amp;F_Inputs!$B$4:$B$381,0),MATCH(Data!$C291,F_Inputs!$G$2:$T$2,0))</f>
        <v>0</v>
      </c>
      <c r="R291" s="139">
        <f t="array" ref="R291">INDEX(F_Inputs!$G$4:$T$381,MATCH(Data!$B291&amp;Data!R$6,F_Inputs!$A$4:$A$381&amp;F_Inputs!$B$4:$B$381,0),MATCH(Data!$C291,F_Inputs!$G$2:$T$2,0))</f>
        <v>0</v>
      </c>
      <c r="S291" s="139">
        <f t="array" ref="S291">INDEX(F_Inputs!$G$4:$T$381,MATCH(Data!$B291&amp;Data!S$6,F_Inputs!$A$4:$A$381&amp;F_Inputs!$B$4:$B$381,0),MATCH(Data!$C291,F_Inputs!$G$2:$T$2,0))</f>
        <v>0</v>
      </c>
      <c r="U291" s="139">
        <f t="array" ref="U291">INDEX(F_Inputs!$G$4:$T$381,MATCH(Data!$B291&amp;Data!U$6,F_Inputs!$A$4:$A$381&amp;F_Inputs!$B$4:$B$381,0),MATCH(Data!$C291,F_Inputs!$G$2:$T$2,0))</f>
        <v>14.512425451575799</v>
      </c>
      <c r="V291" s="139">
        <f t="array" ref="V291">INDEX(F_Inputs!$G$4:$T$381,MATCH(Data!$B291&amp;Data!V$6,F_Inputs!$A$4:$A$381&amp;F_Inputs!$B$4:$B$381,0),MATCH(Data!$C291,F_Inputs!$G$2:$T$2,0))</f>
        <v>2648.0137800000002</v>
      </c>
      <c r="W291" s="139">
        <f t="array" ref="W291">INDEX(F_Inputs!$G$4:$T$381,MATCH(Data!$B291&amp;Data!W$6,F_Inputs!$A$4:$A$381&amp;F_Inputs!$B$4:$B$381,0),MATCH(Data!$C291,F_Inputs!$G$2:$T$2,0))</f>
        <v>105.55601013804799</v>
      </c>
    </row>
    <row r="292" spans="1:23" x14ac:dyDescent="0.2">
      <c r="A292" s="141" t="str">
        <f t="shared" si="18"/>
        <v>HDD21</v>
      </c>
      <c r="B292" s="142" t="str">
        <f t="shared" si="19"/>
        <v>HDD</v>
      </c>
      <c r="C292" s="142" t="s">
        <v>73</v>
      </c>
      <c r="D292" s="139">
        <f t="array" ref="D292">INDEX(F_Inputs!$G$4:$T$381,MATCH(Data!$B292&amp;Data!D$6,F_Inputs!$A$4:$A$381&amp;F_Inputs!$B$4:$B$381,0),MATCH(Data!$C292,F_Inputs!$G$2:$T$2,0))</f>
        <v>0</v>
      </c>
      <c r="E292" s="139">
        <f t="array" ref="E292">INDEX(F_Inputs!$G$4:$T$381,MATCH(Data!$B292&amp;Data!E$6,F_Inputs!$A$4:$A$381&amp;F_Inputs!$B$4:$B$381,0),MATCH(Data!$C292,F_Inputs!$G$2:$T$2,0))</f>
        <v>0</v>
      </c>
      <c r="F292" s="139">
        <f t="array" ref="F292">INDEX(F_Inputs!$G$4:$T$381,MATCH(Data!$B292&amp;Data!F$6,F_Inputs!$A$4:$A$381&amp;F_Inputs!$B$4:$B$381,0),MATCH(Data!$C292,F_Inputs!$G$2:$T$2,0))</f>
        <v>0</v>
      </c>
      <c r="G292" s="139">
        <f t="array" ref="G292">INDEX(F_Inputs!$G$4:$T$381,MATCH(Data!$B292&amp;Data!G$6,F_Inputs!$A$4:$A$381&amp;F_Inputs!$B$4:$B$381,0),MATCH(Data!$C292,F_Inputs!$G$2:$T$2,0))</f>
        <v>0</v>
      </c>
      <c r="I292" s="139">
        <f t="array" ref="I292">INDEX(F_Inputs!$G$4:$T$381,MATCH(Data!$B292&amp;Data!I$6,F_Inputs!$A$4:$A$381&amp;F_Inputs!$B$4:$B$381,0),MATCH(Data!$C292,F_Inputs!$G$2:$T$2,0))</f>
        <v>0</v>
      </c>
      <c r="J292" s="139">
        <f t="array" ref="J292">INDEX(F_Inputs!$G$4:$T$381,MATCH(Data!$B292&amp;Data!J$6,F_Inputs!$A$4:$A$381&amp;F_Inputs!$B$4:$B$381,0),MATCH(Data!$C292,F_Inputs!$G$2:$T$2,0))</f>
        <v>0</v>
      </c>
      <c r="K292" s="139">
        <f t="array" ref="K292">INDEX(F_Inputs!$G$4:$T$381,MATCH(Data!$B292&amp;Data!K$6,F_Inputs!$A$4:$A$381&amp;F_Inputs!$B$4:$B$381,0),MATCH(Data!$C292,F_Inputs!$G$2:$T$2,0))</f>
        <v>0</v>
      </c>
      <c r="L292" s="139">
        <f t="array" ref="L292">INDEX(F_Inputs!$G$4:$T$381,MATCH(Data!$B292&amp;Data!L$6,F_Inputs!$A$4:$A$381&amp;F_Inputs!$B$4:$B$381,0),MATCH(Data!$C292,F_Inputs!$G$2:$T$2,0))</f>
        <v>0</v>
      </c>
      <c r="N292" s="139">
        <f t="array" ref="N292">INDEX(F_Inputs!$G$4:$T$381,MATCH(Data!$B292&amp;Data!N$6,F_Inputs!$A$4:$A$381&amp;F_Inputs!$B$4:$B$381,0),MATCH(Data!$C292,F_Inputs!$G$2:$T$2,0))</f>
        <v>27.46</v>
      </c>
      <c r="O292" s="144"/>
      <c r="P292" s="139">
        <f t="array" ref="P292">INDEX(F_Inputs!$G$4:$T$381,MATCH(Data!$B292&amp;Data!P$6,F_Inputs!$A$4:$A$381&amp;F_Inputs!$B$4:$B$381,0),MATCH(Data!$C292,F_Inputs!$G$2:$T$2,0))</f>
        <v>0</v>
      </c>
      <c r="Q292" s="139">
        <f t="array" ref="Q292">INDEX(F_Inputs!$G$4:$T$381,MATCH(Data!$B292&amp;Data!Q$6,F_Inputs!$A$4:$A$381&amp;F_Inputs!$B$4:$B$381,0),MATCH(Data!$C292,F_Inputs!$G$2:$T$2,0))</f>
        <v>0</v>
      </c>
      <c r="R292" s="139">
        <f t="array" ref="R292">INDEX(F_Inputs!$G$4:$T$381,MATCH(Data!$B292&amp;Data!R$6,F_Inputs!$A$4:$A$381&amp;F_Inputs!$B$4:$B$381,0),MATCH(Data!$C292,F_Inputs!$G$2:$T$2,0))</f>
        <v>0.43661491466276803</v>
      </c>
      <c r="S292" s="139">
        <f t="array" ref="S292">INDEX(F_Inputs!$G$4:$T$381,MATCH(Data!$B292&amp;Data!S$6,F_Inputs!$A$4:$A$381&amp;F_Inputs!$B$4:$B$381,0),MATCH(Data!$C292,F_Inputs!$G$2:$T$2,0))</f>
        <v>0.43661491466276803</v>
      </c>
      <c r="U292" s="139">
        <f t="array" ref="U292">INDEX(F_Inputs!$G$4:$T$381,MATCH(Data!$B292&amp;Data!U$6,F_Inputs!$A$4:$A$381&amp;F_Inputs!$B$4:$B$381,0),MATCH(Data!$C292,F_Inputs!$G$2:$T$2,0))</f>
        <v>14.076107528233401</v>
      </c>
      <c r="V292" s="139">
        <f t="array" ref="V292">INDEX(F_Inputs!$G$4:$T$381,MATCH(Data!$B292&amp;Data!V$6,F_Inputs!$A$4:$A$381&amp;F_Inputs!$B$4:$B$381,0),MATCH(Data!$C292,F_Inputs!$G$2:$T$2,0))</f>
        <v>2658.71378</v>
      </c>
      <c r="W292" s="139">
        <f t="array" ref="W292">INDEX(F_Inputs!$G$4:$T$381,MATCH(Data!$B292&amp;Data!W$6,F_Inputs!$A$4:$A$381&amp;F_Inputs!$B$4:$B$381,0),MATCH(Data!$C292,F_Inputs!$G$2:$T$2,0))</f>
        <v>105.90804264044399</v>
      </c>
    </row>
    <row r="293" spans="1:23" x14ac:dyDescent="0.2">
      <c r="A293" s="141" t="str">
        <f>B293&amp;RIGHT(C293,2)</f>
        <v>HDD22</v>
      </c>
      <c r="B293" s="142" t="str">
        <f t="shared" si="19"/>
        <v>HDD</v>
      </c>
      <c r="C293" s="142" t="s">
        <v>74</v>
      </c>
      <c r="D293" s="139">
        <f t="array" ref="D293">INDEX(F_Inputs!$G$4:$T$381,MATCH(Data!$B293&amp;Data!D$6,F_Inputs!$A$4:$A$381&amp;F_Inputs!$B$4:$B$381,0),MATCH(Data!$C293,F_Inputs!$G$2:$T$2,0))</f>
        <v>0</v>
      </c>
      <c r="E293" s="139">
        <f t="array" ref="E293">INDEX(F_Inputs!$G$4:$T$381,MATCH(Data!$B293&amp;Data!E$6,F_Inputs!$A$4:$A$381&amp;F_Inputs!$B$4:$B$381,0),MATCH(Data!$C293,F_Inputs!$G$2:$T$2,0))</f>
        <v>0</v>
      </c>
      <c r="F293" s="139">
        <f t="array" ref="F293">INDEX(F_Inputs!$G$4:$T$381,MATCH(Data!$B293&amp;Data!F$6,F_Inputs!$A$4:$A$381&amp;F_Inputs!$B$4:$B$381,0),MATCH(Data!$C293,F_Inputs!$G$2:$T$2,0))</f>
        <v>0</v>
      </c>
      <c r="G293" s="139">
        <f t="array" ref="G293">INDEX(F_Inputs!$G$4:$T$381,MATCH(Data!$B293&amp;Data!G$6,F_Inputs!$A$4:$A$381&amp;F_Inputs!$B$4:$B$381,0),MATCH(Data!$C293,F_Inputs!$G$2:$T$2,0))</f>
        <v>0</v>
      </c>
      <c r="I293" s="139">
        <f t="array" ref="I293">INDEX(F_Inputs!$G$4:$T$381,MATCH(Data!$B293&amp;Data!I$6,F_Inputs!$A$4:$A$381&amp;F_Inputs!$B$4:$B$381,0),MATCH(Data!$C293,F_Inputs!$G$2:$T$2,0))</f>
        <v>0</v>
      </c>
      <c r="J293" s="139">
        <f t="array" ref="J293">INDEX(F_Inputs!$G$4:$T$381,MATCH(Data!$B293&amp;Data!J$6,F_Inputs!$A$4:$A$381&amp;F_Inputs!$B$4:$B$381,0),MATCH(Data!$C293,F_Inputs!$G$2:$T$2,0))</f>
        <v>0</v>
      </c>
      <c r="K293" s="139">
        <f t="array" ref="K293">INDEX(F_Inputs!$G$4:$T$381,MATCH(Data!$B293&amp;Data!K$6,F_Inputs!$A$4:$A$381&amp;F_Inputs!$B$4:$B$381,0),MATCH(Data!$C293,F_Inputs!$G$2:$T$2,0))</f>
        <v>0</v>
      </c>
      <c r="L293" s="139">
        <f t="array" ref="L293">INDEX(F_Inputs!$G$4:$T$381,MATCH(Data!$B293&amp;Data!L$6,F_Inputs!$A$4:$A$381&amp;F_Inputs!$B$4:$B$381,0),MATCH(Data!$C293,F_Inputs!$G$2:$T$2,0))</f>
        <v>0</v>
      </c>
      <c r="N293" s="139">
        <f t="array" ref="N293">INDEX(F_Inputs!$G$4:$T$381,MATCH(Data!$B293&amp;Data!N$6,F_Inputs!$A$4:$A$381&amp;F_Inputs!$B$4:$B$381,0),MATCH(Data!$C293,F_Inputs!$G$2:$T$2,0))</f>
        <v>27.120999999999999</v>
      </c>
      <c r="O293" s="144"/>
      <c r="P293" s="139">
        <f t="array" ref="P293">INDEX(F_Inputs!$G$4:$T$381,MATCH(Data!$B293&amp;Data!P$6,F_Inputs!$A$4:$A$381&amp;F_Inputs!$B$4:$B$381,0),MATCH(Data!$C293,F_Inputs!$G$2:$T$2,0))</f>
        <v>0</v>
      </c>
      <c r="Q293" s="139">
        <f t="array" ref="Q293">INDEX(F_Inputs!$G$4:$T$381,MATCH(Data!$B293&amp;Data!Q$6,F_Inputs!$A$4:$A$381&amp;F_Inputs!$B$4:$B$381,0),MATCH(Data!$C293,F_Inputs!$G$2:$T$2,0))</f>
        <v>0</v>
      </c>
      <c r="R293" s="139">
        <f t="array" ref="R293">INDEX(F_Inputs!$G$4:$T$381,MATCH(Data!$B293&amp;Data!R$6,F_Inputs!$A$4:$A$381&amp;F_Inputs!$B$4:$B$381,0),MATCH(Data!$C293,F_Inputs!$G$2:$T$2,0))</f>
        <v>0.43563471273246002</v>
      </c>
      <c r="S293" s="139">
        <f t="array" ref="S293">INDEX(F_Inputs!$G$4:$T$381,MATCH(Data!$B293&amp;Data!S$6,F_Inputs!$A$4:$A$381&amp;F_Inputs!$B$4:$B$381,0),MATCH(Data!$C293,F_Inputs!$G$2:$T$2,0))</f>
        <v>0.43563471273246002</v>
      </c>
      <c r="U293" s="139">
        <f t="array" ref="U293">INDEX(F_Inputs!$G$4:$T$381,MATCH(Data!$B293&amp;Data!U$6,F_Inputs!$A$4:$A$381&amp;F_Inputs!$B$4:$B$381,0),MATCH(Data!$C293,F_Inputs!$G$2:$T$2,0))</f>
        <v>13.640763996432399</v>
      </c>
      <c r="V293" s="139">
        <f t="array" ref="V293">INDEX(F_Inputs!$G$4:$T$381,MATCH(Data!$B293&amp;Data!V$6,F_Inputs!$A$4:$A$381&amp;F_Inputs!$B$4:$B$381,0),MATCH(Data!$C293,F_Inputs!$G$2:$T$2,0))</f>
        <v>2669.4137799999999</v>
      </c>
      <c r="W293" s="139">
        <f t="array" ref="W293">INDEX(F_Inputs!$G$4:$T$381,MATCH(Data!$B293&amp;Data!W$6,F_Inputs!$A$4:$A$381&amp;F_Inputs!$B$4:$B$381,0),MATCH(Data!$C293,F_Inputs!$G$2:$T$2,0))</f>
        <v>106.28807514284</v>
      </c>
    </row>
    <row r="294" spans="1:23" x14ac:dyDescent="0.2">
      <c r="A294" s="141" t="str">
        <f>B294&amp;RIGHT(C294,2)</f>
        <v>HDD23</v>
      </c>
      <c r="B294" s="142" t="str">
        <f t="shared" si="19"/>
        <v>HDD</v>
      </c>
      <c r="C294" s="142" t="s">
        <v>75</v>
      </c>
      <c r="D294" s="139">
        <f t="array" ref="D294">INDEX(F_Inputs!$G$4:$T$381,MATCH(Data!$B294&amp;Data!D$6,F_Inputs!$A$4:$A$381&amp;F_Inputs!$B$4:$B$381,0),MATCH(Data!$C294,F_Inputs!$G$2:$T$2,0))</f>
        <v>0</v>
      </c>
      <c r="E294" s="139">
        <f t="array" ref="E294">INDEX(F_Inputs!$G$4:$T$381,MATCH(Data!$B294&amp;Data!E$6,F_Inputs!$A$4:$A$381&amp;F_Inputs!$B$4:$B$381,0),MATCH(Data!$C294,F_Inputs!$G$2:$T$2,0))</f>
        <v>0</v>
      </c>
      <c r="F294" s="139">
        <f t="array" ref="F294">INDEX(F_Inputs!$G$4:$T$381,MATCH(Data!$B294&amp;Data!F$6,F_Inputs!$A$4:$A$381&amp;F_Inputs!$B$4:$B$381,0),MATCH(Data!$C294,F_Inputs!$G$2:$T$2,0))</f>
        <v>0</v>
      </c>
      <c r="G294" s="139">
        <f t="array" ref="G294">INDEX(F_Inputs!$G$4:$T$381,MATCH(Data!$B294&amp;Data!G$6,F_Inputs!$A$4:$A$381&amp;F_Inputs!$B$4:$B$381,0),MATCH(Data!$C294,F_Inputs!$G$2:$T$2,0))</f>
        <v>0</v>
      </c>
      <c r="I294" s="139">
        <f t="array" ref="I294">INDEX(F_Inputs!$G$4:$T$381,MATCH(Data!$B294&amp;Data!I$6,F_Inputs!$A$4:$A$381&amp;F_Inputs!$B$4:$B$381,0),MATCH(Data!$C294,F_Inputs!$G$2:$T$2,0))</f>
        <v>0</v>
      </c>
      <c r="J294" s="139">
        <f t="array" ref="J294">INDEX(F_Inputs!$G$4:$T$381,MATCH(Data!$B294&amp;Data!J$6,F_Inputs!$A$4:$A$381&amp;F_Inputs!$B$4:$B$381,0),MATCH(Data!$C294,F_Inputs!$G$2:$T$2,0))</f>
        <v>0</v>
      </c>
      <c r="K294" s="139">
        <f t="array" ref="K294">INDEX(F_Inputs!$G$4:$T$381,MATCH(Data!$B294&amp;Data!K$6,F_Inputs!$A$4:$A$381&amp;F_Inputs!$B$4:$B$381,0),MATCH(Data!$C294,F_Inputs!$G$2:$T$2,0))</f>
        <v>0</v>
      </c>
      <c r="L294" s="139">
        <f t="array" ref="L294">INDEX(F_Inputs!$G$4:$T$381,MATCH(Data!$B294&amp;Data!L$6,F_Inputs!$A$4:$A$381&amp;F_Inputs!$B$4:$B$381,0),MATCH(Data!$C294,F_Inputs!$G$2:$T$2,0))</f>
        <v>0</v>
      </c>
      <c r="N294" s="139">
        <f t="array" ref="N294">INDEX(F_Inputs!$G$4:$T$381,MATCH(Data!$B294&amp;Data!N$6,F_Inputs!$A$4:$A$381&amp;F_Inputs!$B$4:$B$381,0),MATCH(Data!$C294,F_Inputs!$G$2:$T$2,0))</f>
        <v>26.327000000000002</v>
      </c>
      <c r="O294" s="144"/>
      <c r="P294" s="139">
        <f t="array" ref="P294">INDEX(F_Inputs!$G$4:$T$381,MATCH(Data!$B294&amp;Data!P$6,F_Inputs!$A$4:$A$381&amp;F_Inputs!$B$4:$B$381,0),MATCH(Data!$C294,F_Inputs!$G$2:$T$2,0))</f>
        <v>0</v>
      </c>
      <c r="Q294" s="139">
        <f t="array" ref="Q294">INDEX(F_Inputs!$G$4:$T$381,MATCH(Data!$B294&amp;Data!Q$6,F_Inputs!$A$4:$A$381&amp;F_Inputs!$B$4:$B$381,0),MATCH(Data!$C294,F_Inputs!$G$2:$T$2,0))</f>
        <v>0</v>
      </c>
      <c r="R294" s="139">
        <f t="array" ref="R294">INDEX(F_Inputs!$G$4:$T$381,MATCH(Data!$B294&amp;Data!R$6,F_Inputs!$A$4:$A$381&amp;F_Inputs!$B$4:$B$381,0),MATCH(Data!$C294,F_Inputs!$G$2:$T$2,0))</f>
        <v>0.43562930742116901</v>
      </c>
      <c r="S294" s="139">
        <f t="array" ref="S294">INDEX(F_Inputs!$G$4:$T$381,MATCH(Data!$B294&amp;Data!S$6,F_Inputs!$A$4:$A$381&amp;F_Inputs!$B$4:$B$381,0),MATCH(Data!$C294,F_Inputs!$G$2:$T$2,0))</f>
        <v>0.43562930742116901</v>
      </c>
      <c r="U294" s="139">
        <f t="array" ref="U294">INDEX(F_Inputs!$G$4:$T$381,MATCH(Data!$B294&amp;Data!U$6,F_Inputs!$A$4:$A$381&amp;F_Inputs!$B$4:$B$381,0),MATCH(Data!$C294,F_Inputs!$G$2:$T$2,0))</f>
        <v>13.205420464631301</v>
      </c>
      <c r="V294" s="139">
        <f t="array" ref="V294">INDEX(F_Inputs!$G$4:$T$381,MATCH(Data!$B294&amp;Data!V$6,F_Inputs!$A$4:$A$381&amp;F_Inputs!$B$4:$B$381,0),MATCH(Data!$C294,F_Inputs!$G$2:$T$2,0))</f>
        <v>2680.1137800000001</v>
      </c>
      <c r="W294" s="139">
        <f t="array" ref="W294">INDEX(F_Inputs!$G$4:$T$381,MATCH(Data!$B294&amp;Data!W$6,F_Inputs!$A$4:$A$381&amp;F_Inputs!$B$4:$B$381,0),MATCH(Data!$C294,F_Inputs!$G$2:$T$2,0))</f>
        <v>106.695107645237</v>
      </c>
    </row>
    <row r="295" spans="1:23" x14ac:dyDescent="0.2">
      <c r="A295" s="141" t="str">
        <f>B295&amp;RIGHT(C295,2)</f>
        <v>HDD24</v>
      </c>
      <c r="B295" s="142" t="str">
        <f t="shared" si="19"/>
        <v>HDD</v>
      </c>
      <c r="C295" s="142" t="s">
        <v>76</v>
      </c>
      <c r="D295" s="139">
        <f t="array" ref="D295">INDEX(F_Inputs!$G$4:$T$381,MATCH(Data!$B295&amp;Data!D$6,F_Inputs!$A$4:$A$381&amp;F_Inputs!$B$4:$B$381,0),MATCH(Data!$C295,F_Inputs!$G$2:$T$2,0))</f>
        <v>0</v>
      </c>
      <c r="E295" s="139">
        <f t="array" ref="E295">INDEX(F_Inputs!$G$4:$T$381,MATCH(Data!$B295&amp;Data!E$6,F_Inputs!$A$4:$A$381&amp;F_Inputs!$B$4:$B$381,0),MATCH(Data!$C295,F_Inputs!$G$2:$T$2,0))</f>
        <v>0</v>
      </c>
      <c r="F295" s="139">
        <f t="array" ref="F295">INDEX(F_Inputs!$G$4:$T$381,MATCH(Data!$B295&amp;Data!F$6,F_Inputs!$A$4:$A$381&amp;F_Inputs!$B$4:$B$381,0),MATCH(Data!$C295,F_Inputs!$G$2:$T$2,0))</f>
        <v>0</v>
      </c>
      <c r="G295" s="139">
        <f t="array" ref="G295">INDEX(F_Inputs!$G$4:$T$381,MATCH(Data!$B295&amp;Data!G$6,F_Inputs!$A$4:$A$381&amp;F_Inputs!$B$4:$B$381,0),MATCH(Data!$C295,F_Inputs!$G$2:$T$2,0))</f>
        <v>0</v>
      </c>
      <c r="I295" s="139">
        <f t="array" ref="I295">INDEX(F_Inputs!$G$4:$T$381,MATCH(Data!$B295&amp;Data!I$6,F_Inputs!$A$4:$A$381&amp;F_Inputs!$B$4:$B$381,0),MATCH(Data!$C295,F_Inputs!$G$2:$T$2,0))</f>
        <v>0</v>
      </c>
      <c r="J295" s="139">
        <f t="array" ref="J295">INDEX(F_Inputs!$G$4:$T$381,MATCH(Data!$B295&amp;Data!J$6,F_Inputs!$A$4:$A$381&amp;F_Inputs!$B$4:$B$381,0),MATCH(Data!$C295,F_Inputs!$G$2:$T$2,0))</f>
        <v>0</v>
      </c>
      <c r="K295" s="139">
        <f t="array" ref="K295">INDEX(F_Inputs!$G$4:$T$381,MATCH(Data!$B295&amp;Data!K$6,F_Inputs!$A$4:$A$381&amp;F_Inputs!$B$4:$B$381,0),MATCH(Data!$C295,F_Inputs!$G$2:$T$2,0))</f>
        <v>0</v>
      </c>
      <c r="L295" s="139">
        <f t="array" ref="L295">INDEX(F_Inputs!$G$4:$T$381,MATCH(Data!$B295&amp;Data!L$6,F_Inputs!$A$4:$A$381&amp;F_Inputs!$B$4:$B$381,0),MATCH(Data!$C295,F_Inputs!$G$2:$T$2,0))</f>
        <v>0</v>
      </c>
      <c r="N295" s="139">
        <f t="array" ref="N295">INDEX(F_Inputs!$G$4:$T$381,MATCH(Data!$B295&amp;Data!N$6,F_Inputs!$A$4:$A$381&amp;F_Inputs!$B$4:$B$381,0),MATCH(Data!$C295,F_Inputs!$G$2:$T$2,0))</f>
        <v>25.742000000000001</v>
      </c>
      <c r="O295" s="144"/>
      <c r="P295" s="139">
        <f t="array" ref="P295">INDEX(F_Inputs!$G$4:$T$381,MATCH(Data!$B295&amp;Data!P$6,F_Inputs!$A$4:$A$381&amp;F_Inputs!$B$4:$B$381,0),MATCH(Data!$C295,F_Inputs!$G$2:$T$2,0))</f>
        <v>0</v>
      </c>
      <c r="Q295" s="139">
        <f t="array" ref="Q295">INDEX(F_Inputs!$G$4:$T$381,MATCH(Data!$B295&amp;Data!Q$6,F_Inputs!$A$4:$A$381&amp;F_Inputs!$B$4:$B$381,0),MATCH(Data!$C295,F_Inputs!$G$2:$T$2,0))</f>
        <v>0</v>
      </c>
      <c r="R295" s="139">
        <f t="array" ref="R295">INDEX(F_Inputs!$G$4:$T$381,MATCH(Data!$B295&amp;Data!R$6,F_Inputs!$A$4:$A$381&amp;F_Inputs!$B$4:$B$381,0),MATCH(Data!$C295,F_Inputs!$G$2:$T$2,0))</f>
        <v>0.43562374834568102</v>
      </c>
      <c r="S295" s="139">
        <f t="array" ref="S295">INDEX(F_Inputs!$G$4:$T$381,MATCH(Data!$B295&amp;Data!S$6,F_Inputs!$A$4:$A$381&amp;F_Inputs!$B$4:$B$381,0),MATCH(Data!$C295,F_Inputs!$G$2:$T$2,0))</f>
        <v>0.43562374834568102</v>
      </c>
      <c r="U295" s="139">
        <f t="array" ref="U295">INDEX(F_Inputs!$G$4:$T$381,MATCH(Data!$B295&amp;Data!U$6,F_Inputs!$A$4:$A$381&amp;F_Inputs!$B$4:$B$381,0),MATCH(Data!$C295,F_Inputs!$G$2:$T$2,0))</f>
        <v>12.7700769328303</v>
      </c>
      <c r="V295" s="139">
        <f t="array" ref="V295">INDEX(F_Inputs!$G$4:$T$381,MATCH(Data!$B295&amp;Data!V$6,F_Inputs!$A$4:$A$381&amp;F_Inputs!$B$4:$B$381,0),MATCH(Data!$C295,F_Inputs!$G$2:$T$2,0))</f>
        <v>2690.81378</v>
      </c>
      <c r="W295" s="139">
        <f t="array" ref="W295">INDEX(F_Inputs!$G$4:$T$381,MATCH(Data!$B295&amp;Data!W$6,F_Inputs!$A$4:$A$381&amp;F_Inputs!$B$4:$B$381,0),MATCH(Data!$C295,F_Inputs!$G$2:$T$2,0))</f>
        <v>107.110167581005</v>
      </c>
    </row>
    <row r="296" spans="1:23" x14ac:dyDescent="0.2">
      <c r="A296" s="141" t="str">
        <f>B296&amp;RIGHT(C296,2)</f>
        <v>HDD25</v>
      </c>
      <c r="B296" s="142" t="str">
        <f t="shared" si="19"/>
        <v>HDD</v>
      </c>
      <c r="C296" s="142" t="s">
        <v>24</v>
      </c>
      <c r="D296" s="139">
        <f t="array" ref="D296">INDEX(F_Inputs!$G$4:$T$381,MATCH(Data!$B296&amp;Data!D$6,F_Inputs!$A$4:$A$381&amp;F_Inputs!$B$4:$B$381,0),MATCH(Data!$C296,F_Inputs!$G$2:$T$2,0))</f>
        <v>0</v>
      </c>
      <c r="E296" s="139">
        <f t="array" ref="E296">INDEX(F_Inputs!$G$4:$T$381,MATCH(Data!$B296&amp;Data!E$6,F_Inputs!$A$4:$A$381&amp;F_Inputs!$B$4:$B$381,0),MATCH(Data!$C296,F_Inputs!$G$2:$T$2,0))</f>
        <v>0</v>
      </c>
      <c r="F296" s="139">
        <f t="array" ref="F296">INDEX(F_Inputs!$G$4:$T$381,MATCH(Data!$B296&amp;Data!F$6,F_Inputs!$A$4:$A$381&amp;F_Inputs!$B$4:$B$381,0),MATCH(Data!$C296,F_Inputs!$G$2:$T$2,0))</f>
        <v>0</v>
      </c>
      <c r="G296" s="139">
        <f t="array" ref="G296">INDEX(F_Inputs!$G$4:$T$381,MATCH(Data!$B296&amp;Data!G$6,F_Inputs!$A$4:$A$381&amp;F_Inputs!$B$4:$B$381,0),MATCH(Data!$C296,F_Inputs!$G$2:$T$2,0))</f>
        <v>0</v>
      </c>
      <c r="I296" s="139">
        <f t="array" ref="I296">INDEX(F_Inputs!$G$4:$T$381,MATCH(Data!$B296&amp;Data!I$6,F_Inputs!$A$4:$A$381&amp;F_Inputs!$B$4:$B$381,0),MATCH(Data!$C296,F_Inputs!$G$2:$T$2,0))</f>
        <v>0</v>
      </c>
      <c r="J296" s="139">
        <f t="array" ref="J296">INDEX(F_Inputs!$G$4:$T$381,MATCH(Data!$B296&amp;Data!J$6,F_Inputs!$A$4:$A$381&amp;F_Inputs!$B$4:$B$381,0),MATCH(Data!$C296,F_Inputs!$G$2:$T$2,0))</f>
        <v>0</v>
      </c>
      <c r="K296" s="139">
        <f t="array" ref="K296">INDEX(F_Inputs!$G$4:$T$381,MATCH(Data!$B296&amp;Data!K$6,F_Inputs!$A$4:$A$381&amp;F_Inputs!$B$4:$B$381,0),MATCH(Data!$C296,F_Inputs!$G$2:$T$2,0))</f>
        <v>0</v>
      </c>
      <c r="L296" s="139">
        <f t="array" ref="L296">INDEX(F_Inputs!$G$4:$T$381,MATCH(Data!$B296&amp;Data!L$6,F_Inputs!$A$4:$A$381&amp;F_Inputs!$B$4:$B$381,0),MATCH(Data!$C296,F_Inputs!$G$2:$T$2,0))</f>
        <v>0</v>
      </c>
      <c r="N296" s="139">
        <f t="array" ref="N296">INDEX(F_Inputs!$G$4:$T$381,MATCH(Data!$B296&amp;Data!N$6,F_Inputs!$A$4:$A$381&amp;F_Inputs!$B$4:$B$381,0),MATCH(Data!$C296,F_Inputs!$G$2:$T$2,0))</f>
        <v>26.044</v>
      </c>
      <c r="O296" s="144"/>
      <c r="P296" s="139">
        <f t="array" ref="P296">INDEX(F_Inputs!$G$4:$T$381,MATCH(Data!$B296&amp;Data!P$6,F_Inputs!$A$4:$A$381&amp;F_Inputs!$B$4:$B$381,0),MATCH(Data!$C296,F_Inputs!$G$2:$T$2,0))</f>
        <v>0</v>
      </c>
      <c r="Q296" s="139">
        <f t="array" ref="Q296">INDEX(F_Inputs!$G$4:$T$381,MATCH(Data!$B296&amp;Data!Q$6,F_Inputs!$A$4:$A$381&amp;F_Inputs!$B$4:$B$381,0),MATCH(Data!$C296,F_Inputs!$G$2:$T$2,0))</f>
        <v>0</v>
      </c>
      <c r="R296" s="139">
        <f t="array" ref="R296">INDEX(F_Inputs!$G$4:$T$381,MATCH(Data!$B296&amp;Data!R$6,F_Inputs!$A$4:$A$381&amp;F_Inputs!$B$4:$B$381,0),MATCH(Data!$C296,F_Inputs!$G$2:$T$2,0))</f>
        <v>0.43561845266001198</v>
      </c>
      <c r="S296" s="139">
        <f t="array" ref="S296">INDEX(F_Inputs!$G$4:$T$381,MATCH(Data!$B296&amp;Data!S$6,F_Inputs!$A$4:$A$381&amp;F_Inputs!$B$4:$B$381,0),MATCH(Data!$C296,F_Inputs!$G$2:$T$2,0))</f>
        <v>0.43561845266001198</v>
      </c>
      <c r="U296" s="139">
        <f t="array" ref="U296">INDEX(F_Inputs!$G$4:$T$381,MATCH(Data!$B296&amp;Data!U$6,F_Inputs!$A$4:$A$381&amp;F_Inputs!$B$4:$B$381,0),MATCH(Data!$C296,F_Inputs!$G$2:$T$2,0))</f>
        <v>12.3347334010293</v>
      </c>
      <c r="V296" s="139">
        <f t="array" ref="V296">INDEX(F_Inputs!$G$4:$T$381,MATCH(Data!$B296&amp;Data!V$6,F_Inputs!$A$4:$A$381&amp;F_Inputs!$B$4:$B$381,0),MATCH(Data!$C296,F_Inputs!$G$2:$T$2,0))</f>
        <v>2701.5137800000002</v>
      </c>
      <c r="W296" s="139">
        <f t="array" ref="W296">INDEX(F_Inputs!$G$4:$T$381,MATCH(Data!$B296&amp;Data!W$6,F_Inputs!$A$4:$A$381&amp;F_Inputs!$B$4:$B$381,0),MATCH(Data!$C296,F_Inputs!$G$2:$T$2,0))</f>
        <v>107.53322751677401</v>
      </c>
    </row>
    <row r="297" spans="1:23" x14ac:dyDescent="0.2">
      <c r="D297" s="147"/>
      <c r="H297" s="271"/>
      <c r="I297" s="147"/>
      <c r="N297" s="102"/>
      <c r="P297" s="102"/>
      <c r="Q297" s="102"/>
      <c r="R297" s="102"/>
      <c r="S297" s="102"/>
      <c r="U297" s="276"/>
      <c r="V297" s="277"/>
      <c r="W297" s="277"/>
    </row>
    <row r="299" spans="1:23" x14ac:dyDescent="0.2">
      <c r="D299" s="146"/>
      <c r="E299" s="102">
        <v>1001.3430093373396</v>
      </c>
      <c r="G299" s="102">
        <v>1527.5500498458348</v>
      </c>
      <c r="I299" s="146"/>
      <c r="J299" s="275">
        <v>45.072518307225423</v>
      </c>
      <c r="K299" s="146"/>
      <c r="L299" s="275">
        <v>304.23210795253084</v>
      </c>
      <c r="N299" s="102">
        <v>66767.856551205041</v>
      </c>
      <c r="P299" s="102">
        <v>309.09602541071808</v>
      </c>
      <c r="Q299" s="102">
        <v>243.60602541071799</v>
      </c>
      <c r="R299" s="102">
        <v>1032.8962947640532</v>
      </c>
      <c r="S299" s="102">
        <v>1122.0971218817967</v>
      </c>
      <c r="U299" s="276">
        <v>23965.323442278906</v>
      </c>
      <c r="V299" s="276">
        <v>2836822.7192412489</v>
      </c>
      <c r="W299" s="276">
        <v>218940.72669009809</v>
      </c>
    </row>
    <row r="300" spans="1:23" ht="15" x14ac:dyDescent="0.25">
      <c r="B300" s="308"/>
      <c r="C300" s="308"/>
      <c r="D300" s="308"/>
      <c r="E300" s="308"/>
      <c r="F300" s="308"/>
      <c r="G300" s="308"/>
      <c r="H300" s="308"/>
      <c r="I300" s="308"/>
      <c r="J300" s="308"/>
      <c r="K300" s="308"/>
      <c r="L300" s="308"/>
    </row>
    <row r="301" spans="1:23" ht="15" x14ac:dyDescent="0.25">
      <c r="B301" s="308"/>
      <c r="C301" s="308"/>
      <c r="D301" s="308"/>
      <c r="E301" s="308"/>
      <c r="F301" s="308"/>
      <c r="G301" s="308"/>
      <c r="H301" s="308"/>
      <c r="I301" s="308"/>
      <c r="J301" s="308"/>
      <c r="K301" s="308"/>
      <c r="L301" s="308"/>
    </row>
    <row r="302" spans="1:23" ht="15" x14ac:dyDescent="0.25">
      <c r="B302" s="308"/>
      <c r="C302" s="308"/>
      <c r="D302" s="308"/>
      <c r="E302" s="308"/>
      <c r="F302" s="308"/>
      <c r="G302" s="308"/>
      <c r="H302" s="308"/>
      <c r="I302" s="308"/>
      <c r="J302" s="308"/>
      <c r="K302" s="308"/>
      <c r="L302" s="308"/>
    </row>
    <row r="303" spans="1:23" ht="15" x14ac:dyDescent="0.25">
      <c r="B303" s="308"/>
      <c r="C303" s="308"/>
      <c r="D303" s="308"/>
      <c r="E303" s="308"/>
      <c r="F303" s="308"/>
      <c r="G303" s="308"/>
      <c r="H303" s="308"/>
      <c r="I303" s="308"/>
      <c r="J303" s="308"/>
      <c r="K303" s="308"/>
      <c r="L303" s="308"/>
    </row>
    <row r="304" spans="1:23" ht="15" x14ac:dyDescent="0.25">
      <c r="B304" s="308"/>
      <c r="C304" s="308"/>
      <c r="D304" s="308"/>
      <c r="E304" s="308"/>
      <c r="F304" s="308"/>
      <c r="G304" s="308"/>
      <c r="H304" s="308"/>
      <c r="I304" s="308"/>
      <c r="J304" s="308"/>
      <c r="K304" s="308"/>
      <c r="L304" s="308"/>
    </row>
    <row r="305" spans="2:12" ht="15" x14ac:dyDescent="0.25">
      <c r="B305" s="308"/>
      <c r="C305" s="308"/>
      <c r="D305" s="308"/>
      <c r="E305" s="308"/>
      <c r="F305" s="308"/>
      <c r="G305" s="308"/>
      <c r="H305" s="308"/>
      <c r="I305" s="308"/>
      <c r="J305" s="308"/>
      <c r="K305" s="308"/>
      <c r="L305" s="308"/>
    </row>
    <row r="306" spans="2:12" ht="15" x14ac:dyDescent="0.25">
      <c r="B306" s="308"/>
      <c r="C306" s="308"/>
      <c r="D306" s="308"/>
      <c r="E306" s="308"/>
      <c r="F306" s="308"/>
      <c r="G306" s="308"/>
      <c r="H306" s="308"/>
      <c r="I306" s="308"/>
      <c r="J306" s="308"/>
      <c r="K306" s="308"/>
      <c r="L306" s="308"/>
    </row>
    <row r="307" spans="2:12" ht="15" x14ac:dyDescent="0.25">
      <c r="B307" s="308"/>
      <c r="C307" s="308"/>
      <c r="D307" s="308"/>
      <c r="E307" s="308"/>
      <c r="F307" s="308"/>
      <c r="G307" s="308"/>
      <c r="H307" s="308"/>
      <c r="I307" s="308"/>
      <c r="J307" s="308"/>
      <c r="K307" s="308"/>
      <c r="L307" s="308"/>
    </row>
    <row r="308" spans="2:12" ht="15" x14ac:dyDescent="0.25">
      <c r="B308" s="308"/>
      <c r="C308" s="308"/>
      <c r="D308" s="308"/>
      <c r="E308" s="308"/>
      <c r="F308" s="308"/>
      <c r="G308" s="308"/>
      <c r="H308" s="308"/>
      <c r="I308" s="308"/>
      <c r="J308" s="308"/>
      <c r="K308" s="308"/>
      <c r="L308" s="308"/>
    </row>
    <row r="309" spans="2:12" ht="15" x14ac:dyDescent="0.25">
      <c r="B309" s="308"/>
      <c r="C309" s="308"/>
      <c r="D309" s="308"/>
      <c r="E309" s="308"/>
      <c r="F309" s="308"/>
      <c r="G309" s="308"/>
      <c r="H309" s="308"/>
      <c r="I309" s="308"/>
      <c r="J309" s="308"/>
      <c r="K309" s="308"/>
      <c r="L309" s="308"/>
    </row>
    <row r="310" spans="2:12" ht="15" x14ac:dyDescent="0.25">
      <c r="B310" s="308"/>
      <c r="C310" s="308"/>
      <c r="D310" s="308"/>
      <c r="E310" s="308"/>
      <c r="F310" s="308"/>
      <c r="G310" s="308"/>
      <c r="H310" s="308"/>
      <c r="I310" s="308"/>
      <c r="J310" s="308"/>
      <c r="K310" s="308"/>
      <c r="L310" s="308"/>
    </row>
    <row r="311" spans="2:12" ht="15" x14ac:dyDescent="0.25">
      <c r="B311" s="308"/>
      <c r="C311" s="308"/>
      <c r="D311" s="308"/>
      <c r="E311" s="308"/>
      <c r="F311" s="308"/>
      <c r="G311" s="308"/>
      <c r="H311" s="308"/>
      <c r="I311" s="308"/>
      <c r="J311" s="308"/>
      <c r="K311" s="308"/>
      <c r="L311" s="308"/>
    </row>
    <row r="312" spans="2:12" ht="15" x14ac:dyDescent="0.25">
      <c r="B312" s="308"/>
      <c r="C312" s="308"/>
      <c r="D312" s="308"/>
      <c r="E312" s="308"/>
      <c r="F312" s="308"/>
      <c r="G312" s="308"/>
      <c r="H312" s="308"/>
      <c r="I312" s="308"/>
      <c r="J312" s="308"/>
      <c r="K312" s="308"/>
      <c r="L312" s="308"/>
    </row>
    <row r="313" spans="2:12" ht="15" x14ac:dyDescent="0.25">
      <c r="B313" s="308"/>
      <c r="C313" s="308"/>
      <c r="D313" s="308"/>
      <c r="E313" s="308"/>
      <c r="F313" s="308"/>
      <c r="G313" s="308"/>
      <c r="H313" s="308"/>
      <c r="I313" s="308"/>
      <c r="J313" s="308"/>
      <c r="K313" s="308"/>
      <c r="L313" s="308"/>
    </row>
    <row r="314" spans="2:12" ht="15" x14ac:dyDescent="0.25">
      <c r="B314" s="308"/>
      <c r="C314" s="308"/>
      <c r="D314" s="308"/>
      <c r="E314" s="308"/>
      <c r="F314" s="308"/>
      <c r="G314" s="308"/>
      <c r="H314" s="308"/>
      <c r="I314" s="308"/>
      <c r="J314" s="308"/>
      <c r="K314" s="308"/>
      <c r="L314" s="308"/>
    </row>
    <row r="315" spans="2:12" ht="15" x14ac:dyDescent="0.25">
      <c r="B315" s="308"/>
      <c r="C315" s="308"/>
      <c r="D315" s="308"/>
      <c r="E315" s="308"/>
      <c r="F315" s="308"/>
      <c r="G315" s="308"/>
      <c r="H315" s="308"/>
      <c r="I315" s="308"/>
      <c r="J315" s="308"/>
      <c r="K315" s="308"/>
      <c r="L315" s="308"/>
    </row>
    <row r="316" spans="2:12" ht="15" x14ac:dyDescent="0.25">
      <c r="B316" s="308"/>
      <c r="C316" s="308"/>
      <c r="D316" s="308"/>
      <c r="E316" s="308"/>
      <c r="F316" s="308"/>
      <c r="G316" s="308"/>
      <c r="H316" s="308"/>
      <c r="I316" s="308"/>
      <c r="J316" s="308"/>
      <c r="K316" s="308"/>
      <c r="L316" s="308"/>
    </row>
    <row r="317" spans="2:12" ht="15" x14ac:dyDescent="0.25">
      <c r="B317" s="308"/>
      <c r="C317" s="308"/>
      <c r="D317" s="308"/>
      <c r="E317" s="308"/>
      <c r="F317" s="308"/>
      <c r="G317" s="308"/>
      <c r="H317" s="308"/>
      <c r="I317" s="308"/>
      <c r="J317" s="308"/>
      <c r="K317" s="308"/>
      <c r="L317" s="308"/>
    </row>
    <row r="318" spans="2:12" ht="15" x14ac:dyDescent="0.25">
      <c r="B318" s="308"/>
      <c r="C318" s="308"/>
      <c r="D318" s="308"/>
      <c r="E318" s="308"/>
      <c r="F318" s="308"/>
      <c r="G318" s="308"/>
      <c r="H318" s="308"/>
      <c r="I318" s="308"/>
      <c r="J318" s="308"/>
      <c r="K318" s="308"/>
      <c r="L318" s="308"/>
    </row>
    <row r="319" spans="2:12" ht="15" x14ac:dyDescent="0.25">
      <c r="B319" s="308"/>
      <c r="C319" s="308"/>
      <c r="D319" s="308"/>
      <c r="E319" s="308"/>
      <c r="F319" s="308"/>
      <c r="G319" s="308"/>
      <c r="H319" s="308"/>
      <c r="I319" s="308"/>
      <c r="J319" s="308"/>
      <c r="K319" s="308"/>
      <c r="L319" s="308"/>
    </row>
    <row r="320" spans="2:12" ht="15" x14ac:dyDescent="0.25">
      <c r="B320" s="308"/>
      <c r="C320" s="308"/>
      <c r="D320" s="308"/>
      <c r="E320" s="308"/>
      <c r="F320" s="308"/>
      <c r="G320" s="308"/>
      <c r="H320" s="308"/>
      <c r="I320" s="308"/>
      <c r="J320" s="308"/>
      <c r="K320" s="308"/>
      <c r="L320" s="308"/>
    </row>
    <row r="321" spans="2:12" ht="15" x14ac:dyDescent="0.25">
      <c r="B321" s="308"/>
      <c r="C321" s="308"/>
      <c r="D321" s="308"/>
      <c r="E321" s="308"/>
      <c r="F321" s="308"/>
      <c r="G321" s="308"/>
      <c r="H321" s="308"/>
      <c r="I321" s="308"/>
      <c r="J321" s="308"/>
      <c r="K321" s="308"/>
      <c r="L321" s="308"/>
    </row>
    <row r="322" spans="2:12" ht="15" x14ac:dyDescent="0.25">
      <c r="B322" s="308"/>
      <c r="C322" s="308"/>
      <c r="D322" s="308"/>
      <c r="E322" s="308"/>
      <c r="F322" s="308"/>
      <c r="G322" s="308"/>
      <c r="H322" s="308"/>
      <c r="I322" s="308"/>
      <c r="J322" s="308"/>
      <c r="K322" s="308"/>
      <c r="L322" s="308"/>
    </row>
    <row r="323" spans="2:12" ht="15" x14ac:dyDescent="0.25">
      <c r="B323" s="308"/>
      <c r="C323" s="308"/>
      <c r="D323" s="308"/>
      <c r="E323" s="308"/>
      <c r="F323" s="308"/>
      <c r="G323" s="308"/>
      <c r="H323" s="308"/>
      <c r="I323" s="308"/>
      <c r="J323" s="308"/>
      <c r="K323" s="308"/>
      <c r="L323" s="308"/>
    </row>
    <row r="324" spans="2:12" ht="15" x14ac:dyDescent="0.25">
      <c r="B324" s="308"/>
      <c r="C324" s="308"/>
      <c r="D324" s="308"/>
      <c r="E324" s="308"/>
      <c r="F324" s="308"/>
      <c r="G324" s="308"/>
      <c r="H324" s="308"/>
      <c r="I324" s="308"/>
      <c r="J324" s="308"/>
      <c r="K324" s="308"/>
      <c r="L324" s="308"/>
    </row>
    <row r="325" spans="2:12" ht="15" x14ac:dyDescent="0.25">
      <c r="B325" s="308"/>
      <c r="C325" s="308"/>
      <c r="D325" s="308"/>
      <c r="E325" s="308"/>
      <c r="F325" s="308"/>
      <c r="G325" s="308"/>
      <c r="H325" s="308"/>
      <c r="I325" s="308"/>
      <c r="J325" s="308"/>
      <c r="K325" s="308"/>
      <c r="L325" s="308"/>
    </row>
    <row r="326" spans="2:12" ht="15" x14ac:dyDescent="0.25">
      <c r="B326" s="308"/>
      <c r="C326" s="308"/>
      <c r="D326" s="308"/>
      <c r="E326" s="308"/>
      <c r="F326" s="308"/>
      <c r="G326" s="308"/>
      <c r="H326" s="308"/>
      <c r="I326" s="308"/>
      <c r="J326" s="308"/>
      <c r="K326" s="308"/>
      <c r="L326" s="308"/>
    </row>
    <row r="327" spans="2:12" ht="15" x14ac:dyDescent="0.25">
      <c r="B327" s="308"/>
      <c r="C327" s="308"/>
      <c r="D327" s="308"/>
      <c r="E327" s="308"/>
      <c r="F327" s="308"/>
      <c r="G327" s="308"/>
      <c r="H327" s="308"/>
      <c r="I327" s="308"/>
      <c r="J327" s="308"/>
      <c r="K327" s="308"/>
      <c r="L327" s="308"/>
    </row>
    <row r="328" spans="2:12" ht="15" x14ac:dyDescent="0.25">
      <c r="B328" s="308"/>
      <c r="C328" s="308"/>
      <c r="D328" s="308"/>
      <c r="E328" s="308"/>
      <c r="F328" s="308"/>
      <c r="G328" s="308"/>
      <c r="H328" s="308"/>
      <c r="I328" s="308"/>
      <c r="J328" s="308"/>
      <c r="K328" s="308"/>
      <c r="L328" s="308"/>
    </row>
    <row r="329" spans="2:12" ht="15" x14ac:dyDescent="0.25">
      <c r="B329" s="308"/>
      <c r="C329" s="308"/>
      <c r="D329" s="308"/>
      <c r="E329" s="308"/>
      <c r="F329" s="308"/>
      <c r="G329" s="308"/>
      <c r="H329" s="308"/>
      <c r="I329" s="308"/>
      <c r="J329" s="308"/>
      <c r="K329" s="308"/>
      <c r="L329" s="308"/>
    </row>
    <row r="330" spans="2:12" ht="15" x14ac:dyDescent="0.25">
      <c r="B330" s="308"/>
      <c r="C330" s="308"/>
      <c r="D330" s="308"/>
      <c r="E330" s="308"/>
      <c r="F330" s="308"/>
      <c r="G330" s="308"/>
      <c r="H330" s="308"/>
      <c r="I330" s="308"/>
      <c r="J330" s="308"/>
      <c r="K330" s="308"/>
      <c r="L330" s="308"/>
    </row>
    <row r="331" spans="2:12" ht="15" x14ac:dyDescent="0.25">
      <c r="B331" s="308"/>
      <c r="C331" s="308"/>
      <c r="D331" s="308"/>
      <c r="E331" s="308"/>
      <c r="F331" s="308"/>
      <c r="G331" s="308"/>
      <c r="H331" s="308"/>
      <c r="I331" s="308"/>
      <c r="J331" s="308"/>
      <c r="K331" s="308"/>
      <c r="L331" s="308"/>
    </row>
    <row r="332" spans="2:12" ht="15" x14ac:dyDescent="0.25">
      <c r="B332" s="308"/>
      <c r="C332" s="308"/>
      <c r="D332" s="308"/>
      <c r="E332" s="308"/>
      <c r="F332" s="308"/>
      <c r="G332" s="308"/>
      <c r="H332" s="308"/>
      <c r="I332" s="308"/>
      <c r="J332" s="308"/>
      <c r="K332" s="308"/>
      <c r="L332" s="308"/>
    </row>
    <row r="333" spans="2:12" ht="15" x14ac:dyDescent="0.25">
      <c r="B333" s="308"/>
      <c r="C333" s="308"/>
      <c r="D333" s="308"/>
      <c r="E333" s="308"/>
      <c r="F333" s="308"/>
      <c r="G333" s="308"/>
      <c r="H333" s="308"/>
      <c r="I333" s="308"/>
      <c r="J333" s="308"/>
      <c r="K333" s="308"/>
      <c r="L333" s="308"/>
    </row>
    <row r="334" spans="2:12" ht="15" x14ac:dyDescent="0.25">
      <c r="B334" s="308"/>
      <c r="C334" s="308"/>
      <c r="D334" s="308"/>
      <c r="E334" s="308"/>
      <c r="F334" s="308"/>
      <c r="G334" s="308"/>
      <c r="H334" s="308"/>
      <c r="I334" s="308"/>
      <c r="J334" s="308"/>
      <c r="K334" s="308"/>
      <c r="L334" s="308"/>
    </row>
    <row r="335" spans="2:12" ht="15" x14ac:dyDescent="0.25">
      <c r="B335" s="308"/>
      <c r="C335" s="308"/>
      <c r="D335" s="308"/>
      <c r="E335" s="308"/>
      <c r="F335" s="308"/>
      <c r="G335" s="308"/>
      <c r="H335" s="308"/>
      <c r="I335" s="308"/>
      <c r="J335" s="308"/>
      <c r="K335" s="308"/>
      <c r="L335" s="308"/>
    </row>
    <row r="336" spans="2:12" ht="15" x14ac:dyDescent="0.25">
      <c r="B336" s="308"/>
      <c r="C336" s="308"/>
      <c r="D336" s="308"/>
      <c r="E336" s="308"/>
      <c r="F336" s="308"/>
      <c r="G336" s="308"/>
      <c r="H336" s="308"/>
      <c r="I336" s="308"/>
      <c r="J336" s="308"/>
      <c r="K336" s="308"/>
      <c r="L336" s="308"/>
    </row>
    <row r="337" spans="2:12" ht="15" x14ac:dyDescent="0.25">
      <c r="B337" s="308"/>
      <c r="C337" s="308"/>
      <c r="D337" s="308"/>
      <c r="E337" s="308"/>
      <c r="F337" s="308"/>
      <c r="G337" s="308"/>
      <c r="H337" s="308"/>
      <c r="I337" s="308"/>
      <c r="J337" s="308"/>
      <c r="K337" s="308"/>
      <c r="L337" s="308"/>
    </row>
    <row r="338" spans="2:12" ht="15" x14ac:dyDescent="0.25">
      <c r="B338" s="308"/>
      <c r="C338" s="308"/>
      <c r="D338" s="308"/>
      <c r="E338" s="308"/>
      <c r="F338" s="308"/>
      <c r="G338" s="308"/>
      <c r="H338" s="308"/>
      <c r="I338" s="308"/>
      <c r="J338" s="308"/>
      <c r="K338" s="308"/>
      <c r="L338" s="308"/>
    </row>
    <row r="339" spans="2:12" ht="15" x14ac:dyDescent="0.25">
      <c r="B339" s="308"/>
      <c r="C339" s="308"/>
      <c r="D339" s="308"/>
      <c r="E339" s="308"/>
      <c r="F339" s="308"/>
      <c r="G339" s="308"/>
      <c r="H339" s="308"/>
      <c r="I339" s="308"/>
      <c r="J339" s="308"/>
      <c r="K339" s="308"/>
      <c r="L339" s="308"/>
    </row>
    <row r="340" spans="2:12" ht="15" x14ac:dyDescent="0.25">
      <c r="B340" s="308"/>
      <c r="C340" s="308"/>
      <c r="D340" s="308"/>
      <c r="E340" s="308"/>
      <c r="F340" s="308"/>
      <c r="G340" s="308"/>
      <c r="H340" s="308"/>
      <c r="I340" s="308"/>
      <c r="J340" s="308"/>
      <c r="K340" s="308"/>
      <c r="L340" s="308"/>
    </row>
    <row r="341" spans="2:12" ht="15" x14ac:dyDescent="0.25">
      <c r="B341" s="308"/>
      <c r="C341" s="308"/>
      <c r="D341" s="308"/>
      <c r="E341" s="308"/>
      <c r="F341" s="308"/>
      <c r="G341" s="308"/>
      <c r="H341" s="308"/>
      <c r="I341" s="308"/>
      <c r="J341" s="308"/>
      <c r="K341" s="308"/>
      <c r="L341" s="308"/>
    </row>
    <row r="342" spans="2:12" ht="15" x14ac:dyDescent="0.25">
      <c r="B342" s="308"/>
      <c r="C342" s="308"/>
      <c r="D342" s="308"/>
      <c r="E342" s="308"/>
      <c r="F342" s="308"/>
      <c r="G342" s="308"/>
      <c r="H342" s="308"/>
      <c r="I342" s="308"/>
      <c r="J342" s="308"/>
      <c r="K342" s="308"/>
      <c r="L342" s="308"/>
    </row>
    <row r="343" spans="2:12" ht="15" x14ac:dyDescent="0.25">
      <c r="B343" s="308"/>
      <c r="C343" s="308"/>
      <c r="D343" s="308"/>
      <c r="E343" s="308"/>
      <c r="F343" s="308"/>
      <c r="G343" s="308"/>
      <c r="H343" s="308"/>
      <c r="I343" s="308"/>
      <c r="J343" s="308"/>
      <c r="K343" s="308"/>
      <c r="L343" s="308"/>
    </row>
    <row r="344" spans="2:12" ht="15" x14ac:dyDescent="0.25">
      <c r="B344" s="308"/>
      <c r="C344" s="308"/>
      <c r="D344" s="308"/>
      <c r="E344" s="308"/>
      <c r="F344" s="308"/>
      <c r="G344" s="308"/>
      <c r="H344" s="308"/>
      <c r="I344" s="308"/>
      <c r="J344" s="308"/>
      <c r="K344" s="308"/>
      <c r="L344" s="308"/>
    </row>
    <row r="345" spans="2:12" ht="15" x14ac:dyDescent="0.25">
      <c r="B345" s="308"/>
      <c r="C345" s="308"/>
      <c r="D345" s="308"/>
      <c r="E345" s="308"/>
      <c r="F345" s="308"/>
      <c r="G345" s="308"/>
      <c r="H345" s="308"/>
      <c r="I345" s="308"/>
      <c r="J345" s="308"/>
      <c r="K345" s="308"/>
      <c r="L345" s="308"/>
    </row>
    <row r="346" spans="2:12" ht="15" x14ac:dyDescent="0.25">
      <c r="B346" s="308"/>
      <c r="C346" s="308"/>
      <c r="D346" s="308"/>
      <c r="E346" s="308"/>
      <c r="F346" s="308"/>
      <c r="G346" s="308"/>
      <c r="H346" s="308"/>
      <c r="I346" s="308"/>
      <c r="J346" s="308"/>
      <c r="K346" s="308"/>
      <c r="L346" s="308"/>
    </row>
    <row r="347" spans="2:12" ht="15" x14ac:dyDescent="0.25">
      <c r="B347" s="308"/>
      <c r="C347" s="308"/>
      <c r="D347" s="308"/>
      <c r="E347" s="308"/>
      <c r="F347" s="308"/>
      <c r="G347" s="308"/>
      <c r="H347" s="308"/>
      <c r="I347" s="308"/>
      <c r="J347" s="308"/>
      <c r="K347" s="308"/>
      <c r="L347" s="308"/>
    </row>
    <row r="348" spans="2:12" ht="15" x14ac:dyDescent="0.25">
      <c r="B348" s="308"/>
      <c r="C348" s="308"/>
      <c r="D348" s="308"/>
      <c r="E348" s="308"/>
      <c r="F348" s="308"/>
      <c r="G348" s="308"/>
      <c r="H348" s="308"/>
      <c r="I348" s="308"/>
      <c r="J348" s="308"/>
      <c r="K348" s="308"/>
      <c r="L348" s="308"/>
    </row>
    <row r="349" spans="2:12" ht="15" x14ac:dyDescent="0.25">
      <c r="B349" s="308"/>
      <c r="C349" s="308"/>
      <c r="D349" s="308"/>
      <c r="E349" s="308"/>
      <c r="F349" s="308"/>
      <c r="G349" s="308"/>
      <c r="H349" s="308"/>
      <c r="I349" s="308"/>
      <c r="J349" s="308"/>
      <c r="K349" s="308"/>
      <c r="L349" s="308"/>
    </row>
    <row r="350" spans="2:12" ht="15" x14ac:dyDescent="0.25">
      <c r="B350" s="308"/>
      <c r="C350" s="308"/>
      <c r="D350" s="308"/>
      <c r="E350" s="308"/>
      <c r="F350" s="308"/>
      <c r="G350" s="308"/>
      <c r="H350" s="308"/>
      <c r="I350" s="308"/>
      <c r="J350" s="308"/>
      <c r="K350" s="308"/>
      <c r="L350" s="308"/>
    </row>
    <row r="351" spans="2:12" ht="15" x14ac:dyDescent="0.25">
      <c r="B351" s="308"/>
      <c r="C351" s="308"/>
      <c r="D351" s="308"/>
      <c r="E351" s="308"/>
      <c r="F351" s="308"/>
      <c r="G351" s="308"/>
      <c r="H351" s="308"/>
      <c r="I351" s="308"/>
      <c r="J351" s="308"/>
      <c r="K351" s="308"/>
      <c r="L351" s="308"/>
    </row>
    <row r="352" spans="2:12" ht="15" x14ac:dyDescent="0.25">
      <c r="B352" s="308"/>
      <c r="C352" s="308"/>
      <c r="D352" s="308"/>
      <c r="E352" s="308"/>
      <c r="F352" s="308"/>
      <c r="G352" s="308"/>
      <c r="H352" s="308"/>
      <c r="I352" s="308"/>
      <c r="J352" s="308"/>
      <c r="K352" s="308"/>
      <c r="L352" s="308"/>
    </row>
    <row r="353" spans="2:12" ht="15" x14ac:dyDescent="0.25">
      <c r="B353" s="308"/>
      <c r="C353" s="308"/>
      <c r="D353" s="308"/>
      <c r="E353" s="308"/>
      <c r="F353" s="308"/>
      <c r="G353" s="308"/>
      <c r="H353" s="308"/>
      <c r="I353" s="308"/>
      <c r="J353" s="308"/>
      <c r="K353" s="308"/>
      <c r="L353" s="308"/>
    </row>
    <row r="354" spans="2:12" ht="15" x14ac:dyDescent="0.25">
      <c r="B354" s="308"/>
      <c r="C354" s="308"/>
      <c r="D354" s="308"/>
      <c r="E354" s="308"/>
      <c r="F354" s="308"/>
      <c r="G354" s="308"/>
      <c r="H354" s="308"/>
      <c r="I354" s="308"/>
      <c r="J354" s="308"/>
      <c r="K354" s="308"/>
      <c r="L354" s="308"/>
    </row>
    <row r="355" spans="2:12" ht="15" x14ac:dyDescent="0.25">
      <c r="B355" s="308"/>
      <c r="C355" s="308"/>
      <c r="D355" s="308"/>
      <c r="E355" s="308"/>
      <c r="F355" s="308"/>
      <c r="G355" s="308"/>
      <c r="H355" s="308"/>
      <c r="I355" s="308"/>
      <c r="J355" s="308"/>
      <c r="K355" s="308"/>
      <c r="L355" s="308"/>
    </row>
    <row r="356" spans="2:12" ht="15" x14ac:dyDescent="0.25">
      <c r="B356" s="308"/>
      <c r="C356" s="308"/>
      <c r="D356" s="308"/>
      <c r="E356" s="308"/>
      <c r="F356" s="308"/>
      <c r="G356" s="308"/>
      <c r="H356" s="308"/>
      <c r="I356" s="308"/>
      <c r="J356" s="308"/>
      <c r="K356" s="308"/>
      <c r="L356" s="308"/>
    </row>
    <row r="357" spans="2:12" ht="15" x14ac:dyDescent="0.25">
      <c r="B357" s="308"/>
      <c r="C357" s="308"/>
      <c r="D357" s="308"/>
      <c r="E357" s="308"/>
      <c r="F357" s="308"/>
      <c r="G357" s="308"/>
      <c r="H357" s="308"/>
      <c r="I357" s="308"/>
      <c r="J357" s="308"/>
      <c r="K357" s="308"/>
      <c r="L357" s="308"/>
    </row>
    <row r="358" spans="2:12" ht="15" x14ac:dyDescent="0.25">
      <c r="B358" s="308"/>
      <c r="C358" s="308"/>
      <c r="D358" s="308"/>
      <c r="E358" s="308"/>
      <c r="F358" s="308"/>
      <c r="G358" s="308"/>
      <c r="H358" s="308"/>
      <c r="I358" s="308"/>
      <c r="J358" s="308"/>
      <c r="K358" s="308"/>
      <c r="L358" s="308"/>
    </row>
    <row r="359" spans="2:12" ht="15" x14ac:dyDescent="0.25">
      <c r="B359" s="308"/>
      <c r="C359" s="308"/>
      <c r="D359" s="308"/>
      <c r="E359" s="308"/>
      <c r="F359" s="308"/>
      <c r="G359" s="308"/>
      <c r="H359" s="308"/>
      <c r="I359" s="308"/>
      <c r="J359" s="308"/>
      <c r="K359" s="308"/>
      <c r="L359" s="308"/>
    </row>
    <row r="360" spans="2:12" ht="15" x14ac:dyDescent="0.25">
      <c r="B360" s="308"/>
      <c r="C360" s="308"/>
      <c r="D360" s="308"/>
      <c r="E360" s="308"/>
      <c r="F360" s="308"/>
      <c r="G360" s="308"/>
      <c r="H360" s="308"/>
      <c r="I360" s="308"/>
      <c r="J360" s="308"/>
      <c r="K360" s="308"/>
      <c r="L360" s="308"/>
    </row>
    <row r="361" spans="2:12" ht="15" x14ac:dyDescent="0.25">
      <c r="B361" s="308"/>
      <c r="C361" s="308"/>
      <c r="D361" s="308"/>
      <c r="E361" s="308"/>
      <c r="F361" s="308"/>
      <c r="G361" s="308"/>
      <c r="H361" s="308"/>
      <c r="I361" s="308"/>
      <c r="J361" s="308"/>
      <c r="K361" s="308"/>
      <c r="L361" s="308"/>
    </row>
    <row r="362" spans="2:12" ht="15" x14ac:dyDescent="0.25">
      <c r="B362" s="308"/>
      <c r="C362" s="308"/>
      <c r="D362" s="308"/>
      <c r="E362" s="308"/>
      <c r="F362" s="308"/>
      <c r="G362" s="308"/>
      <c r="H362" s="308"/>
      <c r="I362" s="308"/>
      <c r="J362" s="308"/>
      <c r="K362" s="308"/>
      <c r="L362" s="308"/>
    </row>
    <row r="363" spans="2:12" ht="15" x14ac:dyDescent="0.25">
      <c r="B363" s="308"/>
      <c r="C363" s="308"/>
      <c r="D363" s="308"/>
      <c r="E363" s="308"/>
      <c r="F363" s="308"/>
      <c r="G363" s="308"/>
      <c r="H363" s="308"/>
      <c r="I363" s="308"/>
      <c r="J363" s="308"/>
      <c r="K363" s="308"/>
      <c r="L363" s="308"/>
    </row>
    <row r="364" spans="2:12" ht="15" x14ac:dyDescent="0.25">
      <c r="B364" s="308"/>
      <c r="C364" s="308"/>
      <c r="D364" s="308"/>
      <c r="E364" s="308"/>
      <c r="F364" s="308"/>
      <c r="G364" s="308"/>
      <c r="H364" s="308"/>
      <c r="I364" s="308"/>
      <c r="J364" s="308"/>
      <c r="K364" s="308"/>
      <c r="L364" s="308"/>
    </row>
    <row r="365" spans="2:12" ht="15" x14ac:dyDescent="0.25">
      <c r="B365" s="308"/>
      <c r="C365" s="308"/>
      <c r="D365" s="308"/>
      <c r="E365" s="308"/>
      <c r="F365" s="308"/>
      <c r="G365" s="308"/>
      <c r="H365" s="308"/>
      <c r="I365" s="308"/>
      <c r="J365" s="308"/>
      <c r="K365" s="308"/>
      <c r="L365" s="308"/>
    </row>
    <row r="366" spans="2:12" ht="15" x14ac:dyDescent="0.25">
      <c r="B366" s="308"/>
      <c r="C366" s="308"/>
      <c r="D366" s="308"/>
      <c r="E366" s="308"/>
      <c r="F366" s="308"/>
      <c r="G366" s="308"/>
      <c r="H366" s="308"/>
      <c r="I366" s="308"/>
      <c r="J366" s="308"/>
      <c r="K366" s="308"/>
      <c r="L366" s="308"/>
    </row>
    <row r="367" spans="2:12" ht="15" x14ac:dyDescent="0.25">
      <c r="B367" s="308"/>
      <c r="C367" s="308"/>
      <c r="D367" s="308"/>
      <c r="E367" s="308"/>
      <c r="F367" s="308"/>
      <c r="G367" s="308"/>
      <c r="H367" s="308"/>
      <c r="I367" s="308"/>
      <c r="J367" s="308"/>
      <c r="K367" s="308"/>
      <c r="L367" s="308"/>
    </row>
    <row r="368" spans="2:12" ht="15" x14ac:dyDescent="0.25">
      <c r="B368" s="308"/>
      <c r="C368" s="308"/>
      <c r="D368" s="308"/>
      <c r="E368" s="308"/>
      <c r="F368" s="308"/>
      <c r="G368" s="308"/>
      <c r="H368" s="308"/>
      <c r="I368" s="308"/>
      <c r="J368" s="308"/>
      <c r="K368" s="308"/>
      <c r="L368" s="308"/>
    </row>
    <row r="369" spans="2:12" ht="15" x14ac:dyDescent="0.25">
      <c r="B369" s="308"/>
      <c r="C369" s="308"/>
      <c r="D369" s="308"/>
      <c r="E369" s="308"/>
      <c r="F369" s="308"/>
      <c r="G369" s="308"/>
      <c r="H369" s="308"/>
      <c r="I369" s="308"/>
      <c r="J369" s="308"/>
      <c r="K369" s="308"/>
      <c r="L369" s="308"/>
    </row>
    <row r="370" spans="2:12" ht="15" x14ac:dyDescent="0.25">
      <c r="B370" s="308"/>
      <c r="C370" s="308"/>
      <c r="D370" s="308"/>
      <c r="E370" s="308"/>
      <c r="F370" s="308"/>
      <c r="G370" s="308"/>
      <c r="H370" s="308"/>
      <c r="I370" s="308"/>
      <c r="J370" s="308"/>
      <c r="K370" s="308"/>
      <c r="L370" s="308"/>
    </row>
    <row r="371" spans="2:12" ht="15" x14ac:dyDescent="0.25">
      <c r="B371" s="308"/>
      <c r="C371" s="308"/>
      <c r="D371" s="308"/>
      <c r="E371" s="308"/>
      <c r="F371" s="308"/>
      <c r="G371" s="308"/>
      <c r="H371" s="308"/>
      <c r="I371" s="308"/>
      <c r="J371" s="308"/>
      <c r="K371" s="308"/>
      <c r="L371" s="308"/>
    </row>
    <row r="372" spans="2:12" ht="15" x14ac:dyDescent="0.25">
      <c r="B372" s="308"/>
      <c r="C372" s="308"/>
      <c r="D372" s="308"/>
      <c r="E372" s="308"/>
      <c r="F372" s="308"/>
      <c r="G372" s="308"/>
      <c r="H372" s="308"/>
      <c r="I372" s="308"/>
      <c r="J372" s="308"/>
      <c r="K372" s="308"/>
      <c r="L372" s="308"/>
    </row>
    <row r="373" spans="2:12" ht="15" x14ac:dyDescent="0.25">
      <c r="B373" s="308"/>
      <c r="C373" s="308"/>
      <c r="D373" s="308"/>
      <c r="E373" s="308"/>
      <c r="F373" s="308"/>
      <c r="G373" s="308"/>
      <c r="H373" s="308"/>
      <c r="I373" s="308"/>
      <c r="J373" s="308"/>
      <c r="K373" s="308"/>
      <c r="L373" s="308"/>
    </row>
    <row r="374" spans="2:12" ht="15" x14ac:dyDescent="0.25">
      <c r="B374" s="308"/>
      <c r="C374" s="308"/>
      <c r="D374" s="308"/>
      <c r="E374" s="308"/>
      <c r="F374" s="308"/>
      <c r="G374" s="308"/>
      <c r="H374" s="308"/>
      <c r="I374" s="308"/>
      <c r="J374" s="308"/>
      <c r="K374" s="308"/>
      <c r="L374" s="308"/>
    </row>
    <row r="375" spans="2:12" ht="15" x14ac:dyDescent="0.25">
      <c r="B375" s="308"/>
      <c r="C375" s="308"/>
      <c r="D375" s="308"/>
      <c r="E375" s="308"/>
      <c r="F375" s="308"/>
      <c r="G375" s="308"/>
      <c r="H375" s="308"/>
      <c r="I375" s="308"/>
      <c r="J375" s="308"/>
      <c r="K375" s="308"/>
      <c r="L375" s="308"/>
    </row>
    <row r="376" spans="2:12" ht="15" x14ac:dyDescent="0.25">
      <c r="B376" s="308"/>
      <c r="C376" s="308"/>
      <c r="D376" s="308"/>
      <c r="E376" s="308"/>
      <c r="F376" s="308"/>
      <c r="G376" s="308"/>
      <c r="H376" s="308"/>
      <c r="I376" s="308"/>
      <c r="J376" s="308"/>
      <c r="K376" s="308"/>
      <c r="L376" s="308"/>
    </row>
    <row r="377" spans="2:12" ht="15" x14ac:dyDescent="0.25">
      <c r="B377" s="308"/>
      <c r="C377" s="308"/>
      <c r="D377" s="308"/>
      <c r="E377" s="308"/>
      <c r="F377" s="308"/>
      <c r="G377" s="308"/>
      <c r="H377" s="308"/>
      <c r="I377" s="308"/>
      <c r="J377" s="308"/>
      <c r="K377" s="308"/>
      <c r="L377" s="308"/>
    </row>
    <row r="378" spans="2:12" ht="15" x14ac:dyDescent="0.25">
      <c r="B378" s="308"/>
      <c r="C378" s="308"/>
      <c r="D378" s="308"/>
      <c r="E378" s="308"/>
      <c r="F378" s="308"/>
      <c r="G378" s="308"/>
      <c r="H378" s="308"/>
      <c r="I378" s="308"/>
      <c r="J378" s="308"/>
      <c r="K378" s="308"/>
      <c r="L378" s="308"/>
    </row>
    <row r="379" spans="2:12" ht="15" x14ac:dyDescent="0.25">
      <c r="B379" s="308"/>
      <c r="C379" s="308"/>
      <c r="D379" s="308"/>
      <c r="E379" s="308"/>
      <c r="F379" s="308"/>
      <c r="G379" s="308"/>
      <c r="H379" s="308"/>
      <c r="I379" s="308"/>
      <c r="J379" s="308"/>
      <c r="K379" s="308"/>
      <c r="L379" s="308"/>
    </row>
    <row r="380" spans="2:12" ht="15" x14ac:dyDescent="0.25">
      <c r="B380" s="308"/>
      <c r="C380" s="308"/>
      <c r="D380" s="308"/>
      <c r="E380" s="308"/>
      <c r="F380" s="308"/>
      <c r="G380" s="308"/>
      <c r="H380" s="308"/>
      <c r="I380" s="308"/>
      <c r="J380" s="308"/>
      <c r="K380" s="308"/>
      <c r="L380" s="308"/>
    </row>
    <row r="381" spans="2:12" ht="15" x14ac:dyDescent="0.25">
      <c r="B381" s="308"/>
      <c r="C381" s="308"/>
      <c r="D381" s="308"/>
      <c r="E381" s="308"/>
      <c r="F381" s="308"/>
      <c r="G381" s="308"/>
      <c r="H381" s="308"/>
      <c r="I381" s="308"/>
      <c r="J381" s="308"/>
      <c r="K381" s="308"/>
      <c r="L381" s="308"/>
    </row>
    <row r="382" spans="2:12" ht="15" x14ac:dyDescent="0.25">
      <c r="B382" s="308"/>
      <c r="C382" s="308"/>
      <c r="D382" s="308"/>
      <c r="E382" s="308"/>
      <c r="F382" s="308"/>
      <c r="G382" s="308"/>
      <c r="H382" s="308"/>
      <c r="I382" s="308"/>
      <c r="J382" s="308"/>
      <c r="K382" s="308"/>
      <c r="L382" s="308"/>
    </row>
    <row r="383" spans="2:12" ht="15" x14ac:dyDescent="0.25">
      <c r="B383" s="308"/>
      <c r="C383" s="308"/>
      <c r="D383" s="308"/>
      <c r="E383" s="308"/>
      <c r="F383" s="308"/>
      <c r="G383" s="308"/>
      <c r="H383" s="308"/>
      <c r="I383" s="308"/>
      <c r="J383" s="308"/>
      <c r="K383" s="308"/>
      <c r="L383" s="308"/>
    </row>
    <row r="384" spans="2:12" ht="15" x14ac:dyDescent="0.25">
      <c r="B384" s="308"/>
      <c r="C384" s="308"/>
      <c r="D384" s="308"/>
      <c r="E384" s="308"/>
      <c r="F384" s="308"/>
      <c r="G384" s="308"/>
      <c r="H384" s="308"/>
      <c r="I384" s="308"/>
      <c r="J384" s="308"/>
      <c r="K384" s="308"/>
      <c r="L384" s="308"/>
    </row>
    <row r="385" spans="2:12" ht="15" x14ac:dyDescent="0.25">
      <c r="B385" s="308"/>
      <c r="C385" s="308"/>
      <c r="D385" s="308"/>
      <c r="E385" s="308"/>
      <c r="F385" s="308"/>
      <c r="G385" s="308"/>
      <c r="H385" s="308"/>
      <c r="I385" s="308"/>
      <c r="J385" s="308"/>
      <c r="K385" s="308"/>
      <c r="L385" s="308"/>
    </row>
    <row r="386" spans="2:12" ht="15" x14ac:dyDescent="0.25">
      <c r="B386" s="308"/>
      <c r="C386" s="308"/>
      <c r="D386" s="308"/>
      <c r="E386" s="308"/>
      <c r="F386" s="308"/>
      <c r="G386" s="308"/>
      <c r="H386" s="308"/>
      <c r="I386" s="308"/>
      <c r="J386" s="308"/>
      <c r="K386" s="308"/>
      <c r="L386" s="308"/>
    </row>
    <row r="387" spans="2:12" ht="15" x14ac:dyDescent="0.25">
      <c r="B387" s="308"/>
      <c r="C387" s="308"/>
      <c r="D387" s="308"/>
      <c r="E387" s="308"/>
      <c r="F387" s="308"/>
      <c r="G387" s="308"/>
      <c r="H387" s="308"/>
      <c r="I387" s="308"/>
      <c r="J387" s="308"/>
      <c r="K387" s="308"/>
      <c r="L387" s="308"/>
    </row>
    <row r="388" spans="2:12" ht="15" x14ac:dyDescent="0.25">
      <c r="B388" s="308"/>
      <c r="C388" s="308"/>
      <c r="D388" s="308"/>
      <c r="E388" s="308"/>
      <c r="F388" s="308"/>
      <c r="G388" s="308"/>
      <c r="H388" s="308"/>
      <c r="I388" s="308"/>
      <c r="J388" s="308"/>
      <c r="K388" s="308"/>
      <c r="L388" s="308"/>
    </row>
    <row r="389" spans="2:12" ht="15" x14ac:dyDescent="0.25">
      <c r="B389" s="308"/>
      <c r="C389" s="308"/>
      <c r="D389" s="308"/>
      <c r="E389" s="308"/>
      <c r="F389" s="308"/>
      <c r="G389" s="308"/>
      <c r="H389" s="308"/>
      <c r="I389" s="308"/>
      <c r="J389" s="308"/>
      <c r="K389" s="308"/>
      <c r="L389" s="308"/>
    </row>
    <row r="390" spans="2:12" ht="15" x14ac:dyDescent="0.25">
      <c r="B390" s="308"/>
      <c r="C390" s="308"/>
      <c r="D390" s="308"/>
      <c r="E390" s="308"/>
      <c r="F390" s="308"/>
      <c r="G390" s="308"/>
      <c r="H390" s="308"/>
      <c r="I390" s="308"/>
      <c r="J390" s="308"/>
      <c r="K390" s="308"/>
      <c r="L390" s="308"/>
    </row>
    <row r="391" spans="2:12" ht="15" x14ac:dyDescent="0.25">
      <c r="B391" s="308"/>
      <c r="C391" s="308"/>
      <c r="D391" s="308"/>
      <c r="E391" s="308"/>
      <c r="F391" s="308"/>
      <c r="G391" s="308"/>
      <c r="H391" s="308"/>
      <c r="I391" s="308"/>
      <c r="J391" s="308"/>
      <c r="K391" s="308"/>
      <c r="L391" s="308"/>
    </row>
    <row r="392" spans="2:12" ht="15" x14ac:dyDescent="0.25">
      <c r="B392" s="308"/>
      <c r="C392" s="308"/>
      <c r="D392" s="308"/>
      <c r="E392" s="308"/>
      <c r="F392" s="308"/>
      <c r="G392" s="308"/>
      <c r="H392" s="308"/>
      <c r="I392" s="308"/>
      <c r="J392" s="308"/>
      <c r="K392" s="308"/>
      <c r="L392" s="308"/>
    </row>
    <row r="393" spans="2:12" ht="15" x14ac:dyDescent="0.25">
      <c r="B393" s="308"/>
      <c r="C393" s="308"/>
      <c r="D393" s="308"/>
      <c r="E393" s="308"/>
      <c r="F393" s="308"/>
      <c r="G393" s="308"/>
      <c r="H393" s="308"/>
      <c r="I393" s="308"/>
      <c r="J393" s="308"/>
      <c r="K393" s="308"/>
      <c r="L393" s="308"/>
    </row>
    <row r="394" spans="2:12" ht="15" x14ac:dyDescent="0.25">
      <c r="B394" s="308"/>
      <c r="C394" s="308"/>
      <c r="D394" s="308"/>
      <c r="E394" s="308"/>
      <c r="F394" s="308"/>
      <c r="G394" s="308"/>
      <c r="H394" s="308"/>
      <c r="I394" s="308"/>
      <c r="J394" s="308"/>
      <c r="K394" s="308"/>
      <c r="L394" s="308"/>
    </row>
    <row r="395" spans="2:12" ht="15" x14ac:dyDescent="0.25">
      <c r="B395" s="308"/>
      <c r="C395" s="308"/>
      <c r="D395" s="308"/>
      <c r="E395" s="308"/>
      <c r="F395" s="308"/>
      <c r="G395" s="308"/>
      <c r="H395" s="308"/>
      <c r="I395" s="308"/>
      <c r="J395" s="308"/>
      <c r="K395" s="308"/>
      <c r="L395" s="308"/>
    </row>
    <row r="396" spans="2:12" ht="15" x14ac:dyDescent="0.25">
      <c r="B396" s="308"/>
      <c r="C396" s="308"/>
      <c r="D396" s="308"/>
      <c r="E396" s="308"/>
      <c r="F396" s="308"/>
      <c r="G396" s="308"/>
      <c r="H396" s="308"/>
      <c r="I396" s="308"/>
      <c r="J396" s="308"/>
      <c r="K396" s="308"/>
      <c r="L396" s="308"/>
    </row>
    <row r="397" spans="2:12" ht="15" x14ac:dyDescent="0.25">
      <c r="B397" s="308"/>
      <c r="C397" s="308"/>
      <c r="D397" s="308"/>
      <c r="E397" s="308"/>
      <c r="F397" s="308"/>
      <c r="G397" s="308"/>
      <c r="H397" s="308"/>
      <c r="I397" s="308"/>
      <c r="J397" s="308"/>
      <c r="K397" s="308"/>
      <c r="L397" s="308"/>
    </row>
    <row r="398" spans="2:12" ht="15" x14ac:dyDescent="0.25">
      <c r="B398" s="308"/>
      <c r="C398" s="308"/>
      <c r="D398" s="308"/>
      <c r="E398" s="308"/>
      <c r="F398" s="308"/>
      <c r="G398" s="308"/>
      <c r="H398" s="308"/>
      <c r="I398" s="308"/>
      <c r="J398" s="308"/>
      <c r="K398" s="308"/>
      <c r="L398" s="308"/>
    </row>
    <row r="399" spans="2:12" ht="15" x14ac:dyDescent="0.25">
      <c r="B399" s="308"/>
      <c r="C399" s="308"/>
      <c r="D399" s="308"/>
      <c r="E399" s="308"/>
      <c r="F399" s="308"/>
      <c r="G399" s="308"/>
      <c r="H399" s="308"/>
      <c r="I399" s="308"/>
      <c r="J399" s="308"/>
      <c r="K399" s="308"/>
      <c r="L399" s="308"/>
    </row>
    <row r="400" spans="2:12" ht="15" x14ac:dyDescent="0.25">
      <c r="B400" s="308"/>
      <c r="C400" s="308"/>
      <c r="D400" s="308"/>
      <c r="E400" s="308"/>
      <c r="F400" s="308"/>
      <c r="G400" s="308"/>
      <c r="H400" s="308"/>
      <c r="I400" s="308"/>
      <c r="J400" s="308"/>
      <c r="K400" s="308"/>
      <c r="L400" s="308"/>
    </row>
    <row r="401" spans="2:12" ht="15" x14ac:dyDescent="0.25">
      <c r="B401" s="308"/>
      <c r="C401" s="308"/>
      <c r="D401" s="308"/>
      <c r="E401" s="308"/>
      <c r="F401" s="308"/>
      <c r="G401" s="308"/>
      <c r="H401" s="308"/>
      <c r="I401" s="308"/>
      <c r="J401" s="308"/>
      <c r="K401" s="308"/>
      <c r="L401" s="308"/>
    </row>
    <row r="402" spans="2:12" ht="15" x14ac:dyDescent="0.25">
      <c r="B402" s="308"/>
      <c r="C402" s="308"/>
      <c r="D402" s="308"/>
      <c r="E402" s="308"/>
      <c r="F402" s="308"/>
      <c r="G402" s="308"/>
      <c r="H402" s="308"/>
      <c r="I402" s="308"/>
      <c r="J402" s="308"/>
      <c r="K402" s="308"/>
      <c r="L402" s="308"/>
    </row>
    <row r="403" spans="2:12" ht="15" x14ac:dyDescent="0.25">
      <c r="B403" s="308"/>
      <c r="C403" s="308"/>
      <c r="D403" s="308"/>
      <c r="E403" s="308"/>
      <c r="F403" s="308"/>
      <c r="G403" s="308"/>
      <c r="H403" s="308"/>
      <c r="I403" s="308"/>
      <c r="J403" s="308"/>
      <c r="K403" s="308"/>
      <c r="L403" s="308"/>
    </row>
    <row r="404" spans="2:12" ht="15" x14ac:dyDescent="0.25">
      <c r="B404" s="308"/>
      <c r="C404" s="308"/>
      <c r="D404" s="308"/>
      <c r="E404" s="308"/>
      <c r="F404" s="308"/>
      <c r="G404" s="308"/>
      <c r="H404" s="308"/>
      <c r="I404" s="308"/>
      <c r="J404" s="308"/>
      <c r="K404" s="308"/>
      <c r="L404" s="308"/>
    </row>
    <row r="405" spans="2:12" ht="15" x14ac:dyDescent="0.25">
      <c r="B405" s="308"/>
      <c r="C405" s="308"/>
      <c r="D405" s="308"/>
      <c r="E405" s="308"/>
      <c r="F405" s="308"/>
      <c r="G405" s="308"/>
      <c r="H405" s="308"/>
      <c r="I405" s="308"/>
      <c r="J405" s="308"/>
      <c r="K405" s="308"/>
      <c r="L405" s="308"/>
    </row>
    <row r="406" spans="2:12" ht="15" x14ac:dyDescent="0.25">
      <c r="B406" s="308"/>
      <c r="C406" s="308"/>
      <c r="D406" s="308"/>
      <c r="E406" s="308"/>
      <c r="F406" s="308"/>
      <c r="G406" s="308"/>
      <c r="H406" s="308"/>
      <c r="I406" s="308"/>
      <c r="J406" s="308"/>
      <c r="K406" s="308"/>
      <c r="L406" s="308"/>
    </row>
    <row r="407" spans="2:12" ht="15" x14ac:dyDescent="0.25">
      <c r="B407" s="308"/>
      <c r="C407" s="308"/>
      <c r="D407" s="308"/>
      <c r="E407" s="308"/>
      <c r="F407" s="308"/>
      <c r="G407" s="308"/>
      <c r="H407" s="308"/>
      <c r="I407" s="308"/>
      <c r="J407" s="308"/>
      <c r="K407" s="308"/>
      <c r="L407" s="308"/>
    </row>
    <row r="408" spans="2:12" ht="15" x14ac:dyDescent="0.25">
      <c r="B408" s="308"/>
      <c r="C408" s="308"/>
      <c r="D408" s="308"/>
      <c r="E408" s="308"/>
      <c r="F408" s="308"/>
      <c r="G408" s="308"/>
      <c r="H408" s="308"/>
      <c r="I408" s="308"/>
      <c r="J408" s="308"/>
      <c r="K408" s="308"/>
      <c r="L408" s="308"/>
    </row>
    <row r="409" spans="2:12" ht="15" x14ac:dyDescent="0.25">
      <c r="B409" s="308"/>
      <c r="C409" s="308"/>
      <c r="D409" s="308"/>
      <c r="E409" s="308"/>
      <c r="F409" s="308"/>
      <c r="G409" s="308"/>
      <c r="H409" s="308"/>
      <c r="I409" s="308"/>
      <c r="J409" s="308"/>
      <c r="K409" s="308"/>
      <c r="L409" s="308"/>
    </row>
    <row r="410" spans="2:12" ht="15" x14ac:dyDescent="0.25">
      <c r="B410" s="308"/>
      <c r="C410" s="308"/>
      <c r="D410" s="308"/>
      <c r="E410" s="308"/>
      <c r="F410" s="308"/>
      <c r="G410" s="308"/>
      <c r="H410" s="308"/>
      <c r="I410" s="308"/>
      <c r="J410" s="308"/>
      <c r="K410" s="308"/>
      <c r="L410" s="308"/>
    </row>
    <row r="411" spans="2:12" ht="15" x14ac:dyDescent="0.25">
      <c r="B411" s="308"/>
      <c r="C411" s="308"/>
      <c r="D411" s="308"/>
      <c r="E411" s="308"/>
      <c r="F411" s="308"/>
      <c r="G411" s="308"/>
      <c r="H411" s="308"/>
      <c r="I411" s="308"/>
      <c r="J411" s="308"/>
      <c r="K411" s="308"/>
      <c r="L411" s="308"/>
    </row>
    <row r="412" spans="2:12" ht="15" x14ac:dyDescent="0.25">
      <c r="B412" s="308"/>
      <c r="C412" s="308"/>
      <c r="D412" s="308"/>
      <c r="E412" s="308"/>
      <c r="F412" s="308"/>
      <c r="G412" s="308"/>
      <c r="H412" s="308"/>
      <c r="I412" s="308"/>
      <c r="J412" s="308"/>
      <c r="K412" s="308"/>
      <c r="L412" s="308"/>
    </row>
    <row r="413" spans="2:12" ht="15" x14ac:dyDescent="0.25">
      <c r="B413" s="308"/>
      <c r="C413" s="308"/>
      <c r="D413" s="308"/>
      <c r="E413" s="308"/>
      <c r="F413" s="308"/>
      <c r="G413" s="308"/>
      <c r="H413" s="308"/>
      <c r="I413" s="308"/>
      <c r="J413" s="308"/>
      <c r="K413" s="308"/>
      <c r="L413" s="308"/>
    </row>
    <row r="414" spans="2:12" ht="15" x14ac:dyDescent="0.25">
      <c r="B414" s="308"/>
      <c r="C414" s="308"/>
      <c r="D414" s="308"/>
      <c r="E414" s="308"/>
      <c r="F414" s="308"/>
      <c r="G414" s="308"/>
      <c r="H414" s="308"/>
      <c r="I414" s="308"/>
      <c r="J414" s="308"/>
      <c r="K414" s="308"/>
      <c r="L414" s="308"/>
    </row>
    <row r="415" spans="2:12" ht="15" x14ac:dyDescent="0.25">
      <c r="B415" s="308"/>
      <c r="C415" s="308"/>
      <c r="D415" s="308"/>
      <c r="E415" s="308"/>
      <c r="F415" s="308"/>
      <c r="G415" s="308"/>
      <c r="H415" s="308"/>
      <c r="I415" s="308"/>
      <c r="J415" s="308"/>
      <c r="K415" s="308"/>
      <c r="L415" s="308"/>
    </row>
    <row r="416" spans="2:12" ht="15" x14ac:dyDescent="0.25">
      <c r="B416" s="308"/>
      <c r="C416" s="308"/>
      <c r="D416" s="308"/>
      <c r="E416" s="308"/>
      <c r="F416" s="308"/>
      <c r="G416" s="308"/>
      <c r="H416" s="308"/>
      <c r="I416" s="308"/>
      <c r="J416" s="308"/>
      <c r="K416" s="308"/>
      <c r="L416" s="308"/>
    </row>
    <row r="417" spans="2:12" ht="15" x14ac:dyDescent="0.25">
      <c r="B417" s="308"/>
      <c r="C417" s="308"/>
      <c r="D417" s="308"/>
      <c r="E417" s="308"/>
      <c r="F417" s="308"/>
      <c r="G417" s="308"/>
      <c r="H417" s="308"/>
      <c r="I417" s="308"/>
      <c r="J417" s="308"/>
      <c r="K417" s="308"/>
      <c r="L417" s="308"/>
    </row>
    <row r="418" spans="2:12" ht="15" x14ac:dyDescent="0.25">
      <c r="B418" s="308"/>
      <c r="C418" s="308"/>
      <c r="D418" s="308"/>
      <c r="E418" s="308"/>
      <c r="F418" s="308"/>
      <c r="G418" s="308"/>
      <c r="H418" s="308"/>
      <c r="I418" s="308"/>
      <c r="J418" s="308"/>
      <c r="K418" s="308"/>
      <c r="L418" s="308"/>
    </row>
    <row r="419" spans="2:12" ht="15" x14ac:dyDescent="0.25">
      <c r="B419" s="308"/>
      <c r="C419" s="308"/>
      <c r="D419" s="308"/>
      <c r="E419" s="308"/>
      <c r="F419" s="308"/>
      <c r="G419" s="308"/>
      <c r="H419" s="308"/>
      <c r="I419" s="308"/>
      <c r="J419" s="308"/>
      <c r="K419" s="308"/>
      <c r="L419" s="308"/>
    </row>
    <row r="420" spans="2:12" ht="15" x14ac:dyDescent="0.25">
      <c r="B420" s="308"/>
      <c r="C420" s="308"/>
      <c r="D420" s="308"/>
      <c r="E420" s="308"/>
      <c r="F420" s="308"/>
      <c r="G420" s="308"/>
      <c r="H420" s="308"/>
      <c r="I420" s="308"/>
      <c r="J420" s="308"/>
      <c r="K420" s="308"/>
      <c r="L420" s="308"/>
    </row>
    <row r="421" spans="2:12" ht="15" x14ac:dyDescent="0.25">
      <c r="B421" s="308"/>
      <c r="C421" s="308"/>
      <c r="D421" s="308"/>
      <c r="E421" s="308"/>
      <c r="F421" s="308"/>
      <c r="G421" s="308"/>
      <c r="H421" s="308"/>
      <c r="I421" s="308"/>
      <c r="J421" s="308"/>
      <c r="K421" s="308"/>
      <c r="L421" s="308"/>
    </row>
    <row r="422" spans="2:12" ht="15" x14ac:dyDescent="0.25">
      <c r="B422" s="308"/>
      <c r="C422" s="308"/>
      <c r="D422" s="308"/>
      <c r="E422" s="308"/>
      <c r="F422" s="308"/>
      <c r="G422" s="308"/>
      <c r="H422" s="308"/>
      <c r="I422" s="308"/>
      <c r="J422" s="308"/>
      <c r="K422" s="308"/>
      <c r="L422" s="308"/>
    </row>
    <row r="423" spans="2:12" ht="15" x14ac:dyDescent="0.25">
      <c r="B423" s="308"/>
      <c r="C423" s="308"/>
      <c r="D423" s="308"/>
      <c r="E423" s="308"/>
      <c r="F423" s="308"/>
      <c r="G423" s="308"/>
      <c r="H423" s="308"/>
      <c r="I423" s="308"/>
      <c r="J423" s="308"/>
      <c r="K423" s="308"/>
      <c r="L423" s="308"/>
    </row>
    <row r="424" spans="2:12" ht="15" x14ac:dyDescent="0.25">
      <c r="B424" s="308"/>
      <c r="C424" s="308"/>
      <c r="D424" s="308"/>
      <c r="E424" s="308"/>
      <c r="F424" s="308"/>
      <c r="G424" s="308"/>
      <c r="H424" s="308"/>
      <c r="I424" s="308"/>
      <c r="J424" s="308"/>
      <c r="K424" s="308"/>
      <c r="L424" s="308"/>
    </row>
    <row r="425" spans="2:12" ht="15" x14ac:dyDescent="0.25">
      <c r="B425" s="308"/>
      <c r="C425" s="308"/>
      <c r="D425" s="308"/>
      <c r="E425" s="308"/>
      <c r="F425" s="308"/>
      <c r="G425" s="308"/>
      <c r="H425" s="308"/>
      <c r="I425" s="308"/>
      <c r="J425" s="308"/>
      <c r="K425" s="308"/>
      <c r="L425" s="308"/>
    </row>
    <row r="426" spans="2:12" ht="15" x14ac:dyDescent="0.25">
      <c r="B426" s="308"/>
      <c r="C426" s="308"/>
      <c r="D426" s="308"/>
      <c r="E426" s="308"/>
      <c r="F426" s="308"/>
      <c r="G426" s="308"/>
      <c r="H426" s="308"/>
      <c r="I426" s="308"/>
      <c r="J426" s="308"/>
      <c r="K426" s="308"/>
      <c r="L426" s="308"/>
    </row>
    <row r="427" spans="2:12" ht="15" x14ac:dyDescent="0.25">
      <c r="B427" s="308"/>
      <c r="C427" s="308"/>
      <c r="D427" s="308"/>
      <c r="E427" s="308"/>
      <c r="F427" s="308"/>
      <c r="G427" s="308"/>
      <c r="H427" s="308"/>
      <c r="I427" s="308"/>
      <c r="J427" s="308"/>
      <c r="K427" s="308"/>
      <c r="L427" s="308"/>
    </row>
    <row r="428" spans="2:12" ht="15" x14ac:dyDescent="0.25">
      <c r="B428" s="308"/>
      <c r="C428" s="308"/>
      <c r="D428" s="308"/>
      <c r="E428" s="308"/>
      <c r="F428" s="308"/>
      <c r="G428" s="308"/>
      <c r="H428" s="308"/>
      <c r="I428" s="308"/>
      <c r="J428" s="308"/>
      <c r="K428" s="308"/>
      <c r="L428" s="308"/>
    </row>
    <row r="429" spans="2:12" ht="15" x14ac:dyDescent="0.25">
      <c r="B429" s="308"/>
      <c r="C429" s="308"/>
      <c r="D429" s="308"/>
      <c r="E429" s="308"/>
      <c r="F429" s="308"/>
      <c r="G429" s="308"/>
      <c r="H429" s="308"/>
      <c r="I429" s="308"/>
      <c r="J429" s="308"/>
      <c r="K429" s="308"/>
      <c r="L429" s="308"/>
    </row>
    <row r="430" spans="2:12" ht="15" x14ac:dyDescent="0.25">
      <c r="B430" s="308"/>
      <c r="C430" s="308"/>
      <c r="D430" s="308"/>
      <c r="E430" s="308"/>
      <c r="F430" s="308"/>
      <c r="G430" s="308"/>
      <c r="H430" s="308"/>
      <c r="I430" s="308"/>
      <c r="J430" s="308"/>
      <c r="K430" s="308"/>
      <c r="L430" s="308"/>
    </row>
    <row r="431" spans="2:12" ht="15" x14ac:dyDescent="0.25">
      <c r="B431" s="308"/>
      <c r="C431" s="308"/>
      <c r="D431" s="308"/>
      <c r="E431" s="308"/>
      <c r="F431" s="308"/>
      <c r="G431" s="308"/>
      <c r="H431" s="308"/>
      <c r="I431" s="308"/>
      <c r="J431" s="308"/>
      <c r="K431" s="308"/>
      <c r="L431" s="308"/>
    </row>
    <row r="432" spans="2:12" ht="15" x14ac:dyDescent="0.25">
      <c r="B432" s="308"/>
      <c r="C432" s="308"/>
      <c r="D432" s="308"/>
      <c r="E432" s="308"/>
      <c r="F432" s="308"/>
      <c r="G432" s="308"/>
      <c r="H432" s="308"/>
      <c r="I432" s="308"/>
      <c r="J432" s="308"/>
      <c r="K432" s="308"/>
      <c r="L432" s="308"/>
    </row>
    <row r="433" spans="2:12" ht="15" x14ac:dyDescent="0.25">
      <c r="B433" s="308"/>
      <c r="C433" s="308"/>
      <c r="D433" s="308"/>
      <c r="E433" s="308"/>
      <c r="F433" s="308"/>
      <c r="G433" s="308"/>
      <c r="H433" s="308"/>
      <c r="I433" s="308"/>
      <c r="J433" s="308"/>
      <c r="K433" s="308"/>
      <c r="L433" s="308"/>
    </row>
    <row r="434" spans="2:12" ht="15" x14ac:dyDescent="0.25">
      <c r="B434" s="308"/>
      <c r="C434" s="308"/>
      <c r="D434" s="308"/>
      <c r="E434" s="308"/>
      <c r="F434" s="308"/>
      <c r="G434" s="308"/>
      <c r="H434" s="308"/>
      <c r="I434" s="308"/>
      <c r="J434" s="308"/>
      <c r="K434" s="308"/>
      <c r="L434" s="308"/>
    </row>
    <row r="435" spans="2:12" ht="15" x14ac:dyDescent="0.25">
      <c r="B435" s="308"/>
      <c r="C435" s="308"/>
      <c r="D435" s="308"/>
      <c r="E435" s="308"/>
      <c r="F435" s="308"/>
      <c r="G435" s="308"/>
      <c r="H435" s="308"/>
      <c r="I435" s="308"/>
      <c r="J435" s="308"/>
      <c r="K435" s="308"/>
      <c r="L435" s="308"/>
    </row>
    <row r="436" spans="2:12" ht="15" x14ac:dyDescent="0.25">
      <c r="B436" s="308"/>
      <c r="C436" s="308"/>
      <c r="D436" s="308"/>
      <c r="E436" s="308"/>
      <c r="F436" s="308"/>
      <c r="G436" s="308"/>
      <c r="H436" s="308"/>
      <c r="I436" s="308"/>
      <c r="J436" s="308"/>
      <c r="K436" s="308"/>
      <c r="L436" s="308"/>
    </row>
    <row r="437" spans="2:12" ht="15" x14ac:dyDescent="0.25">
      <c r="B437" s="308"/>
      <c r="C437" s="308"/>
      <c r="D437" s="308"/>
      <c r="E437" s="308"/>
      <c r="F437" s="308"/>
      <c r="G437" s="308"/>
      <c r="H437" s="308"/>
      <c r="I437" s="308"/>
      <c r="J437" s="308"/>
      <c r="K437" s="308"/>
      <c r="L437" s="308"/>
    </row>
    <row r="438" spans="2:12" ht="15" x14ac:dyDescent="0.25">
      <c r="B438" s="308"/>
      <c r="C438" s="308"/>
      <c r="D438" s="308"/>
      <c r="E438" s="308"/>
      <c r="F438" s="308"/>
      <c r="G438" s="308"/>
      <c r="H438" s="308"/>
      <c r="I438" s="308"/>
      <c r="J438" s="308"/>
      <c r="K438" s="308"/>
      <c r="L438" s="308"/>
    </row>
    <row r="439" spans="2:12" ht="15" x14ac:dyDescent="0.25">
      <c r="B439" s="308"/>
      <c r="C439" s="308"/>
      <c r="D439" s="308"/>
      <c r="E439" s="308"/>
      <c r="F439" s="308"/>
      <c r="G439" s="308"/>
      <c r="H439" s="308"/>
      <c r="I439" s="308"/>
      <c r="J439" s="308"/>
      <c r="K439" s="308"/>
      <c r="L439" s="308"/>
    </row>
    <row r="440" spans="2:12" ht="15" x14ac:dyDescent="0.25">
      <c r="B440" s="308"/>
      <c r="C440" s="308"/>
      <c r="D440" s="308"/>
      <c r="E440" s="308"/>
      <c r="F440" s="308"/>
      <c r="G440" s="308"/>
      <c r="H440" s="308"/>
      <c r="I440" s="308"/>
      <c r="J440" s="308"/>
      <c r="K440" s="308"/>
      <c r="L440" s="308"/>
    </row>
    <row r="441" spans="2:12" ht="15" x14ac:dyDescent="0.25">
      <c r="B441" s="308"/>
      <c r="C441" s="308"/>
      <c r="D441" s="308"/>
      <c r="E441" s="308"/>
      <c r="F441" s="308"/>
      <c r="G441" s="308"/>
      <c r="H441" s="308"/>
      <c r="I441" s="308"/>
      <c r="J441" s="308"/>
      <c r="K441" s="308"/>
      <c r="L441" s="308"/>
    </row>
    <row r="442" spans="2:12" ht="15" x14ac:dyDescent="0.25">
      <c r="B442" s="308"/>
      <c r="C442" s="308"/>
      <c r="D442" s="308"/>
      <c r="E442" s="308"/>
      <c r="F442" s="308"/>
      <c r="G442" s="308"/>
      <c r="H442" s="308"/>
      <c r="I442" s="308"/>
      <c r="J442" s="308"/>
      <c r="K442" s="308"/>
      <c r="L442" s="308"/>
    </row>
    <row r="443" spans="2:12" ht="15" x14ac:dyDescent="0.25">
      <c r="B443" s="308"/>
      <c r="C443" s="308"/>
      <c r="D443" s="308"/>
      <c r="E443" s="308"/>
      <c r="F443" s="308"/>
      <c r="G443" s="308"/>
      <c r="H443" s="308"/>
      <c r="I443" s="308"/>
      <c r="J443" s="308"/>
      <c r="K443" s="308"/>
      <c r="L443" s="308"/>
    </row>
    <row r="444" spans="2:12" ht="15" x14ac:dyDescent="0.25">
      <c r="B444" s="308"/>
      <c r="C444" s="308"/>
      <c r="D444" s="308"/>
      <c r="E444" s="308"/>
      <c r="F444" s="308"/>
      <c r="G444" s="308"/>
      <c r="H444" s="308"/>
      <c r="I444" s="308"/>
      <c r="J444" s="308"/>
      <c r="K444" s="308"/>
      <c r="L444" s="308"/>
    </row>
    <row r="445" spans="2:12" ht="15" x14ac:dyDescent="0.25">
      <c r="B445" s="308"/>
      <c r="C445" s="308"/>
      <c r="D445" s="308"/>
      <c r="E445" s="308"/>
      <c r="F445" s="308"/>
      <c r="G445" s="308"/>
      <c r="H445" s="308"/>
      <c r="I445" s="308"/>
      <c r="J445" s="308"/>
      <c r="K445" s="308"/>
      <c r="L445" s="308"/>
    </row>
    <row r="446" spans="2:12" ht="15" x14ac:dyDescent="0.25">
      <c r="B446" s="308"/>
      <c r="C446" s="308"/>
      <c r="D446" s="308"/>
      <c r="E446" s="308"/>
      <c r="F446" s="308"/>
      <c r="G446" s="308"/>
      <c r="H446" s="308"/>
      <c r="I446" s="308"/>
      <c r="J446" s="308"/>
      <c r="K446" s="308"/>
      <c r="L446" s="308"/>
    </row>
    <row r="447" spans="2:12" ht="15" x14ac:dyDescent="0.25">
      <c r="B447" s="308"/>
      <c r="C447" s="308"/>
      <c r="D447" s="308"/>
      <c r="E447" s="308"/>
      <c r="F447" s="308"/>
      <c r="G447" s="308"/>
      <c r="H447" s="308"/>
      <c r="I447" s="308"/>
      <c r="J447" s="308"/>
      <c r="K447" s="308"/>
      <c r="L447" s="308"/>
    </row>
    <row r="448" spans="2:12" ht="15" x14ac:dyDescent="0.25">
      <c r="B448" s="308"/>
      <c r="C448" s="308"/>
      <c r="D448" s="308"/>
      <c r="E448" s="308"/>
      <c r="F448" s="308"/>
      <c r="G448" s="308"/>
      <c r="H448" s="308"/>
      <c r="I448" s="308"/>
      <c r="J448" s="308"/>
      <c r="K448" s="308"/>
      <c r="L448" s="308"/>
    </row>
    <row r="449" spans="2:12" ht="15" x14ac:dyDescent="0.25">
      <c r="B449" s="308"/>
      <c r="C449" s="308"/>
      <c r="D449" s="308"/>
      <c r="E449" s="308"/>
      <c r="F449" s="308"/>
      <c r="G449" s="308"/>
      <c r="H449" s="308"/>
      <c r="I449" s="308"/>
      <c r="J449" s="308"/>
      <c r="K449" s="308"/>
      <c r="L449" s="308"/>
    </row>
    <row r="450" spans="2:12" ht="15" x14ac:dyDescent="0.25">
      <c r="B450" s="308"/>
      <c r="C450" s="308"/>
      <c r="D450" s="308"/>
      <c r="E450" s="308"/>
      <c r="F450" s="308"/>
      <c r="G450" s="308"/>
      <c r="H450" s="308"/>
      <c r="I450" s="308"/>
      <c r="J450" s="308"/>
      <c r="K450" s="308"/>
      <c r="L450" s="308"/>
    </row>
    <row r="451" spans="2:12" ht="15" x14ac:dyDescent="0.25">
      <c r="B451" s="308"/>
      <c r="C451" s="308"/>
      <c r="D451" s="308"/>
      <c r="E451" s="308"/>
      <c r="F451" s="308"/>
      <c r="G451" s="308"/>
      <c r="H451" s="308"/>
      <c r="I451" s="308"/>
      <c r="J451" s="308"/>
      <c r="K451" s="308"/>
      <c r="L451" s="308"/>
    </row>
    <row r="452" spans="2:12" ht="15" x14ac:dyDescent="0.25">
      <c r="B452" s="308"/>
      <c r="C452" s="308"/>
      <c r="D452" s="308"/>
      <c r="E452" s="308"/>
      <c r="F452" s="308"/>
      <c r="G452" s="308"/>
      <c r="H452" s="308"/>
      <c r="I452" s="308"/>
      <c r="J452" s="308"/>
      <c r="K452" s="308"/>
      <c r="L452" s="308"/>
    </row>
    <row r="453" spans="2:12" ht="15" x14ac:dyDescent="0.25">
      <c r="B453" s="308"/>
      <c r="C453" s="308"/>
      <c r="D453" s="308"/>
      <c r="E453" s="308"/>
      <c r="F453" s="308"/>
      <c r="G453" s="308"/>
      <c r="H453" s="308"/>
      <c r="I453" s="308"/>
      <c r="J453" s="308"/>
      <c r="K453" s="308"/>
      <c r="L453" s="308"/>
    </row>
    <row r="454" spans="2:12" ht="15" x14ac:dyDescent="0.25">
      <c r="B454" s="308"/>
      <c r="C454" s="308"/>
      <c r="D454" s="308"/>
      <c r="E454" s="308"/>
      <c r="F454" s="308"/>
      <c r="G454" s="308"/>
      <c r="H454" s="308"/>
      <c r="I454" s="308"/>
      <c r="J454" s="308"/>
      <c r="K454" s="308"/>
      <c r="L454" s="308"/>
    </row>
    <row r="455" spans="2:12" ht="15" x14ac:dyDescent="0.25">
      <c r="B455" s="308"/>
      <c r="C455" s="308"/>
      <c r="D455" s="308"/>
      <c r="E455" s="308"/>
      <c r="F455" s="308"/>
      <c r="G455" s="308"/>
      <c r="H455" s="308"/>
      <c r="I455" s="308"/>
      <c r="J455" s="308"/>
      <c r="K455" s="308"/>
      <c r="L455" s="308"/>
    </row>
    <row r="456" spans="2:12" ht="15" x14ac:dyDescent="0.25">
      <c r="B456" s="308"/>
      <c r="C456" s="308"/>
      <c r="D456" s="308"/>
      <c r="E456" s="308"/>
      <c r="F456" s="308"/>
      <c r="G456" s="308"/>
      <c r="H456" s="308"/>
      <c r="I456" s="308"/>
      <c r="J456" s="308"/>
      <c r="K456" s="308"/>
      <c r="L456" s="308"/>
    </row>
    <row r="457" spans="2:12" ht="15" x14ac:dyDescent="0.25">
      <c r="B457" s="308"/>
      <c r="C457" s="308"/>
      <c r="D457" s="308"/>
      <c r="E457" s="308"/>
      <c r="F457" s="308"/>
      <c r="G457" s="308"/>
      <c r="H457" s="308"/>
      <c r="I457" s="308"/>
      <c r="J457" s="308"/>
      <c r="K457" s="308"/>
      <c r="L457" s="308"/>
    </row>
    <row r="458" spans="2:12" ht="15" x14ac:dyDescent="0.25">
      <c r="B458" s="308"/>
      <c r="C458" s="308"/>
      <c r="D458" s="308"/>
      <c r="E458" s="308"/>
      <c r="F458" s="308"/>
      <c r="G458" s="308"/>
      <c r="H458" s="308"/>
      <c r="I458" s="308"/>
      <c r="J458" s="308"/>
      <c r="K458" s="308"/>
      <c r="L458" s="308"/>
    </row>
    <row r="459" spans="2:12" ht="15" x14ac:dyDescent="0.25">
      <c r="B459" s="308"/>
      <c r="C459" s="308"/>
      <c r="D459" s="308"/>
      <c r="E459" s="308"/>
      <c r="F459" s="308"/>
      <c r="G459" s="308"/>
      <c r="H459" s="308"/>
      <c r="I459" s="308"/>
      <c r="J459" s="308"/>
      <c r="K459" s="308"/>
      <c r="L459" s="308"/>
    </row>
    <row r="460" spans="2:12" ht="15" x14ac:dyDescent="0.25">
      <c r="B460" s="308"/>
      <c r="C460" s="308"/>
      <c r="D460" s="308"/>
      <c r="E460" s="308"/>
      <c r="F460" s="308"/>
      <c r="G460" s="308"/>
      <c r="H460" s="308"/>
      <c r="I460" s="308"/>
      <c r="J460" s="308"/>
      <c r="K460" s="308"/>
      <c r="L460" s="308"/>
    </row>
    <row r="461" spans="2:12" ht="15" x14ac:dyDescent="0.25">
      <c r="B461" s="308"/>
      <c r="C461" s="308"/>
      <c r="D461" s="308"/>
      <c r="E461" s="308"/>
      <c r="F461" s="308"/>
      <c r="G461" s="308"/>
      <c r="H461" s="308"/>
      <c r="I461" s="308"/>
      <c r="J461" s="308"/>
      <c r="K461" s="308"/>
      <c r="L461" s="308"/>
    </row>
    <row r="462" spans="2:12" ht="15" x14ac:dyDescent="0.25">
      <c r="B462" s="308"/>
      <c r="C462" s="308"/>
      <c r="D462" s="308"/>
      <c r="E462" s="308"/>
      <c r="F462" s="308"/>
      <c r="G462" s="308"/>
      <c r="H462" s="308"/>
      <c r="I462" s="308"/>
      <c r="J462" s="308"/>
      <c r="K462" s="308"/>
      <c r="L462" s="308"/>
    </row>
    <row r="463" spans="2:12" ht="15" x14ac:dyDescent="0.25">
      <c r="B463" s="308"/>
      <c r="C463" s="308"/>
      <c r="D463" s="308"/>
      <c r="E463" s="308"/>
      <c r="F463" s="308"/>
      <c r="G463" s="308"/>
      <c r="H463" s="308"/>
      <c r="I463" s="308"/>
      <c r="J463" s="308"/>
      <c r="K463" s="308"/>
      <c r="L463" s="308"/>
    </row>
    <row r="464" spans="2:12" ht="15" x14ac:dyDescent="0.25">
      <c r="B464" s="308"/>
      <c r="C464" s="308"/>
      <c r="D464" s="308"/>
      <c r="E464" s="308"/>
      <c r="F464" s="308"/>
      <c r="G464" s="308"/>
      <c r="H464" s="308"/>
      <c r="I464" s="308"/>
      <c r="J464" s="308"/>
      <c r="K464" s="308"/>
      <c r="L464" s="308"/>
    </row>
    <row r="465" spans="2:12" ht="15" x14ac:dyDescent="0.25">
      <c r="B465" s="308"/>
      <c r="C465" s="308"/>
      <c r="D465" s="308"/>
      <c r="E465" s="308"/>
      <c r="F465" s="308"/>
      <c r="G465" s="308"/>
      <c r="H465" s="308"/>
      <c r="I465" s="308"/>
      <c r="J465" s="308"/>
      <c r="K465" s="308"/>
      <c r="L465" s="308"/>
    </row>
    <row r="466" spans="2:12" ht="15" x14ac:dyDescent="0.25">
      <c r="B466" s="308"/>
      <c r="C466" s="308"/>
      <c r="D466" s="308"/>
      <c r="E466" s="308"/>
      <c r="F466" s="308"/>
      <c r="G466" s="308"/>
      <c r="H466" s="308"/>
      <c r="I466" s="308"/>
      <c r="J466" s="308"/>
      <c r="K466" s="308"/>
      <c r="L466" s="308"/>
    </row>
    <row r="467" spans="2:12" ht="15" x14ac:dyDescent="0.25">
      <c r="B467" s="308"/>
      <c r="C467" s="308"/>
      <c r="D467" s="308"/>
      <c r="E467" s="308"/>
      <c r="F467" s="308"/>
      <c r="G467" s="308"/>
      <c r="H467" s="308"/>
      <c r="I467" s="308"/>
      <c r="J467" s="308"/>
      <c r="K467" s="308"/>
      <c r="L467" s="308"/>
    </row>
    <row r="468" spans="2:12" ht="15" x14ac:dyDescent="0.25">
      <c r="B468" s="308"/>
      <c r="C468" s="308"/>
      <c r="D468" s="308"/>
      <c r="E468" s="308"/>
      <c r="F468" s="308"/>
      <c r="G468" s="308"/>
      <c r="H468" s="308"/>
      <c r="I468" s="308"/>
      <c r="J468" s="308"/>
      <c r="K468" s="308"/>
      <c r="L468" s="308"/>
    </row>
    <row r="469" spans="2:12" ht="15" x14ac:dyDescent="0.25">
      <c r="B469" s="308"/>
      <c r="C469" s="308"/>
      <c r="D469" s="308"/>
      <c r="E469" s="308"/>
      <c r="F469" s="308"/>
      <c r="G469" s="308"/>
      <c r="H469" s="308"/>
      <c r="I469" s="308"/>
      <c r="J469" s="308"/>
      <c r="K469" s="308"/>
      <c r="L469" s="308"/>
    </row>
    <row r="470" spans="2:12" ht="15" x14ac:dyDescent="0.25">
      <c r="B470" s="308"/>
      <c r="C470" s="308"/>
      <c r="D470" s="308"/>
      <c r="E470" s="308"/>
      <c r="F470" s="308"/>
      <c r="G470" s="308"/>
      <c r="H470" s="308"/>
      <c r="I470" s="308"/>
      <c r="J470" s="308"/>
      <c r="K470" s="308"/>
      <c r="L470" s="308"/>
    </row>
    <row r="471" spans="2:12" ht="15" x14ac:dyDescent="0.25">
      <c r="B471" s="308"/>
      <c r="C471" s="308"/>
      <c r="D471" s="308"/>
      <c r="E471" s="308"/>
      <c r="F471" s="308"/>
      <c r="G471" s="308"/>
      <c r="H471" s="308"/>
      <c r="I471" s="308"/>
      <c r="J471" s="308"/>
      <c r="K471" s="308"/>
      <c r="L471" s="308"/>
    </row>
    <row r="472" spans="2:12" ht="15" x14ac:dyDescent="0.25">
      <c r="B472" s="308"/>
      <c r="C472" s="308"/>
      <c r="D472" s="308"/>
      <c r="E472" s="308"/>
      <c r="F472" s="308"/>
      <c r="G472" s="308"/>
      <c r="H472" s="308"/>
      <c r="I472" s="308"/>
      <c r="J472" s="308"/>
      <c r="K472" s="308"/>
      <c r="L472" s="308"/>
    </row>
    <row r="473" spans="2:12" ht="15" x14ac:dyDescent="0.25">
      <c r="B473" s="308"/>
      <c r="C473" s="308"/>
      <c r="D473" s="308"/>
      <c r="E473" s="308"/>
      <c r="F473" s="308"/>
      <c r="G473" s="308"/>
      <c r="H473" s="308"/>
      <c r="I473" s="308"/>
      <c r="J473" s="308"/>
      <c r="K473" s="308"/>
      <c r="L473" s="308"/>
    </row>
    <row r="474" spans="2:12" ht="15" x14ac:dyDescent="0.25">
      <c r="B474" s="308"/>
      <c r="C474" s="308"/>
      <c r="D474" s="308"/>
      <c r="E474" s="308"/>
      <c r="F474" s="308"/>
      <c r="G474" s="308"/>
      <c r="H474" s="308"/>
      <c r="I474" s="308"/>
      <c r="J474" s="308"/>
      <c r="K474" s="308"/>
      <c r="L474" s="308"/>
    </row>
    <row r="475" spans="2:12" ht="15" x14ac:dyDescent="0.25">
      <c r="B475" s="308"/>
      <c r="C475" s="308"/>
      <c r="D475" s="308"/>
      <c r="E475" s="308"/>
      <c r="F475" s="308"/>
      <c r="G475" s="308"/>
      <c r="H475" s="308"/>
      <c r="I475" s="308"/>
      <c r="J475" s="308"/>
      <c r="K475" s="308"/>
      <c r="L475" s="308"/>
    </row>
    <row r="476" spans="2:12" ht="15" x14ac:dyDescent="0.25">
      <c r="B476" s="308"/>
      <c r="C476" s="308"/>
      <c r="D476" s="308"/>
      <c r="E476" s="308"/>
      <c r="F476" s="308"/>
      <c r="G476" s="308"/>
      <c r="H476" s="308"/>
      <c r="I476" s="308"/>
      <c r="J476" s="308"/>
      <c r="K476" s="308"/>
      <c r="L476" s="308"/>
    </row>
    <row r="477" spans="2:12" ht="15" x14ac:dyDescent="0.25">
      <c r="B477" s="308"/>
      <c r="C477" s="308"/>
      <c r="D477" s="308"/>
      <c r="E477" s="308"/>
      <c r="F477" s="308"/>
      <c r="G477" s="308"/>
      <c r="H477" s="308"/>
      <c r="I477" s="308"/>
      <c r="J477" s="308"/>
      <c r="K477" s="308"/>
      <c r="L477" s="308"/>
    </row>
    <row r="478" spans="2:12" ht="15" x14ac:dyDescent="0.25">
      <c r="B478" s="308"/>
      <c r="C478" s="308"/>
      <c r="D478" s="308"/>
      <c r="E478" s="308"/>
      <c r="F478" s="308"/>
      <c r="G478" s="308"/>
      <c r="H478" s="308"/>
      <c r="I478" s="308"/>
      <c r="J478" s="308"/>
      <c r="K478" s="308"/>
      <c r="L478" s="308"/>
    </row>
    <row r="479" spans="2:12" ht="15" x14ac:dyDescent="0.25">
      <c r="B479" s="308"/>
      <c r="C479" s="308"/>
      <c r="D479" s="308"/>
      <c r="E479" s="308"/>
      <c r="F479" s="308"/>
      <c r="G479" s="308"/>
      <c r="H479" s="308"/>
      <c r="I479" s="308"/>
      <c r="J479" s="308"/>
      <c r="K479" s="308"/>
      <c r="L479" s="308"/>
    </row>
    <row r="480" spans="2:12" ht="15" x14ac:dyDescent="0.25">
      <c r="B480" s="308"/>
      <c r="C480" s="308"/>
      <c r="D480" s="308"/>
      <c r="E480" s="308"/>
      <c r="F480" s="308"/>
      <c r="G480" s="308"/>
      <c r="H480" s="308"/>
      <c r="I480" s="308"/>
      <c r="J480" s="308"/>
      <c r="K480" s="308"/>
      <c r="L480" s="308"/>
    </row>
    <row r="481" spans="2:12" ht="15" x14ac:dyDescent="0.25">
      <c r="B481" s="308"/>
      <c r="C481" s="308"/>
      <c r="D481" s="308"/>
      <c r="E481" s="308"/>
      <c r="F481" s="308"/>
      <c r="G481" s="308"/>
      <c r="H481" s="308"/>
      <c r="I481" s="308"/>
      <c r="J481" s="308"/>
      <c r="K481" s="308"/>
      <c r="L481" s="308"/>
    </row>
    <row r="482" spans="2:12" ht="15" x14ac:dyDescent="0.25">
      <c r="B482" s="308"/>
      <c r="C482" s="308"/>
      <c r="D482" s="308"/>
      <c r="E482" s="308"/>
      <c r="F482" s="308"/>
      <c r="G482" s="308"/>
      <c r="H482" s="308"/>
      <c r="I482" s="308"/>
      <c r="J482" s="308"/>
      <c r="K482" s="308"/>
      <c r="L482" s="308"/>
    </row>
    <row r="483" spans="2:12" ht="15" x14ac:dyDescent="0.25">
      <c r="B483" s="308"/>
      <c r="C483" s="308"/>
      <c r="D483" s="308"/>
      <c r="E483" s="308"/>
      <c r="F483" s="308"/>
      <c r="G483" s="308"/>
      <c r="H483" s="308"/>
      <c r="I483" s="308"/>
      <c r="J483" s="308"/>
      <c r="K483" s="308"/>
      <c r="L483" s="308"/>
    </row>
    <row r="484" spans="2:12" ht="15" x14ac:dyDescent="0.25">
      <c r="B484" s="308"/>
      <c r="C484" s="308"/>
      <c r="D484" s="308"/>
      <c r="E484" s="308"/>
      <c r="F484" s="308"/>
      <c r="G484" s="308"/>
      <c r="H484" s="308"/>
      <c r="I484" s="308"/>
      <c r="J484" s="308"/>
      <c r="K484" s="308"/>
      <c r="L484" s="308"/>
    </row>
    <row r="485" spans="2:12" ht="15" x14ac:dyDescent="0.25">
      <c r="B485" s="308"/>
      <c r="C485" s="308"/>
      <c r="D485" s="308"/>
      <c r="E485" s="308"/>
      <c r="F485" s="308"/>
      <c r="G485" s="308"/>
      <c r="H485" s="308"/>
      <c r="I485" s="308"/>
      <c r="J485" s="308"/>
      <c r="K485" s="308"/>
      <c r="L485" s="308"/>
    </row>
    <row r="486" spans="2:12" ht="15" x14ac:dyDescent="0.25">
      <c r="B486" s="308"/>
      <c r="C486" s="308"/>
      <c r="D486" s="308"/>
      <c r="E486" s="308"/>
      <c r="F486" s="308"/>
      <c r="G486" s="308"/>
      <c r="H486" s="308"/>
      <c r="I486" s="308"/>
      <c r="J486" s="308"/>
      <c r="K486" s="308"/>
      <c r="L486" s="308"/>
    </row>
    <row r="487" spans="2:12" ht="15" x14ac:dyDescent="0.25">
      <c r="B487" s="308"/>
      <c r="C487" s="308"/>
      <c r="D487" s="308"/>
      <c r="E487" s="308"/>
      <c r="F487" s="308"/>
      <c r="G487" s="308"/>
      <c r="H487" s="308"/>
      <c r="I487" s="308"/>
      <c r="J487" s="308"/>
      <c r="K487" s="308"/>
      <c r="L487" s="308"/>
    </row>
    <row r="488" spans="2:12" ht="15" x14ac:dyDescent="0.25">
      <c r="B488" s="308"/>
      <c r="C488" s="308"/>
      <c r="D488" s="308"/>
      <c r="E488" s="308"/>
      <c r="F488" s="308"/>
      <c r="G488" s="308"/>
      <c r="H488" s="308"/>
      <c r="I488" s="308"/>
      <c r="J488" s="308"/>
      <c r="K488" s="308"/>
      <c r="L488" s="308"/>
    </row>
    <row r="489" spans="2:12" ht="15" x14ac:dyDescent="0.25">
      <c r="B489" s="308"/>
      <c r="C489" s="308"/>
      <c r="D489" s="308"/>
      <c r="E489" s="308"/>
      <c r="F489" s="308"/>
      <c r="G489" s="308"/>
      <c r="H489" s="308"/>
      <c r="I489" s="308"/>
      <c r="J489" s="308"/>
      <c r="K489" s="308"/>
      <c r="L489" s="308"/>
    </row>
    <row r="490" spans="2:12" ht="15" x14ac:dyDescent="0.25">
      <c r="B490" s="308"/>
      <c r="C490" s="308"/>
      <c r="D490" s="308"/>
      <c r="E490" s="308"/>
      <c r="F490" s="308"/>
      <c r="G490" s="308"/>
      <c r="H490" s="308"/>
      <c r="I490" s="308"/>
      <c r="J490" s="308"/>
      <c r="K490" s="308"/>
      <c r="L490" s="308"/>
    </row>
    <row r="491" spans="2:12" ht="15" x14ac:dyDescent="0.25">
      <c r="B491" s="308"/>
      <c r="C491" s="308"/>
      <c r="D491" s="308"/>
      <c r="E491" s="308"/>
      <c r="F491" s="308"/>
      <c r="G491" s="308"/>
      <c r="H491" s="308"/>
      <c r="I491" s="308"/>
      <c r="J491" s="308"/>
      <c r="K491" s="308"/>
      <c r="L491" s="308"/>
    </row>
    <row r="492" spans="2:12" ht="15" x14ac:dyDescent="0.25">
      <c r="B492" s="308"/>
      <c r="C492" s="308"/>
      <c r="D492" s="308"/>
      <c r="E492" s="308"/>
      <c r="F492" s="308"/>
      <c r="G492" s="308"/>
      <c r="H492" s="308"/>
      <c r="I492" s="308"/>
      <c r="J492" s="308"/>
      <c r="K492" s="308"/>
      <c r="L492" s="308"/>
    </row>
    <row r="493" spans="2:12" ht="15" x14ac:dyDescent="0.25">
      <c r="B493" s="308"/>
      <c r="C493" s="308"/>
      <c r="D493" s="308"/>
      <c r="E493" s="308"/>
      <c r="F493" s="308"/>
      <c r="G493" s="308"/>
      <c r="H493" s="308"/>
      <c r="I493" s="308"/>
      <c r="J493" s="308"/>
      <c r="K493" s="308"/>
      <c r="L493" s="308"/>
    </row>
    <row r="494" spans="2:12" ht="15" x14ac:dyDescent="0.25">
      <c r="B494" s="308"/>
      <c r="C494" s="308"/>
      <c r="D494" s="308"/>
      <c r="E494" s="308"/>
      <c r="F494" s="308"/>
      <c r="G494" s="308"/>
      <c r="H494" s="308"/>
      <c r="I494" s="308"/>
      <c r="J494" s="308"/>
      <c r="K494" s="308"/>
      <c r="L494" s="308"/>
    </row>
    <row r="495" spans="2:12" ht="15" x14ac:dyDescent="0.25">
      <c r="B495" s="308"/>
      <c r="C495" s="308"/>
      <c r="D495" s="308"/>
      <c r="E495" s="308"/>
      <c r="F495" s="308"/>
      <c r="G495" s="308"/>
      <c r="H495" s="308"/>
      <c r="I495" s="308"/>
      <c r="J495" s="308"/>
      <c r="K495" s="308"/>
      <c r="L495" s="308"/>
    </row>
    <row r="496" spans="2:12" ht="15" x14ac:dyDescent="0.25">
      <c r="B496" s="308"/>
      <c r="C496" s="308"/>
      <c r="D496" s="308"/>
      <c r="E496" s="308"/>
      <c r="F496" s="308"/>
      <c r="G496" s="308"/>
      <c r="H496" s="308"/>
      <c r="I496" s="308"/>
      <c r="J496" s="308"/>
      <c r="K496" s="308"/>
      <c r="L496" s="308"/>
    </row>
    <row r="497" spans="2:12" ht="15" x14ac:dyDescent="0.25">
      <c r="B497" s="308"/>
      <c r="C497" s="308"/>
      <c r="D497" s="308"/>
      <c r="E497" s="308"/>
      <c r="F497" s="308"/>
      <c r="G497" s="308"/>
      <c r="H497" s="308"/>
      <c r="I497" s="308"/>
      <c r="J497" s="308"/>
      <c r="K497" s="308"/>
      <c r="L497" s="308"/>
    </row>
    <row r="498" spans="2:12" ht="15" x14ac:dyDescent="0.25">
      <c r="B498" s="308"/>
      <c r="C498" s="308"/>
      <c r="D498" s="308"/>
      <c r="E498" s="308"/>
      <c r="F498" s="308"/>
      <c r="G498" s="308"/>
      <c r="H498" s="308"/>
      <c r="I498" s="308"/>
      <c r="J498" s="308"/>
      <c r="K498" s="308"/>
      <c r="L498" s="308"/>
    </row>
    <row r="499" spans="2:12" ht="15" x14ac:dyDescent="0.25">
      <c r="B499" s="308"/>
      <c r="C499" s="308"/>
      <c r="D499" s="308"/>
      <c r="E499" s="308"/>
      <c r="F499" s="308"/>
      <c r="G499" s="308"/>
      <c r="H499" s="308"/>
      <c r="I499" s="308"/>
      <c r="J499" s="308"/>
      <c r="K499" s="308"/>
      <c r="L499" s="308"/>
    </row>
    <row r="500" spans="2:12" ht="15" x14ac:dyDescent="0.25">
      <c r="B500" s="308"/>
      <c r="C500" s="308"/>
      <c r="D500" s="308"/>
      <c r="E500" s="308"/>
      <c r="F500" s="308"/>
      <c r="G500" s="308"/>
      <c r="H500" s="308"/>
      <c r="I500" s="308"/>
      <c r="J500" s="308"/>
      <c r="K500" s="308"/>
      <c r="L500" s="308"/>
    </row>
    <row r="501" spans="2:12" ht="15" x14ac:dyDescent="0.25">
      <c r="B501" s="308"/>
      <c r="C501" s="308"/>
      <c r="D501" s="308"/>
      <c r="E501" s="308"/>
      <c r="F501" s="308"/>
      <c r="G501" s="308"/>
      <c r="H501" s="308"/>
      <c r="I501" s="308"/>
      <c r="J501" s="308"/>
      <c r="K501" s="308"/>
      <c r="L501" s="308"/>
    </row>
    <row r="502" spans="2:12" ht="15" x14ac:dyDescent="0.25">
      <c r="B502" s="308"/>
      <c r="C502" s="308"/>
      <c r="D502" s="308"/>
      <c r="E502" s="308"/>
      <c r="F502" s="308"/>
      <c r="G502" s="308"/>
      <c r="H502" s="308"/>
      <c r="I502" s="308"/>
      <c r="J502" s="308"/>
      <c r="K502" s="308"/>
      <c r="L502" s="308"/>
    </row>
    <row r="503" spans="2:12" ht="15" x14ac:dyDescent="0.25">
      <c r="B503" s="308"/>
      <c r="C503" s="308"/>
      <c r="D503" s="308"/>
      <c r="E503" s="308"/>
      <c r="F503" s="308"/>
      <c r="G503" s="308"/>
      <c r="H503" s="308"/>
      <c r="I503" s="308"/>
      <c r="J503" s="308"/>
      <c r="K503" s="308"/>
      <c r="L503" s="308"/>
    </row>
    <row r="504" spans="2:12" ht="15" x14ac:dyDescent="0.25">
      <c r="B504" s="308"/>
      <c r="C504" s="308"/>
      <c r="D504" s="308"/>
      <c r="E504" s="308"/>
      <c r="F504" s="308"/>
      <c r="G504" s="308"/>
      <c r="H504" s="308"/>
      <c r="I504" s="308"/>
      <c r="J504" s="308"/>
      <c r="K504" s="308"/>
      <c r="L504" s="308"/>
    </row>
    <row r="505" spans="2:12" ht="15" x14ac:dyDescent="0.25">
      <c r="B505" s="308"/>
      <c r="C505" s="308"/>
      <c r="D505" s="308"/>
      <c r="E505" s="308"/>
      <c r="F505" s="308"/>
      <c r="G505" s="308"/>
      <c r="H505" s="308"/>
      <c r="I505" s="308"/>
      <c r="J505" s="308"/>
      <c r="K505" s="308"/>
      <c r="L505" s="308"/>
    </row>
    <row r="506" spans="2:12" ht="15" x14ac:dyDescent="0.25">
      <c r="B506" s="308"/>
      <c r="C506" s="308"/>
      <c r="D506" s="308"/>
      <c r="E506" s="308"/>
      <c r="F506" s="308"/>
      <c r="G506" s="308"/>
      <c r="H506" s="308"/>
      <c r="I506" s="308"/>
      <c r="J506" s="308"/>
      <c r="K506" s="308"/>
      <c r="L506" s="308"/>
    </row>
    <row r="507" spans="2:12" ht="15" x14ac:dyDescent="0.25">
      <c r="B507" s="308"/>
      <c r="C507" s="308"/>
      <c r="D507" s="308"/>
      <c r="E507" s="308"/>
      <c r="F507" s="308"/>
      <c r="G507" s="308"/>
      <c r="H507" s="308"/>
      <c r="I507" s="308"/>
      <c r="J507" s="308"/>
      <c r="K507" s="308"/>
      <c r="L507" s="308"/>
    </row>
    <row r="508" spans="2:12" ht="15" x14ac:dyDescent="0.25">
      <c r="B508" s="308"/>
      <c r="C508" s="308"/>
      <c r="D508" s="308"/>
      <c r="E508" s="308"/>
      <c r="F508" s="308"/>
      <c r="G508" s="308"/>
      <c r="H508" s="308"/>
      <c r="I508" s="308"/>
      <c r="J508" s="308"/>
      <c r="K508" s="308"/>
      <c r="L508" s="308"/>
    </row>
    <row r="509" spans="2:12" ht="15" x14ac:dyDescent="0.25">
      <c r="B509" s="308"/>
      <c r="C509" s="308"/>
      <c r="D509" s="308"/>
      <c r="E509" s="308"/>
      <c r="F509" s="308"/>
      <c r="G509" s="308"/>
      <c r="H509" s="308"/>
      <c r="I509" s="308"/>
      <c r="J509" s="308"/>
      <c r="K509" s="308"/>
      <c r="L509" s="308"/>
    </row>
    <row r="510" spans="2:12" ht="15" x14ac:dyDescent="0.25">
      <c r="B510" s="308"/>
      <c r="C510" s="308"/>
      <c r="D510" s="308"/>
      <c r="E510" s="308"/>
      <c r="F510" s="308"/>
      <c r="G510" s="308"/>
      <c r="H510" s="308"/>
      <c r="I510" s="308"/>
      <c r="J510" s="308"/>
      <c r="K510" s="308"/>
      <c r="L510" s="308"/>
    </row>
    <row r="511" spans="2:12" ht="15" x14ac:dyDescent="0.25">
      <c r="B511" s="308"/>
      <c r="C511" s="308"/>
      <c r="D511" s="308"/>
      <c r="E511" s="308"/>
      <c r="F511" s="308"/>
      <c r="G511" s="308"/>
      <c r="H511" s="308"/>
      <c r="I511" s="308"/>
      <c r="J511" s="308"/>
      <c r="K511" s="308"/>
      <c r="L511" s="308"/>
    </row>
    <row r="512" spans="2:12" ht="15" x14ac:dyDescent="0.25">
      <c r="B512" s="308"/>
      <c r="C512" s="308"/>
      <c r="D512" s="308"/>
      <c r="E512" s="308"/>
      <c r="F512" s="308"/>
      <c r="G512" s="308"/>
      <c r="H512" s="308"/>
      <c r="I512" s="308"/>
      <c r="J512" s="308"/>
      <c r="K512" s="308"/>
      <c r="L512" s="308"/>
    </row>
    <row r="513" spans="2:12" ht="15" x14ac:dyDescent="0.25">
      <c r="B513" s="308"/>
      <c r="C513" s="308"/>
      <c r="D513" s="308"/>
      <c r="E513" s="308"/>
      <c r="F513" s="308"/>
      <c r="G513" s="308"/>
      <c r="H513" s="308"/>
      <c r="I513" s="308"/>
      <c r="J513" s="308"/>
      <c r="K513" s="308"/>
      <c r="L513" s="308"/>
    </row>
    <row r="514" spans="2:12" ht="15" x14ac:dyDescent="0.25">
      <c r="B514" s="308"/>
      <c r="C514" s="308"/>
      <c r="D514" s="308"/>
      <c r="E514" s="308"/>
      <c r="F514" s="308"/>
      <c r="G514" s="308"/>
      <c r="H514" s="308"/>
      <c r="I514" s="308"/>
      <c r="J514" s="308"/>
      <c r="K514" s="308"/>
      <c r="L514" s="308"/>
    </row>
    <row r="515" spans="2:12" ht="15" x14ac:dyDescent="0.25">
      <c r="B515" s="308"/>
      <c r="C515" s="308"/>
      <c r="D515" s="308"/>
      <c r="E515" s="308"/>
      <c r="F515" s="308"/>
      <c r="G515" s="308"/>
      <c r="H515" s="308"/>
      <c r="I515" s="308"/>
      <c r="J515" s="308"/>
      <c r="K515" s="308"/>
      <c r="L515" s="308"/>
    </row>
    <row r="516" spans="2:12" ht="15" x14ac:dyDescent="0.25">
      <c r="B516" s="308"/>
      <c r="C516" s="308"/>
      <c r="D516" s="308"/>
      <c r="E516" s="308"/>
      <c r="F516" s="308"/>
      <c r="G516" s="308"/>
      <c r="H516" s="308"/>
      <c r="I516" s="308"/>
      <c r="J516" s="308"/>
      <c r="K516" s="308"/>
      <c r="L516" s="308"/>
    </row>
    <row r="517" spans="2:12" ht="15" x14ac:dyDescent="0.25">
      <c r="B517" s="308"/>
      <c r="C517" s="308"/>
      <c r="D517" s="308"/>
      <c r="E517" s="308"/>
      <c r="F517" s="308"/>
      <c r="G517" s="308"/>
      <c r="H517" s="308"/>
      <c r="I517" s="308"/>
      <c r="J517" s="308"/>
      <c r="K517" s="308"/>
      <c r="L517" s="308"/>
    </row>
    <row r="518" spans="2:12" ht="15" x14ac:dyDescent="0.25">
      <c r="B518" s="308"/>
      <c r="C518" s="308"/>
      <c r="D518" s="308"/>
      <c r="E518" s="308"/>
      <c r="F518" s="308"/>
      <c r="G518" s="308"/>
      <c r="H518" s="308"/>
      <c r="I518" s="308"/>
      <c r="J518" s="308"/>
      <c r="K518" s="308"/>
      <c r="L518" s="308"/>
    </row>
    <row r="519" spans="2:12" ht="15" x14ac:dyDescent="0.25">
      <c r="B519" s="308"/>
      <c r="C519" s="308"/>
      <c r="D519" s="308"/>
      <c r="E519" s="308"/>
      <c r="F519" s="308"/>
      <c r="G519" s="308"/>
      <c r="H519" s="308"/>
      <c r="I519" s="308"/>
      <c r="J519" s="308"/>
      <c r="K519" s="308"/>
      <c r="L519" s="308"/>
    </row>
    <row r="520" spans="2:12" ht="15" x14ac:dyDescent="0.25">
      <c r="B520" s="308"/>
      <c r="C520" s="308"/>
      <c r="D520" s="308"/>
      <c r="E520" s="308"/>
      <c r="F520" s="308"/>
      <c r="G520" s="308"/>
      <c r="H520" s="308"/>
      <c r="I520" s="308"/>
      <c r="J520" s="308"/>
      <c r="K520" s="308"/>
      <c r="L520" s="308"/>
    </row>
    <row r="521" spans="2:12" ht="15" x14ac:dyDescent="0.25">
      <c r="B521" s="308"/>
      <c r="C521" s="308"/>
      <c r="D521" s="308"/>
      <c r="E521" s="308"/>
      <c r="F521" s="308"/>
      <c r="G521" s="308"/>
      <c r="H521" s="308"/>
      <c r="I521" s="308"/>
      <c r="J521" s="308"/>
      <c r="K521" s="308"/>
      <c r="L521" s="308"/>
    </row>
    <row r="522" spans="2:12" ht="15" x14ac:dyDescent="0.25">
      <c r="B522" s="308"/>
      <c r="C522" s="308"/>
      <c r="D522" s="308"/>
      <c r="E522" s="308"/>
      <c r="F522" s="308"/>
      <c r="G522" s="308"/>
      <c r="H522" s="308"/>
      <c r="I522" s="308"/>
      <c r="J522" s="308"/>
      <c r="K522" s="308"/>
      <c r="L522" s="308"/>
    </row>
    <row r="523" spans="2:12" ht="15" x14ac:dyDescent="0.25">
      <c r="B523" s="308"/>
      <c r="C523" s="308"/>
      <c r="D523" s="308"/>
      <c r="E523" s="308"/>
      <c r="F523" s="308"/>
      <c r="G523" s="308"/>
      <c r="H523" s="308"/>
      <c r="I523" s="308"/>
      <c r="J523" s="308"/>
      <c r="K523" s="308"/>
      <c r="L523" s="308"/>
    </row>
    <row r="524" spans="2:12" ht="15" x14ac:dyDescent="0.25">
      <c r="B524" s="308"/>
      <c r="C524" s="308"/>
      <c r="D524" s="308"/>
      <c r="E524" s="308"/>
      <c r="F524" s="308"/>
      <c r="G524" s="308"/>
      <c r="H524" s="308"/>
      <c r="I524" s="308"/>
      <c r="J524" s="308"/>
      <c r="K524" s="308"/>
      <c r="L524" s="308"/>
    </row>
    <row r="525" spans="2:12" ht="15" x14ac:dyDescent="0.25">
      <c r="B525" s="308"/>
      <c r="C525" s="308"/>
      <c r="D525" s="308"/>
      <c r="E525" s="308"/>
      <c r="F525" s="308"/>
      <c r="G525" s="308"/>
      <c r="H525" s="308"/>
      <c r="I525" s="308"/>
      <c r="J525" s="308"/>
      <c r="K525" s="308"/>
      <c r="L525" s="308"/>
    </row>
    <row r="526" spans="2:12" ht="15" x14ac:dyDescent="0.25">
      <c r="B526" s="308"/>
      <c r="C526" s="308"/>
      <c r="D526" s="308"/>
      <c r="E526" s="308"/>
      <c r="F526" s="308"/>
      <c r="G526" s="308"/>
      <c r="H526" s="308"/>
      <c r="I526" s="308"/>
      <c r="J526" s="308"/>
      <c r="K526" s="308"/>
      <c r="L526" s="308"/>
    </row>
    <row r="527" spans="2:12" ht="15" x14ac:dyDescent="0.25">
      <c r="B527" s="308"/>
      <c r="C527" s="308"/>
      <c r="D527" s="308"/>
      <c r="E527" s="308"/>
      <c r="F527" s="308"/>
      <c r="G527" s="308"/>
      <c r="H527" s="308"/>
      <c r="I527" s="308"/>
      <c r="J527" s="308"/>
      <c r="K527" s="308"/>
      <c r="L527" s="308"/>
    </row>
    <row r="528" spans="2:12" ht="15" x14ac:dyDescent="0.25">
      <c r="B528" s="308"/>
      <c r="C528" s="308"/>
      <c r="D528" s="308"/>
      <c r="E528" s="308"/>
      <c r="F528" s="308"/>
      <c r="G528" s="308"/>
      <c r="H528" s="308"/>
      <c r="I528" s="308"/>
      <c r="J528" s="308"/>
      <c r="K528" s="308"/>
      <c r="L528" s="308"/>
    </row>
    <row r="529" spans="2:12" ht="15" x14ac:dyDescent="0.25">
      <c r="B529" s="308"/>
      <c r="C529" s="308"/>
      <c r="D529" s="308"/>
      <c r="E529" s="308"/>
      <c r="F529" s="308"/>
      <c r="G529" s="308"/>
      <c r="H529" s="308"/>
      <c r="I529" s="308"/>
      <c r="J529" s="308"/>
      <c r="K529" s="308"/>
      <c r="L529" s="308"/>
    </row>
    <row r="530" spans="2:12" ht="15" x14ac:dyDescent="0.25">
      <c r="B530" s="308"/>
      <c r="C530" s="308"/>
      <c r="D530" s="308"/>
      <c r="E530" s="308"/>
      <c r="F530" s="308"/>
      <c r="G530" s="308"/>
      <c r="H530" s="308"/>
      <c r="I530" s="308"/>
      <c r="J530" s="308"/>
      <c r="K530" s="308"/>
      <c r="L530" s="308"/>
    </row>
    <row r="531" spans="2:12" ht="15" x14ac:dyDescent="0.25">
      <c r="B531" s="308"/>
      <c r="C531" s="308"/>
      <c r="D531" s="308"/>
      <c r="E531" s="308"/>
      <c r="F531" s="308"/>
      <c r="G531" s="308"/>
      <c r="H531" s="308"/>
      <c r="I531" s="308"/>
      <c r="J531" s="308"/>
      <c r="K531" s="308"/>
      <c r="L531" s="308"/>
    </row>
    <row r="532" spans="2:12" ht="15" x14ac:dyDescent="0.25">
      <c r="B532" s="308"/>
      <c r="C532" s="308"/>
      <c r="D532" s="308"/>
      <c r="E532" s="308"/>
      <c r="F532" s="308"/>
      <c r="G532" s="308"/>
      <c r="H532" s="308"/>
      <c r="I532" s="308"/>
      <c r="J532" s="308"/>
      <c r="K532" s="308"/>
      <c r="L532" s="308"/>
    </row>
    <row r="533" spans="2:12" ht="15" x14ac:dyDescent="0.25">
      <c r="B533" s="308"/>
      <c r="C533" s="308"/>
      <c r="D533" s="308"/>
      <c r="E533" s="308"/>
      <c r="F533" s="308"/>
      <c r="G533" s="308"/>
      <c r="H533" s="308"/>
      <c r="I533" s="308"/>
      <c r="J533" s="308"/>
      <c r="K533" s="308"/>
      <c r="L533" s="308"/>
    </row>
    <row r="534" spans="2:12" ht="15" x14ac:dyDescent="0.25">
      <c r="B534" s="308"/>
      <c r="C534" s="308"/>
      <c r="D534" s="308"/>
      <c r="E534" s="308"/>
      <c r="F534" s="308"/>
      <c r="G534" s="308"/>
      <c r="H534" s="308"/>
      <c r="I534" s="308"/>
      <c r="J534" s="308"/>
      <c r="K534" s="308"/>
      <c r="L534" s="308"/>
    </row>
    <row r="535" spans="2:12" ht="15" x14ac:dyDescent="0.25">
      <c r="B535" s="308"/>
      <c r="C535" s="308"/>
      <c r="D535" s="308"/>
      <c r="E535" s="308"/>
      <c r="F535" s="308"/>
      <c r="G535" s="308"/>
      <c r="H535" s="308"/>
      <c r="I535" s="308"/>
      <c r="J535" s="308"/>
      <c r="K535" s="308"/>
      <c r="L535" s="308"/>
    </row>
    <row r="536" spans="2:12" ht="15" x14ac:dyDescent="0.25">
      <c r="B536" s="308"/>
      <c r="C536" s="308"/>
      <c r="D536" s="308"/>
      <c r="E536" s="308"/>
      <c r="F536" s="308"/>
      <c r="G536" s="308"/>
      <c r="H536" s="308"/>
      <c r="I536" s="308"/>
      <c r="J536" s="308"/>
      <c r="K536" s="308"/>
      <c r="L536" s="308"/>
    </row>
    <row r="537" spans="2:12" ht="15" x14ac:dyDescent="0.25">
      <c r="B537" s="308"/>
      <c r="C537" s="308"/>
      <c r="D537" s="308"/>
      <c r="E537" s="308"/>
      <c r="F537" s="308"/>
      <c r="G537" s="308"/>
      <c r="H537" s="308"/>
      <c r="I537" s="308"/>
      <c r="J537" s="308"/>
      <c r="K537" s="308"/>
      <c r="L537" s="308"/>
    </row>
    <row r="538" spans="2:12" ht="15" x14ac:dyDescent="0.25">
      <c r="B538" s="308"/>
      <c r="C538" s="308"/>
      <c r="D538" s="308"/>
      <c r="E538" s="308"/>
      <c r="F538" s="308"/>
      <c r="G538" s="308"/>
      <c r="H538" s="308"/>
      <c r="I538" s="308"/>
      <c r="J538" s="308"/>
      <c r="K538" s="308"/>
      <c r="L538" s="308"/>
    </row>
    <row r="539" spans="2:12" ht="15" x14ac:dyDescent="0.25">
      <c r="B539" s="308"/>
      <c r="C539" s="308"/>
      <c r="D539" s="308"/>
      <c r="E539" s="308"/>
      <c r="F539" s="308"/>
      <c r="G539" s="308"/>
      <c r="H539" s="308"/>
      <c r="I539" s="308"/>
      <c r="J539" s="308"/>
      <c r="K539" s="308"/>
      <c r="L539" s="308"/>
    </row>
    <row r="540" spans="2:12" ht="15" x14ac:dyDescent="0.25">
      <c r="B540" s="308"/>
      <c r="C540" s="308"/>
      <c r="D540" s="308"/>
      <c r="E540" s="308"/>
      <c r="F540" s="308"/>
      <c r="G540" s="308"/>
      <c r="H540" s="308"/>
      <c r="I540" s="308"/>
      <c r="J540" s="308"/>
      <c r="K540" s="308"/>
      <c r="L540" s="308"/>
    </row>
    <row r="541" spans="2:12" ht="15" x14ac:dyDescent="0.25">
      <c r="B541" s="308"/>
      <c r="C541" s="308"/>
      <c r="D541" s="308"/>
      <c r="E541" s="308"/>
      <c r="F541" s="308"/>
      <c r="G541" s="308"/>
      <c r="H541" s="308"/>
      <c r="I541" s="308"/>
      <c r="J541" s="308"/>
      <c r="K541" s="308"/>
      <c r="L541" s="308"/>
    </row>
    <row r="542" spans="2:12" ht="15" x14ac:dyDescent="0.25">
      <c r="B542" s="308"/>
      <c r="C542" s="308"/>
      <c r="D542" s="308"/>
      <c r="E542" s="308"/>
      <c r="F542" s="308"/>
      <c r="G542" s="308"/>
      <c r="H542" s="308"/>
      <c r="I542" s="308"/>
      <c r="J542" s="308"/>
      <c r="K542" s="308"/>
      <c r="L542" s="308"/>
    </row>
    <row r="543" spans="2:12" ht="15" x14ac:dyDescent="0.25">
      <c r="B543" s="308"/>
      <c r="C543" s="308"/>
      <c r="D543" s="308"/>
      <c r="E543" s="308"/>
      <c r="F543" s="308"/>
      <c r="G543" s="308"/>
      <c r="H543" s="308"/>
      <c r="I543" s="308"/>
      <c r="J543" s="308"/>
      <c r="K543" s="308"/>
      <c r="L543" s="308"/>
    </row>
    <row r="544" spans="2:12" ht="15" x14ac:dyDescent="0.25">
      <c r="B544" s="308"/>
      <c r="C544" s="308"/>
      <c r="D544" s="308"/>
      <c r="E544" s="308"/>
      <c r="F544" s="308"/>
      <c r="G544" s="308"/>
      <c r="H544" s="308"/>
      <c r="I544" s="308"/>
      <c r="J544" s="308"/>
      <c r="K544" s="308"/>
      <c r="L544" s="308"/>
    </row>
    <row r="545" spans="2:12" ht="15" x14ac:dyDescent="0.25">
      <c r="B545" s="308"/>
      <c r="C545" s="308"/>
      <c r="D545" s="308"/>
      <c r="E545" s="308"/>
      <c r="F545" s="308"/>
      <c r="G545" s="308"/>
      <c r="H545" s="308"/>
      <c r="I545" s="308"/>
      <c r="J545" s="308"/>
      <c r="K545" s="308"/>
      <c r="L545" s="308"/>
    </row>
    <row r="546" spans="2:12" ht="15" x14ac:dyDescent="0.25">
      <c r="B546" s="308"/>
      <c r="C546" s="308"/>
      <c r="D546" s="308"/>
      <c r="E546" s="308"/>
      <c r="F546" s="308"/>
      <c r="G546" s="308"/>
      <c r="H546" s="308"/>
      <c r="I546" s="308"/>
      <c r="J546" s="308"/>
      <c r="K546" s="308"/>
      <c r="L546" s="308"/>
    </row>
    <row r="547" spans="2:12" ht="15" x14ac:dyDescent="0.25">
      <c r="B547" s="308"/>
      <c r="C547" s="308"/>
      <c r="D547" s="308"/>
      <c r="E547" s="308"/>
      <c r="F547" s="308"/>
      <c r="G547" s="308"/>
      <c r="H547" s="308"/>
      <c r="I547" s="308"/>
      <c r="J547" s="308"/>
      <c r="K547" s="308"/>
      <c r="L547" s="308"/>
    </row>
    <row r="548" spans="2:12" ht="15" x14ac:dyDescent="0.25">
      <c r="B548" s="308"/>
      <c r="C548" s="308"/>
      <c r="D548" s="308"/>
      <c r="E548" s="308"/>
      <c r="F548" s="308"/>
      <c r="G548" s="308"/>
      <c r="H548" s="308"/>
      <c r="I548" s="308"/>
      <c r="J548" s="308"/>
      <c r="K548" s="308"/>
      <c r="L548" s="308"/>
    </row>
    <row r="549" spans="2:12" ht="15" x14ac:dyDescent="0.25">
      <c r="B549" s="308"/>
      <c r="C549" s="308"/>
      <c r="D549" s="308"/>
      <c r="E549" s="308"/>
      <c r="F549" s="308"/>
      <c r="G549" s="308"/>
      <c r="H549" s="308"/>
      <c r="I549" s="308"/>
      <c r="J549" s="308"/>
      <c r="K549" s="308"/>
      <c r="L549" s="308"/>
    </row>
    <row r="550" spans="2:12" ht="15" x14ac:dyDescent="0.25">
      <c r="B550" s="308"/>
      <c r="C550" s="308"/>
      <c r="D550" s="308"/>
      <c r="E550" s="308"/>
      <c r="F550" s="308"/>
      <c r="G550" s="308"/>
      <c r="H550" s="308"/>
      <c r="I550" s="308"/>
      <c r="J550" s="308"/>
      <c r="K550" s="308"/>
      <c r="L550" s="308"/>
    </row>
    <row r="551" spans="2:12" ht="15" x14ac:dyDescent="0.25">
      <c r="B551" s="308"/>
      <c r="C551" s="308"/>
      <c r="D551" s="308"/>
      <c r="E551" s="308"/>
      <c r="F551" s="308"/>
      <c r="G551" s="308"/>
      <c r="H551" s="308"/>
      <c r="I551" s="308"/>
      <c r="J551" s="308"/>
      <c r="K551" s="308"/>
      <c r="L551" s="308"/>
    </row>
    <row r="552" spans="2:12" ht="15" x14ac:dyDescent="0.25">
      <c r="B552" s="308"/>
      <c r="C552" s="308"/>
      <c r="D552" s="308"/>
      <c r="E552" s="308"/>
      <c r="F552" s="308"/>
      <c r="G552" s="308"/>
      <c r="H552" s="308"/>
      <c r="I552" s="308"/>
      <c r="J552" s="308"/>
      <c r="K552" s="308"/>
      <c r="L552" s="308"/>
    </row>
    <row r="553" spans="2:12" ht="15" x14ac:dyDescent="0.25">
      <c r="B553" s="308"/>
      <c r="C553" s="308"/>
      <c r="D553" s="308"/>
      <c r="E553" s="308"/>
      <c r="F553" s="308"/>
      <c r="G553" s="308"/>
      <c r="H553" s="308"/>
      <c r="I553" s="308"/>
      <c r="J553" s="308"/>
      <c r="K553" s="308"/>
      <c r="L553" s="308"/>
    </row>
    <row r="554" spans="2:12" ht="15" x14ac:dyDescent="0.25">
      <c r="B554" s="308"/>
      <c r="C554" s="308"/>
      <c r="D554" s="308"/>
      <c r="E554" s="308"/>
      <c r="F554" s="308"/>
      <c r="G554" s="308"/>
      <c r="H554" s="308"/>
      <c r="I554" s="308"/>
      <c r="J554" s="308"/>
      <c r="K554" s="308"/>
      <c r="L554" s="308"/>
    </row>
    <row r="555" spans="2:12" ht="15" x14ac:dyDescent="0.25">
      <c r="B555" s="308"/>
      <c r="C555" s="308"/>
      <c r="D555" s="308"/>
      <c r="E555" s="308"/>
      <c r="F555" s="308"/>
      <c r="G555" s="308"/>
      <c r="H555" s="308"/>
      <c r="I555" s="308"/>
      <c r="J555" s="308"/>
      <c r="K555" s="308"/>
      <c r="L555" s="308"/>
    </row>
    <row r="556" spans="2:12" ht="15" x14ac:dyDescent="0.25">
      <c r="B556" s="308"/>
      <c r="C556" s="308"/>
      <c r="D556" s="308"/>
      <c r="E556" s="308"/>
      <c r="F556" s="308"/>
      <c r="G556" s="308"/>
      <c r="H556" s="308"/>
      <c r="I556" s="308"/>
      <c r="J556" s="308"/>
      <c r="K556" s="308"/>
      <c r="L556" s="308"/>
    </row>
    <row r="557" spans="2:12" ht="15" x14ac:dyDescent="0.25">
      <c r="B557" s="308"/>
      <c r="C557" s="308"/>
      <c r="D557" s="308"/>
      <c r="E557" s="308"/>
      <c r="F557" s="308"/>
      <c r="G557" s="308"/>
      <c r="H557" s="308"/>
      <c r="I557" s="308"/>
      <c r="J557" s="308"/>
      <c r="K557" s="308"/>
      <c r="L557" s="308"/>
    </row>
    <row r="558" spans="2:12" ht="15" x14ac:dyDescent="0.25">
      <c r="B558" s="308"/>
      <c r="C558" s="308"/>
      <c r="D558" s="308"/>
      <c r="E558" s="308"/>
      <c r="F558" s="308"/>
      <c r="G558" s="308"/>
      <c r="H558" s="308"/>
      <c r="I558" s="308"/>
      <c r="J558" s="308"/>
      <c r="K558" s="308"/>
      <c r="L558" s="308"/>
    </row>
    <row r="559" spans="2:12" ht="15" x14ac:dyDescent="0.25">
      <c r="B559" s="308"/>
      <c r="C559" s="308"/>
      <c r="D559" s="308"/>
      <c r="E559" s="308"/>
      <c r="F559" s="308"/>
      <c r="G559" s="308"/>
      <c r="H559" s="308"/>
      <c r="I559" s="308"/>
      <c r="J559" s="308"/>
      <c r="K559" s="308"/>
      <c r="L559" s="308"/>
    </row>
    <row r="560" spans="2:12" ht="15" x14ac:dyDescent="0.25">
      <c r="B560" s="308"/>
      <c r="C560" s="308"/>
      <c r="D560" s="308"/>
      <c r="E560" s="308"/>
      <c r="F560" s="308"/>
      <c r="G560" s="308"/>
      <c r="H560" s="308"/>
      <c r="I560" s="308"/>
      <c r="J560" s="308"/>
      <c r="K560" s="308"/>
      <c r="L560" s="308"/>
    </row>
    <row r="561" spans="2:12" ht="15" x14ac:dyDescent="0.25">
      <c r="B561" s="308"/>
      <c r="C561" s="308"/>
      <c r="D561" s="308"/>
      <c r="E561" s="308"/>
      <c r="F561" s="308"/>
      <c r="G561" s="308"/>
      <c r="H561" s="308"/>
      <c r="I561" s="308"/>
      <c r="J561" s="308"/>
      <c r="K561" s="308"/>
      <c r="L561" s="308"/>
    </row>
    <row r="562" spans="2:12" ht="15" x14ac:dyDescent="0.25">
      <c r="B562" s="308"/>
      <c r="C562" s="308"/>
      <c r="D562" s="308"/>
      <c r="E562" s="308"/>
      <c r="F562" s="308"/>
      <c r="G562" s="308"/>
      <c r="H562" s="308"/>
      <c r="I562" s="308"/>
      <c r="J562" s="308"/>
      <c r="K562" s="308"/>
      <c r="L562" s="308"/>
    </row>
    <row r="563" spans="2:12" ht="15" x14ac:dyDescent="0.25">
      <c r="B563" s="308"/>
      <c r="C563" s="308"/>
      <c r="D563" s="308"/>
      <c r="E563" s="308"/>
      <c r="F563" s="308"/>
      <c r="G563" s="308"/>
      <c r="H563" s="308"/>
      <c r="I563" s="308"/>
      <c r="J563" s="308"/>
      <c r="K563" s="308"/>
      <c r="L563" s="308"/>
    </row>
    <row r="564" spans="2:12" ht="15" x14ac:dyDescent="0.25">
      <c r="B564" s="308"/>
      <c r="C564" s="308"/>
      <c r="D564" s="308"/>
      <c r="E564" s="308"/>
      <c r="F564" s="308"/>
      <c r="G564" s="308"/>
      <c r="H564" s="308"/>
      <c r="I564" s="308"/>
      <c r="J564" s="308"/>
      <c r="K564" s="308"/>
      <c r="L564" s="308"/>
    </row>
    <row r="565" spans="2:12" ht="15" x14ac:dyDescent="0.25">
      <c r="B565" s="308"/>
      <c r="C565" s="308"/>
      <c r="D565" s="308"/>
      <c r="E565" s="308"/>
      <c r="F565" s="308"/>
      <c r="G565" s="308"/>
      <c r="H565" s="308"/>
      <c r="I565" s="308"/>
      <c r="J565" s="308"/>
      <c r="K565" s="308"/>
      <c r="L565" s="308"/>
    </row>
    <row r="566" spans="2:12" ht="15" x14ac:dyDescent="0.25">
      <c r="B566" s="308"/>
      <c r="C566" s="308"/>
      <c r="D566" s="308"/>
      <c r="E566" s="308"/>
      <c r="F566" s="308"/>
      <c r="G566" s="308"/>
      <c r="H566" s="308"/>
      <c r="I566" s="308"/>
      <c r="J566" s="308"/>
      <c r="K566" s="308"/>
      <c r="L566" s="308"/>
    </row>
    <row r="567" spans="2:12" ht="15" x14ac:dyDescent="0.25">
      <c r="B567" s="308"/>
      <c r="C567" s="308"/>
      <c r="D567" s="308"/>
      <c r="E567" s="308"/>
      <c r="F567" s="308"/>
      <c r="G567" s="308"/>
      <c r="H567" s="308"/>
      <c r="I567" s="308"/>
      <c r="J567" s="308"/>
      <c r="K567" s="308"/>
      <c r="L567" s="308"/>
    </row>
    <row r="568" spans="2:12" ht="15" x14ac:dyDescent="0.25">
      <c r="B568" s="308"/>
      <c r="C568" s="308"/>
      <c r="D568" s="308"/>
      <c r="E568" s="308"/>
      <c r="F568" s="308"/>
      <c r="G568" s="308"/>
      <c r="H568" s="308"/>
      <c r="I568" s="308"/>
      <c r="J568" s="308"/>
      <c r="K568" s="308"/>
      <c r="L568" s="308"/>
    </row>
    <row r="569" spans="2:12" ht="15" x14ac:dyDescent="0.25">
      <c r="B569" s="308"/>
      <c r="C569" s="308"/>
      <c r="D569" s="308"/>
      <c r="E569" s="308"/>
      <c r="F569" s="308"/>
      <c r="G569" s="308"/>
      <c r="H569" s="308"/>
      <c r="I569" s="308"/>
      <c r="J569" s="308"/>
      <c r="K569" s="308"/>
      <c r="L569" s="308"/>
    </row>
    <row r="570" spans="2:12" ht="15" x14ac:dyDescent="0.25">
      <c r="B570" s="308"/>
      <c r="C570" s="308"/>
      <c r="D570" s="308"/>
      <c r="E570" s="308"/>
      <c r="F570" s="308"/>
      <c r="G570" s="308"/>
      <c r="H570" s="308"/>
      <c r="I570" s="308"/>
      <c r="J570" s="308"/>
      <c r="K570" s="308"/>
      <c r="L570" s="308"/>
    </row>
    <row r="571" spans="2:12" ht="15" x14ac:dyDescent="0.25">
      <c r="B571" s="308"/>
      <c r="C571" s="308"/>
      <c r="D571" s="308"/>
      <c r="E571" s="308"/>
      <c r="F571" s="308"/>
      <c r="G571" s="308"/>
      <c r="H571" s="308"/>
      <c r="I571" s="308"/>
      <c r="J571" s="308"/>
      <c r="K571" s="308"/>
      <c r="L571" s="308"/>
    </row>
    <row r="572" spans="2:12" ht="15" x14ac:dyDescent="0.25">
      <c r="B572" s="308"/>
      <c r="C572" s="308"/>
      <c r="D572" s="308"/>
      <c r="E572" s="308"/>
      <c r="F572" s="308"/>
      <c r="G572" s="308"/>
      <c r="H572" s="308"/>
      <c r="I572" s="308"/>
      <c r="J572" s="308"/>
      <c r="K572" s="308"/>
      <c r="L572" s="308"/>
    </row>
    <row r="573" spans="2:12" ht="15" x14ac:dyDescent="0.25">
      <c r="B573" s="308"/>
      <c r="C573" s="308"/>
      <c r="D573" s="308"/>
      <c r="E573" s="308"/>
      <c r="F573" s="308"/>
      <c r="G573" s="308"/>
      <c r="H573" s="308"/>
      <c r="I573" s="308"/>
      <c r="J573" s="308"/>
      <c r="K573" s="308"/>
      <c r="L573" s="308"/>
    </row>
    <row r="574" spans="2:12" ht="15" x14ac:dyDescent="0.25">
      <c r="B574" s="308"/>
      <c r="C574" s="308"/>
      <c r="D574" s="308"/>
      <c r="E574" s="308"/>
      <c r="F574" s="308"/>
      <c r="G574" s="308"/>
      <c r="H574" s="308"/>
      <c r="I574" s="308"/>
      <c r="J574" s="308"/>
      <c r="K574" s="308"/>
      <c r="L574" s="308"/>
    </row>
    <row r="575" spans="2:12" ht="15" x14ac:dyDescent="0.25">
      <c r="B575" s="308"/>
      <c r="C575" s="308"/>
      <c r="D575" s="308"/>
      <c r="E575" s="308"/>
      <c r="F575" s="308"/>
      <c r="G575" s="308"/>
      <c r="H575" s="308"/>
      <c r="I575" s="308"/>
      <c r="J575" s="308"/>
      <c r="K575" s="308"/>
      <c r="L575" s="308"/>
    </row>
    <row r="576" spans="2:12" ht="15" x14ac:dyDescent="0.25">
      <c r="B576" s="308"/>
      <c r="C576" s="308"/>
      <c r="D576" s="308"/>
      <c r="E576" s="308"/>
      <c r="F576" s="308"/>
      <c r="G576" s="308"/>
      <c r="H576" s="308"/>
      <c r="I576" s="308"/>
      <c r="J576" s="308"/>
      <c r="K576" s="308"/>
      <c r="L576" s="308"/>
    </row>
    <row r="577" spans="2:12" ht="15" x14ac:dyDescent="0.25">
      <c r="B577" s="308"/>
      <c r="C577" s="308"/>
      <c r="D577" s="308"/>
      <c r="E577" s="308"/>
      <c r="F577" s="308"/>
      <c r="G577" s="308"/>
      <c r="H577" s="308"/>
      <c r="I577" s="308"/>
      <c r="J577" s="308"/>
      <c r="K577" s="308"/>
      <c r="L577" s="308"/>
    </row>
    <row r="578" spans="2:12" ht="15" x14ac:dyDescent="0.25">
      <c r="B578" s="308"/>
      <c r="C578" s="308"/>
      <c r="D578" s="308"/>
      <c r="E578" s="308"/>
      <c r="F578" s="308"/>
      <c r="G578" s="308"/>
      <c r="H578" s="308"/>
      <c r="I578" s="308"/>
      <c r="J578" s="308"/>
      <c r="K578" s="308"/>
      <c r="L578" s="308"/>
    </row>
    <row r="579" spans="2:12" ht="15" x14ac:dyDescent="0.25">
      <c r="B579" s="308"/>
      <c r="C579" s="308"/>
      <c r="D579" s="308"/>
      <c r="E579" s="308"/>
      <c r="F579" s="308"/>
      <c r="G579" s="308"/>
      <c r="H579" s="308"/>
      <c r="I579" s="308"/>
      <c r="J579" s="308"/>
      <c r="K579" s="308"/>
      <c r="L579" s="308"/>
    </row>
    <row r="580" spans="2:12" ht="15" x14ac:dyDescent="0.25">
      <c r="B580" s="308"/>
      <c r="C580" s="308"/>
      <c r="D580" s="308"/>
      <c r="E580" s="308"/>
      <c r="F580" s="308"/>
      <c r="G580" s="308"/>
      <c r="H580" s="308"/>
      <c r="I580" s="308"/>
      <c r="J580" s="308"/>
      <c r="K580" s="308"/>
      <c r="L580" s="308"/>
    </row>
    <row r="581" spans="2:12" ht="15" x14ac:dyDescent="0.25">
      <c r="B581" s="308"/>
      <c r="C581" s="308"/>
      <c r="D581" s="308"/>
      <c r="E581" s="308"/>
      <c r="F581" s="308"/>
      <c r="G581" s="308"/>
      <c r="H581" s="308"/>
      <c r="I581" s="308"/>
      <c r="J581" s="308"/>
      <c r="K581" s="308"/>
      <c r="L581" s="308"/>
    </row>
    <row r="582" spans="2:12" ht="15" x14ac:dyDescent="0.25">
      <c r="B582" s="308"/>
      <c r="C582" s="308"/>
      <c r="D582" s="308"/>
      <c r="E582" s="308"/>
      <c r="F582" s="308"/>
      <c r="G582" s="308"/>
      <c r="H582" s="308"/>
      <c r="I582" s="308"/>
      <c r="J582" s="308"/>
      <c r="K582" s="308"/>
      <c r="L582" s="308"/>
    </row>
    <row r="583" spans="2:12" ht="15" x14ac:dyDescent="0.25">
      <c r="B583" s="308"/>
      <c r="C583" s="308"/>
      <c r="D583" s="308"/>
      <c r="E583" s="308"/>
      <c r="F583" s="308"/>
      <c r="G583" s="308"/>
      <c r="H583" s="308"/>
      <c r="I583" s="308"/>
      <c r="J583" s="308"/>
      <c r="K583" s="308"/>
      <c r="L583" s="308"/>
    </row>
    <row r="584" spans="2:12" ht="15" x14ac:dyDescent="0.25">
      <c r="B584" s="308"/>
      <c r="C584" s="308"/>
      <c r="D584" s="308"/>
      <c r="E584" s="308"/>
      <c r="F584" s="308"/>
      <c r="G584" s="308"/>
      <c r="H584" s="308"/>
      <c r="I584" s="308"/>
      <c r="J584" s="308"/>
      <c r="K584" s="308"/>
    </row>
    <row r="585" spans="2:12" ht="15" x14ac:dyDescent="0.25">
      <c r="B585" s="308"/>
      <c r="C585" s="308"/>
      <c r="D585" s="308"/>
      <c r="E585" s="308"/>
      <c r="F585" s="308"/>
      <c r="G585" s="308"/>
      <c r="H585" s="308"/>
      <c r="I585" s="308"/>
      <c r="J585" s="308"/>
      <c r="K585" s="308"/>
    </row>
    <row r="586" spans="2:12" ht="15" x14ac:dyDescent="0.25">
      <c r="B586" s="308"/>
      <c r="C586" s="308"/>
      <c r="D586" s="308"/>
      <c r="E586" s="308"/>
      <c r="F586" s="308"/>
      <c r="G586" s="308"/>
      <c r="H586" s="308"/>
      <c r="I586" s="308"/>
      <c r="J586" s="308"/>
      <c r="K586" s="308"/>
    </row>
    <row r="587" spans="2:12" ht="15" x14ac:dyDescent="0.25">
      <c r="B587" s="308"/>
      <c r="C587" s="308"/>
      <c r="D587" s="308"/>
      <c r="E587" s="308"/>
      <c r="F587" s="308"/>
      <c r="G587" s="308"/>
      <c r="H587" s="308"/>
      <c r="I587" s="308"/>
      <c r="J587" s="308"/>
      <c r="K587" s="308"/>
    </row>
    <row r="588" spans="2:12" ht="15" x14ac:dyDescent="0.25">
      <c r="B588" s="308"/>
      <c r="C588" s="308"/>
      <c r="D588" s="308"/>
      <c r="E588" s="308"/>
      <c r="F588" s="308"/>
      <c r="G588" s="308"/>
      <c r="H588" s="308"/>
      <c r="I588" s="308"/>
      <c r="J588" s="308"/>
      <c r="K588" s="308"/>
    </row>
    <row r="589" spans="2:12" ht="15" x14ac:dyDescent="0.25">
      <c r="B589" s="308"/>
      <c r="C589" s="308"/>
      <c r="D589" s="308"/>
      <c r="E589" s="308"/>
      <c r="F589" s="308"/>
      <c r="G589" s="308"/>
      <c r="H589" s="308"/>
      <c r="I589" s="308"/>
      <c r="J589" s="308"/>
      <c r="K589" s="308"/>
    </row>
    <row r="590" spans="2:12" ht="15" x14ac:dyDescent="0.25">
      <c r="B590" s="308"/>
      <c r="C590" s="308"/>
      <c r="D590" s="308"/>
      <c r="E590" s="308"/>
      <c r="F590" s="308"/>
      <c r="G590" s="308"/>
      <c r="H590" s="308"/>
      <c r="I590" s="308"/>
      <c r="J590" s="308"/>
      <c r="K590" s="308"/>
    </row>
    <row r="591" spans="2:12" ht="15" x14ac:dyDescent="0.25">
      <c r="B591" s="308"/>
      <c r="C591" s="308"/>
      <c r="D591" s="308"/>
      <c r="E591" s="308"/>
      <c r="F591" s="308"/>
      <c r="G591" s="308"/>
      <c r="H591" s="308"/>
      <c r="I591" s="308"/>
      <c r="J591" s="308"/>
      <c r="K591" s="308"/>
    </row>
    <row r="592" spans="2:12" ht="15" x14ac:dyDescent="0.25">
      <c r="B592" s="308"/>
      <c r="C592" s="308"/>
      <c r="D592" s="308"/>
      <c r="E592" s="308"/>
      <c r="F592" s="308"/>
      <c r="G592" s="308"/>
      <c r="H592" s="308"/>
      <c r="I592" s="308"/>
      <c r="J592" s="308"/>
      <c r="K592" s="308"/>
    </row>
    <row r="593" spans="2:11" ht="15" x14ac:dyDescent="0.25">
      <c r="B593" s="308"/>
      <c r="C593" s="308"/>
      <c r="D593" s="308"/>
      <c r="E593" s="308"/>
      <c r="F593" s="308"/>
      <c r="G593" s="308"/>
      <c r="H593" s="308"/>
      <c r="I593" s="308"/>
      <c r="J593" s="308"/>
      <c r="K593" s="308"/>
    </row>
    <row r="594" spans="2:11" ht="15" x14ac:dyDescent="0.25">
      <c r="B594" s="308"/>
      <c r="C594" s="308"/>
      <c r="D594" s="308"/>
      <c r="E594" s="308"/>
      <c r="F594" s="308"/>
      <c r="G594" s="308"/>
      <c r="H594" s="308"/>
      <c r="I594" s="308"/>
      <c r="J594" s="308"/>
      <c r="K594" s="308"/>
    </row>
    <row r="595" spans="2:11" ht="15" x14ac:dyDescent="0.25">
      <c r="B595" s="308"/>
      <c r="C595" s="308"/>
      <c r="D595" s="308"/>
      <c r="E595" s="308"/>
      <c r="F595" s="308"/>
      <c r="G595" s="308"/>
      <c r="H595" s="308"/>
      <c r="I595" s="308"/>
      <c r="J595" s="308"/>
      <c r="K595" s="308"/>
    </row>
    <row r="596" spans="2:11" ht="15" x14ac:dyDescent="0.25">
      <c r="B596" s="308"/>
      <c r="C596" s="308"/>
      <c r="D596" s="308"/>
      <c r="E596" s="308"/>
      <c r="F596" s="308"/>
      <c r="G596" s="308"/>
      <c r="H596" s="308"/>
      <c r="I596" s="308"/>
      <c r="J596" s="308"/>
      <c r="K596" s="308"/>
    </row>
    <row r="597" spans="2:11" ht="15" x14ac:dyDescent="0.25">
      <c r="B597" s="308"/>
      <c r="C597" s="308"/>
      <c r="D597" s="308"/>
      <c r="E597" s="308"/>
      <c r="F597" s="308"/>
      <c r="G597" s="308"/>
      <c r="H597" s="308"/>
      <c r="I597" s="308"/>
      <c r="J597" s="308"/>
      <c r="K597" s="308"/>
    </row>
    <row r="598" spans="2:11" ht="15" x14ac:dyDescent="0.25">
      <c r="B598" s="308"/>
      <c r="C598" s="308"/>
      <c r="D598" s="308"/>
      <c r="E598" s="308"/>
      <c r="F598" s="308"/>
      <c r="G598" s="308"/>
      <c r="H598" s="308"/>
      <c r="I598" s="308"/>
      <c r="J598" s="308"/>
      <c r="K598" s="308"/>
    </row>
    <row r="599" spans="2:11" ht="15" x14ac:dyDescent="0.25">
      <c r="B599" s="308"/>
      <c r="C599" s="308"/>
      <c r="D599" s="308"/>
      <c r="E599" s="308"/>
      <c r="F599" s="308"/>
      <c r="G599" s="308"/>
      <c r="H599" s="308"/>
      <c r="I599" s="308"/>
      <c r="J599" s="308"/>
      <c r="K599" s="308"/>
    </row>
    <row r="600" spans="2:11" ht="15" x14ac:dyDescent="0.25">
      <c r="B600" s="308"/>
      <c r="C600" s="308"/>
      <c r="D600" s="308"/>
      <c r="E600" s="308"/>
      <c r="F600" s="308"/>
      <c r="G600" s="308"/>
      <c r="H600" s="308"/>
      <c r="I600" s="308"/>
      <c r="J600" s="308"/>
      <c r="K600" s="308"/>
    </row>
    <row r="601" spans="2:11" ht="15" x14ac:dyDescent="0.25">
      <c r="B601" s="308"/>
      <c r="C601" s="308"/>
      <c r="D601" s="308"/>
      <c r="E601" s="308"/>
      <c r="F601" s="308"/>
      <c r="G601" s="308"/>
      <c r="H601" s="308"/>
      <c r="I601" s="308"/>
      <c r="J601" s="308"/>
      <c r="K601" s="308"/>
    </row>
    <row r="602" spans="2:11" ht="15" x14ac:dyDescent="0.25">
      <c r="B602" s="308"/>
      <c r="C602" s="308"/>
      <c r="D602" s="308"/>
      <c r="E602" s="308"/>
      <c r="F602" s="308"/>
      <c r="G602" s="308"/>
      <c r="H602" s="308"/>
      <c r="I602" s="308"/>
      <c r="J602" s="308"/>
      <c r="K602" s="308"/>
    </row>
    <row r="603" spans="2:11" ht="15" x14ac:dyDescent="0.25">
      <c r="B603" s="308"/>
      <c r="C603" s="308"/>
      <c r="D603" s="308"/>
      <c r="E603" s="308"/>
      <c r="F603" s="308"/>
      <c r="G603" s="308"/>
      <c r="H603" s="308"/>
      <c r="I603" s="308"/>
      <c r="J603" s="308"/>
      <c r="K603" s="308"/>
    </row>
    <row r="604" spans="2:11" ht="15" x14ac:dyDescent="0.25">
      <c r="B604" s="308"/>
      <c r="C604" s="308"/>
      <c r="D604" s="308"/>
      <c r="E604" s="308"/>
      <c r="F604" s="308"/>
      <c r="G604" s="308"/>
      <c r="H604" s="308"/>
      <c r="I604" s="308"/>
      <c r="J604" s="308"/>
      <c r="K604" s="308"/>
    </row>
    <row r="605" spans="2:11" ht="15" x14ac:dyDescent="0.25">
      <c r="B605" s="308"/>
      <c r="C605" s="308"/>
      <c r="D605" s="308"/>
      <c r="E605" s="308"/>
      <c r="F605" s="308"/>
      <c r="G605" s="308"/>
      <c r="H605" s="308"/>
      <c r="I605" s="308"/>
      <c r="J605" s="308"/>
      <c r="K605" s="308"/>
    </row>
    <row r="606" spans="2:11" ht="15" x14ac:dyDescent="0.25">
      <c r="B606" s="308"/>
      <c r="C606" s="308"/>
      <c r="D606" s="308"/>
      <c r="E606" s="308"/>
      <c r="F606" s="308"/>
      <c r="G606" s="308"/>
      <c r="H606" s="308"/>
      <c r="I606" s="308"/>
      <c r="J606" s="308"/>
      <c r="K606" s="308"/>
    </row>
    <row r="607" spans="2:11" ht="15" x14ac:dyDescent="0.25">
      <c r="B607" s="308"/>
      <c r="C607" s="308"/>
      <c r="D607" s="308"/>
      <c r="E607" s="308"/>
      <c r="F607" s="308"/>
      <c r="G607" s="308"/>
      <c r="H607" s="308"/>
      <c r="I607" s="308"/>
      <c r="J607" s="308"/>
      <c r="K607" s="308"/>
    </row>
    <row r="608" spans="2:11" ht="15" x14ac:dyDescent="0.25">
      <c r="B608" s="308"/>
      <c r="C608" s="308"/>
      <c r="D608" s="308"/>
      <c r="E608" s="308"/>
      <c r="F608" s="308"/>
      <c r="G608" s="308"/>
      <c r="H608" s="308"/>
      <c r="I608" s="308"/>
      <c r="J608" s="308"/>
      <c r="K608" s="308"/>
    </row>
    <row r="609" spans="2:11" ht="15" x14ac:dyDescent="0.25">
      <c r="B609" s="308"/>
      <c r="C609" s="308"/>
      <c r="D609" s="308"/>
      <c r="E609" s="308"/>
      <c r="F609" s="308"/>
      <c r="G609" s="308"/>
      <c r="H609" s="308"/>
      <c r="I609" s="308"/>
      <c r="J609" s="308"/>
      <c r="K609" s="308"/>
    </row>
    <row r="610" spans="2:11" ht="15" x14ac:dyDescent="0.25">
      <c r="B610" s="308"/>
      <c r="C610" s="308"/>
      <c r="D610" s="308"/>
      <c r="E610" s="308"/>
      <c r="F610" s="308"/>
      <c r="G610" s="308"/>
      <c r="H610" s="308"/>
      <c r="I610" s="308"/>
      <c r="J610" s="308"/>
      <c r="K610" s="308"/>
    </row>
    <row r="611" spans="2:11" ht="15" x14ac:dyDescent="0.25">
      <c r="B611" s="308"/>
      <c r="C611" s="308"/>
      <c r="D611" s="308"/>
      <c r="E611" s="308"/>
      <c r="F611" s="308"/>
      <c r="G611" s="308"/>
      <c r="H611" s="308"/>
      <c r="I611" s="308"/>
      <c r="J611" s="308"/>
      <c r="K611" s="308"/>
    </row>
    <row r="612" spans="2:11" ht="15" x14ac:dyDescent="0.25">
      <c r="B612" s="308"/>
      <c r="C612" s="308"/>
      <c r="D612" s="308"/>
      <c r="E612" s="308"/>
      <c r="F612" s="308"/>
      <c r="G612" s="308"/>
      <c r="H612" s="308"/>
      <c r="I612" s="308"/>
      <c r="J612" s="308"/>
      <c r="K612" s="308"/>
    </row>
    <row r="613" spans="2:11" ht="15" x14ac:dyDescent="0.25">
      <c r="B613" s="308"/>
      <c r="C613" s="308"/>
      <c r="D613" s="308"/>
      <c r="E613" s="308"/>
      <c r="F613" s="308"/>
      <c r="G613" s="308"/>
      <c r="H613" s="308"/>
      <c r="I613" s="308"/>
      <c r="J613" s="308"/>
      <c r="K613" s="308"/>
    </row>
    <row r="614" spans="2:11" ht="15" x14ac:dyDescent="0.25">
      <c r="B614" s="308"/>
      <c r="C614" s="308"/>
      <c r="D614" s="308"/>
      <c r="E614" s="308"/>
      <c r="F614" s="308"/>
      <c r="G614" s="308"/>
      <c r="H614" s="308"/>
      <c r="I614" s="308"/>
      <c r="J614" s="308"/>
      <c r="K614" s="308"/>
    </row>
    <row r="615" spans="2:11" ht="15" x14ac:dyDescent="0.25">
      <c r="B615" s="308"/>
      <c r="C615" s="308"/>
      <c r="D615" s="308"/>
      <c r="E615" s="308"/>
      <c r="F615" s="308"/>
      <c r="G615" s="308"/>
      <c r="H615" s="308"/>
      <c r="I615" s="308"/>
      <c r="J615" s="308"/>
      <c r="K615" s="308"/>
    </row>
    <row r="616" spans="2:11" ht="15" x14ac:dyDescent="0.25">
      <c r="B616" s="308"/>
      <c r="C616" s="308"/>
      <c r="D616" s="308"/>
      <c r="E616" s="308"/>
      <c r="F616" s="308"/>
      <c r="G616" s="308"/>
      <c r="H616" s="308"/>
      <c r="I616" s="308"/>
      <c r="J616" s="308"/>
      <c r="K616" s="308"/>
    </row>
    <row r="617" spans="2:11" ht="15" x14ac:dyDescent="0.25">
      <c r="B617" s="308"/>
      <c r="C617" s="308"/>
      <c r="D617" s="308"/>
      <c r="E617" s="308"/>
      <c r="F617" s="308"/>
      <c r="G617" s="308"/>
      <c r="H617" s="308"/>
      <c r="I617" s="308"/>
      <c r="J617" s="308"/>
      <c r="K617" s="308"/>
    </row>
    <row r="618" spans="2:11" ht="15" x14ac:dyDescent="0.25">
      <c r="B618" s="308"/>
      <c r="C618" s="308"/>
      <c r="D618" s="308"/>
      <c r="E618" s="308"/>
      <c r="F618" s="308"/>
      <c r="G618" s="308"/>
      <c r="H618" s="308"/>
      <c r="I618" s="308"/>
      <c r="J618" s="308"/>
      <c r="K618" s="308"/>
    </row>
    <row r="619" spans="2:11" ht="15" x14ac:dyDescent="0.25">
      <c r="B619" s="308"/>
      <c r="C619" s="308"/>
      <c r="D619" s="308"/>
      <c r="E619" s="308"/>
      <c r="F619" s="308"/>
      <c r="G619" s="308"/>
      <c r="H619" s="308"/>
      <c r="I619" s="308"/>
      <c r="J619" s="308"/>
      <c r="K619" s="308"/>
    </row>
    <row r="620" spans="2:11" ht="15" x14ac:dyDescent="0.25">
      <c r="B620" s="308"/>
      <c r="C620" s="308"/>
      <c r="D620" s="308"/>
      <c r="E620" s="308"/>
      <c r="F620" s="308"/>
      <c r="G620" s="308"/>
      <c r="H620" s="308"/>
      <c r="I620" s="308"/>
      <c r="J620" s="308"/>
      <c r="K620" s="308"/>
    </row>
    <row r="621" spans="2:11" ht="15" x14ac:dyDescent="0.25">
      <c r="B621" s="308"/>
      <c r="C621" s="308"/>
      <c r="D621" s="308"/>
      <c r="E621" s="308"/>
      <c r="F621" s="308"/>
      <c r="G621" s="308"/>
      <c r="H621" s="308"/>
      <c r="I621" s="308"/>
      <c r="J621" s="308"/>
      <c r="K621" s="308"/>
    </row>
    <row r="622" spans="2:11" ht="15" x14ac:dyDescent="0.25">
      <c r="B622" s="308"/>
      <c r="C622" s="308"/>
      <c r="D622" s="308"/>
      <c r="E622" s="308"/>
      <c r="F622" s="308"/>
      <c r="G622" s="308"/>
      <c r="H622" s="308"/>
      <c r="I622" s="308"/>
      <c r="J622" s="308"/>
      <c r="K622" s="308"/>
    </row>
    <row r="623" spans="2:11" ht="15" x14ac:dyDescent="0.25">
      <c r="B623" s="308"/>
      <c r="C623" s="308"/>
      <c r="D623" s="308"/>
      <c r="E623" s="308"/>
      <c r="F623" s="308"/>
      <c r="G623" s="308"/>
      <c r="H623" s="308"/>
      <c r="I623" s="308"/>
      <c r="J623" s="308"/>
      <c r="K623" s="308"/>
    </row>
    <row r="624" spans="2:11" ht="15" x14ac:dyDescent="0.25">
      <c r="B624" s="308"/>
      <c r="C624" s="308"/>
      <c r="D624" s="308"/>
      <c r="E624" s="308"/>
      <c r="F624" s="308"/>
      <c r="G624" s="308"/>
      <c r="H624" s="308"/>
      <c r="I624" s="308"/>
      <c r="J624" s="308"/>
      <c r="K624" s="308"/>
    </row>
    <row r="625" spans="2:11" ht="15" x14ac:dyDescent="0.25">
      <c r="B625" s="308"/>
      <c r="C625" s="308"/>
      <c r="D625" s="308"/>
      <c r="E625" s="308"/>
      <c r="F625" s="308"/>
      <c r="G625" s="308"/>
      <c r="H625" s="308"/>
      <c r="I625" s="308"/>
      <c r="J625" s="308"/>
      <c r="K625" s="308"/>
    </row>
    <row r="626" spans="2:11" ht="15" x14ac:dyDescent="0.25">
      <c r="B626" s="308"/>
      <c r="C626" s="308"/>
      <c r="D626" s="308"/>
      <c r="E626" s="308"/>
      <c r="F626" s="308"/>
      <c r="G626" s="308"/>
      <c r="H626" s="308"/>
      <c r="I626" s="308"/>
      <c r="J626" s="308"/>
      <c r="K626" s="308"/>
    </row>
    <row r="627" spans="2:11" ht="15" x14ac:dyDescent="0.25">
      <c r="B627" s="308"/>
      <c r="C627" s="308"/>
      <c r="D627" s="308"/>
      <c r="E627" s="308"/>
      <c r="F627" s="308"/>
      <c r="G627" s="308"/>
      <c r="H627" s="308"/>
      <c r="I627" s="308"/>
      <c r="J627" s="308"/>
      <c r="K627" s="308"/>
    </row>
    <row r="628" spans="2:11" ht="15" x14ac:dyDescent="0.25">
      <c r="B628" s="308"/>
      <c r="C628" s="308"/>
      <c r="D628" s="308"/>
      <c r="E628" s="308"/>
      <c r="F628" s="308"/>
      <c r="G628" s="308"/>
      <c r="H628" s="308"/>
      <c r="I628" s="308"/>
      <c r="J628" s="308"/>
      <c r="K628" s="308"/>
    </row>
    <row r="629" spans="2:11" ht="15" x14ac:dyDescent="0.25">
      <c r="B629" s="308"/>
      <c r="C629" s="308"/>
      <c r="D629" s="308"/>
      <c r="E629" s="308"/>
      <c r="F629" s="308"/>
      <c r="G629" s="308"/>
      <c r="H629" s="308"/>
      <c r="I629" s="308"/>
      <c r="J629" s="308"/>
      <c r="K629" s="308"/>
    </row>
    <row r="630" spans="2:11" ht="15" x14ac:dyDescent="0.25">
      <c r="B630" s="308"/>
      <c r="C630" s="308"/>
      <c r="D630" s="308"/>
      <c r="E630" s="308"/>
      <c r="F630" s="308"/>
      <c r="G630" s="308"/>
      <c r="H630" s="308"/>
      <c r="I630" s="308"/>
      <c r="J630" s="308"/>
      <c r="K630" s="308"/>
    </row>
    <row r="631" spans="2:11" ht="15" x14ac:dyDescent="0.25">
      <c r="B631" s="308"/>
      <c r="C631" s="308"/>
      <c r="D631" s="308"/>
      <c r="E631" s="308"/>
      <c r="F631" s="308"/>
      <c r="G631" s="308"/>
      <c r="H631" s="308"/>
      <c r="I631" s="308"/>
      <c r="J631" s="308"/>
      <c r="K631" s="308"/>
    </row>
    <row r="632" spans="2:11" ht="15" x14ac:dyDescent="0.25">
      <c r="B632" s="308"/>
      <c r="C632" s="308"/>
      <c r="D632" s="308"/>
      <c r="E632" s="308"/>
      <c r="F632" s="308"/>
      <c r="G632" s="308"/>
      <c r="H632" s="308"/>
      <c r="I632" s="308"/>
      <c r="J632" s="308"/>
      <c r="K632" s="308"/>
    </row>
    <row r="633" spans="2:11" ht="15" x14ac:dyDescent="0.25">
      <c r="B633" s="308"/>
      <c r="C633" s="308"/>
      <c r="D633" s="308"/>
      <c r="E633" s="308"/>
      <c r="F633" s="308"/>
      <c r="G633" s="308"/>
      <c r="H633" s="308"/>
      <c r="I633" s="308"/>
      <c r="J633" s="308"/>
      <c r="K633" s="308"/>
    </row>
    <row r="634" spans="2:11" ht="15" x14ac:dyDescent="0.25">
      <c r="B634" s="308"/>
      <c r="C634" s="308"/>
      <c r="D634" s="308"/>
      <c r="E634" s="308"/>
      <c r="F634" s="308"/>
      <c r="G634" s="308"/>
      <c r="H634" s="308"/>
      <c r="I634" s="308"/>
      <c r="J634" s="308"/>
      <c r="K634" s="308"/>
    </row>
    <row r="635" spans="2:11" ht="15" x14ac:dyDescent="0.25">
      <c r="B635" s="308"/>
      <c r="C635" s="308"/>
      <c r="D635" s="308"/>
      <c r="E635" s="308"/>
      <c r="F635" s="308"/>
      <c r="G635" s="308"/>
      <c r="H635" s="308"/>
      <c r="I635" s="308"/>
      <c r="J635" s="308"/>
      <c r="K635" s="308"/>
    </row>
    <row r="636" spans="2:11" ht="15" x14ac:dyDescent="0.25">
      <c r="B636" s="308"/>
      <c r="C636" s="308"/>
      <c r="D636" s="308"/>
      <c r="E636" s="308"/>
      <c r="F636" s="308"/>
      <c r="G636" s="308"/>
      <c r="H636" s="308"/>
      <c r="I636" s="308"/>
      <c r="J636" s="308"/>
      <c r="K636" s="308"/>
    </row>
    <row r="637" spans="2:11" ht="15" x14ac:dyDescent="0.25">
      <c r="B637" s="308"/>
      <c r="C637" s="308"/>
      <c r="D637" s="308"/>
      <c r="E637" s="308"/>
      <c r="F637" s="308"/>
      <c r="G637" s="308"/>
      <c r="H637" s="308"/>
      <c r="I637" s="308"/>
      <c r="J637" s="308"/>
      <c r="K637" s="308"/>
    </row>
    <row r="638" spans="2:11" ht="15" x14ac:dyDescent="0.25">
      <c r="B638" s="308"/>
      <c r="C638" s="308"/>
      <c r="D638" s="308"/>
      <c r="E638" s="308"/>
      <c r="F638" s="308"/>
      <c r="G638" s="308"/>
      <c r="H638" s="308"/>
      <c r="I638" s="308"/>
      <c r="J638" s="308"/>
      <c r="K638" s="308"/>
    </row>
    <row r="639" spans="2:11" ht="15" x14ac:dyDescent="0.25">
      <c r="B639" s="308"/>
      <c r="C639" s="308"/>
      <c r="D639" s="308"/>
      <c r="E639" s="308"/>
      <c r="F639" s="308"/>
      <c r="G639" s="308"/>
      <c r="H639" s="308"/>
      <c r="I639" s="308"/>
      <c r="J639" s="308"/>
      <c r="K639" s="308"/>
    </row>
    <row r="640" spans="2:11" ht="15" x14ac:dyDescent="0.25">
      <c r="B640" s="308"/>
      <c r="C640" s="308"/>
      <c r="D640" s="308"/>
      <c r="E640" s="308"/>
      <c r="F640" s="308"/>
      <c r="G640" s="308"/>
      <c r="H640" s="308"/>
      <c r="I640" s="308"/>
      <c r="J640" s="308"/>
      <c r="K640" s="308"/>
    </row>
    <row r="641" spans="2:11" ht="15" x14ac:dyDescent="0.25">
      <c r="B641" s="308"/>
      <c r="C641" s="308"/>
      <c r="D641" s="308"/>
      <c r="E641" s="308"/>
      <c r="F641" s="308"/>
      <c r="G641" s="308"/>
      <c r="H641" s="308"/>
      <c r="I641" s="308"/>
      <c r="J641" s="308"/>
      <c r="K641" s="308"/>
    </row>
    <row r="642" spans="2:11" ht="15" x14ac:dyDescent="0.25">
      <c r="B642" s="308"/>
      <c r="C642" s="308"/>
      <c r="D642" s="308"/>
      <c r="E642" s="308"/>
      <c r="F642" s="308"/>
      <c r="G642" s="308"/>
      <c r="H642" s="308"/>
      <c r="I642" s="308"/>
      <c r="J642" s="308"/>
      <c r="K642" s="308"/>
    </row>
    <row r="643" spans="2:11" ht="15" x14ac:dyDescent="0.25">
      <c r="B643" s="308"/>
      <c r="C643" s="308"/>
      <c r="D643" s="308"/>
      <c r="E643" s="308"/>
      <c r="F643" s="308"/>
      <c r="G643" s="308"/>
      <c r="H643" s="308"/>
      <c r="I643" s="308"/>
      <c r="J643" s="308"/>
      <c r="K643" s="308"/>
    </row>
    <row r="644" spans="2:11" ht="15" x14ac:dyDescent="0.25">
      <c r="B644" s="308"/>
      <c r="C644" s="308"/>
      <c r="D644" s="308"/>
      <c r="E644" s="308"/>
      <c r="F644" s="308"/>
      <c r="G644" s="308"/>
      <c r="H644" s="308"/>
      <c r="I644" s="308"/>
      <c r="J644" s="308"/>
      <c r="K644" s="308"/>
    </row>
    <row r="645" spans="2:11" ht="15" x14ac:dyDescent="0.25">
      <c r="B645" s="308"/>
      <c r="C645" s="308"/>
      <c r="D645" s="308"/>
      <c r="E645" s="308"/>
      <c r="F645" s="308"/>
      <c r="G645" s="308"/>
      <c r="H645" s="308"/>
      <c r="I645" s="308"/>
      <c r="J645" s="308"/>
      <c r="K645" s="308"/>
    </row>
    <row r="646" spans="2:11" ht="15" x14ac:dyDescent="0.25">
      <c r="B646" s="308"/>
      <c r="C646" s="308"/>
      <c r="D646" s="308"/>
      <c r="E646" s="308"/>
      <c r="F646" s="308"/>
      <c r="G646" s="308"/>
      <c r="H646" s="308"/>
      <c r="I646" s="308"/>
      <c r="J646" s="308"/>
      <c r="K646" s="308"/>
    </row>
    <row r="647" spans="2:11" ht="15" x14ac:dyDescent="0.25">
      <c r="B647" s="308"/>
      <c r="C647" s="308"/>
      <c r="D647" s="308"/>
      <c r="E647" s="308"/>
      <c r="F647" s="308"/>
      <c r="G647" s="308"/>
      <c r="H647" s="308"/>
      <c r="I647" s="308"/>
      <c r="J647" s="308"/>
      <c r="K647" s="308"/>
    </row>
    <row r="648" spans="2:11" ht="15" x14ac:dyDescent="0.25">
      <c r="B648" s="308"/>
      <c r="C648" s="308"/>
      <c r="D648" s="308"/>
      <c r="E648" s="308"/>
      <c r="F648" s="308"/>
      <c r="G648" s="308"/>
      <c r="H648" s="308"/>
      <c r="I648" s="308"/>
      <c r="J648" s="308"/>
      <c r="K648" s="308"/>
    </row>
    <row r="649" spans="2:11" ht="15" x14ac:dyDescent="0.25">
      <c r="B649" s="308"/>
      <c r="C649" s="308"/>
      <c r="D649" s="308"/>
      <c r="E649" s="308"/>
      <c r="F649" s="308"/>
      <c r="G649" s="308"/>
      <c r="H649" s="308"/>
      <c r="I649" s="308"/>
      <c r="J649" s="308"/>
      <c r="K649" s="308"/>
    </row>
    <row r="650" spans="2:11" ht="15" x14ac:dyDescent="0.25">
      <c r="B650" s="308"/>
      <c r="C650" s="308"/>
      <c r="D650" s="308"/>
      <c r="E650" s="308"/>
      <c r="F650" s="308"/>
      <c r="G650" s="308"/>
      <c r="H650" s="308"/>
      <c r="I650" s="308"/>
      <c r="J650" s="308"/>
      <c r="K650" s="308"/>
    </row>
    <row r="651" spans="2:11" ht="15" x14ac:dyDescent="0.25">
      <c r="B651" s="308"/>
      <c r="C651" s="308"/>
      <c r="D651" s="308"/>
      <c r="E651" s="308"/>
      <c r="F651" s="308"/>
      <c r="G651" s="308"/>
      <c r="H651" s="308"/>
      <c r="I651" s="308"/>
      <c r="J651" s="308"/>
      <c r="K651" s="308"/>
    </row>
    <row r="652" spans="2:11" ht="15" x14ac:dyDescent="0.25">
      <c r="B652" s="308"/>
      <c r="C652" s="308"/>
      <c r="D652" s="308"/>
      <c r="E652" s="308"/>
      <c r="F652" s="308"/>
      <c r="G652" s="308"/>
      <c r="H652" s="308"/>
      <c r="I652" s="308"/>
      <c r="J652" s="308"/>
      <c r="K652" s="308"/>
    </row>
    <row r="653" spans="2:11" ht="15" x14ac:dyDescent="0.25">
      <c r="B653" s="308"/>
      <c r="C653" s="308"/>
      <c r="D653" s="308"/>
      <c r="E653" s="308"/>
      <c r="F653" s="308"/>
      <c r="G653" s="308"/>
      <c r="H653" s="308"/>
      <c r="I653" s="308"/>
      <c r="J653" s="308"/>
      <c r="K653" s="308"/>
    </row>
    <row r="654" spans="2:11" ht="15" x14ac:dyDescent="0.25">
      <c r="B654" s="308"/>
      <c r="C654" s="308"/>
      <c r="D654" s="308"/>
      <c r="E654" s="308"/>
      <c r="F654" s="308"/>
      <c r="G654" s="308"/>
      <c r="H654" s="308"/>
      <c r="I654" s="308"/>
      <c r="J654" s="308"/>
      <c r="K654" s="308"/>
    </row>
    <row r="655" spans="2:11" ht="15" x14ac:dyDescent="0.25">
      <c r="B655" s="308"/>
      <c r="C655" s="308"/>
      <c r="D655" s="308"/>
      <c r="E655" s="308"/>
      <c r="F655" s="308"/>
      <c r="G655" s="308"/>
      <c r="H655" s="308"/>
      <c r="I655" s="308"/>
      <c r="J655" s="308"/>
      <c r="K655" s="308"/>
    </row>
    <row r="656" spans="2:11" ht="15" x14ac:dyDescent="0.25">
      <c r="B656" s="308"/>
      <c r="C656" s="308"/>
      <c r="D656" s="308"/>
      <c r="E656" s="308"/>
      <c r="F656" s="308"/>
      <c r="G656" s="308"/>
      <c r="H656" s="308"/>
      <c r="I656" s="308"/>
      <c r="J656" s="308"/>
      <c r="K656" s="308"/>
    </row>
    <row r="657" spans="2:11" ht="15" x14ac:dyDescent="0.25">
      <c r="B657" s="308"/>
      <c r="C657" s="308"/>
      <c r="D657" s="308"/>
      <c r="E657" s="308"/>
      <c r="F657" s="308"/>
      <c r="G657" s="308"/>
      <c r="H657" s="308"/>
      <c r="I657" s="308"/>
      <c r="J657" s="308"/>
      <c r="K657" s="308"/>
    </row>
    <row r="658" spans="2:11" ht="15" x14ac:dyDescent="0.25">
      <c r="B658" s="308"/>
      <c r="C658" s="308"/>
      <c r="D658" s="308"/>
      <c r="E658" s="308"/>
      <c r="F658" s="308"/>
      <c r="G658" s="308"/>
      <c r="H658" s="308"/>
      <c r="I658" s="308"/>
      <c r="J658" s="308"/>
      <c r="K658" s="308"/>
    </row>
    <row r="659" spans="2:11" ht="15" x14ac:dyDescent="0.25">
      <c r="B659" s="308"/>
      <c r="C659" s="308"/>
      <c r="D659" s="308"/>
      <c r="E659" s="308"/>
      <c r="F659" s="308"/>
      <c r="G659" s="308"/>
      <c r="H659" s="308"/>
      <c r="I659" s="308"/>
      <c r="J659" s="308"/>
      <c r="K659" s="308"/>
    </row>
    <row r="660" spans="2:11" ht="15" x14ac:dyDescent="0.25">
      <c r="B660" s="308"/>
      <c r="C660" s="308"/>
      <c r="D660" s="308"/>
      <c r="E660" s="308"/>
      <c r="F660" s="308"/>
      <c r="G660" s="308"/>
      <c r="H660" s="308"/>
      <c r="I660" s="308"/>
      <c r="J660" s="308"/>
      <c r="K660" s="308"/>
    </row>
    <row r="661" spans="2:11" ht="15" x14ac:dyDescent="0.25">
      <c r="B661" s="308"/>
      <c r="C661" s="308"/>
      <c r="D661" s="308"/>
      <c r="E661" s="308"/>
      <c r="F661" s="308"/>
      <c r="G661" s="308"/>
      <c r="H661" s="308"/>
      <c r="I661" s="308"/>
      <c r="J661" s="308"/>
      <c r="K661" s="308"/>
    </row>
    <row r="662" spans="2:11" ht="15" x14ac:dyDescent="0.25">
      <c r="B662" s="308"/>
      <c r="C662" s="308"/>
      <c r="D662" s="308"/>
      <c r="E662" s="308"/>
      <c r="F662" s="308"/>
      <c r="G662" s="308"/>
      <c r="H662" s="308"/>
      <c r="I662" s="308"/>
      <c r="J662" s="308"/>
      <c r="K662" s="308"/>
    </row>
    <row r="663" spans="2:11" ht="15" x14ac:dyDescent="0.25">
      <c r="B663" s="308"/>
      <c r="C663" s="308"/>
      <c r="D663" s="308"/>
      <c r="E663" s="308"/>
      <c r="F663" s="308"/>
      <c r="G663" s="308"/>
      <c r="H663" s="308"/>
      <c r="I663" s="308"/>
      <c r="J663" s="308"/>
      <c r="K663" s="308"/>
    </row>
    <row r="664" spans="2:11" ht="15" x14ac:dyDescent="0.25">
      <c r="B664" s="308"/>
      <c r="C664" s="308"/>
      <c r="D664" s="308"/>
      <c r="E664" s="308"/>
      <c r="F664" s="308"/>
      <c r="G664" s="308"/>
      <c r="H664" s="308"/>
      <c r="I664" s="308"/>
      <c r="J664" s="308"/>
      <c r="K664" s="308"/>
    </row>
    <row r="665" spans="2:11" ht="15" x14ac:dyDescent="0.25">
      <c r="B665" s="308"/>
      <c r="C665" s="308"/>
      <c r="D665" s="308"/>
      <c r="E665" s="308"/>
      <c r="F665" s="308"/>
      <c r="G665" s="308"/>
      <c r="H665" s="308"/>
      <c r="I665" s="308"/>
      <c r="J665" s="308"/>
      <c r="K665" s="308"/>
    </row>
    <row r="666" spans="2:11" ht="15" x14ac:dyDescent="0.25">
      <c r="B666" s="308"/>
      <c r="C666" s="308"/>
      <c r="D666" s="308"/>
      <c r="E666" s="308"/>
      <c r="F666" s="308"/>
      <c r="G666" s="308"/>
      <c r="H666" s="308"/>
      <c r="I666" s="308"/>
      <c r="J666" s="308"/>
      <c r="K666" s="308"/>
    </row>
    <row r="667" spans="2:11" ht="15" x14ac:dyDescent="0.25">
      <c r="B667" s="308"/>
      <c r="C667" s="308"/>
      <c r="D667" s="308"/>
      <c r="E667" s="308"/>
      <c r="F667" s="308"/>
      <c r="G667" s="308"/>
      <c r="H667" s="308"/>
      <c r="I667" s="308"/>
      <c r="J667" s="308"/>
      <c r="K667" s="308"/>
    </row>
    <row r="668" spans="2:11" ht="15" x14ac:dyDescent="0.25">
      <c r="B668" s="308"/>
      <c r="C668" s="308"/>
      <c r="D668" s="308"/>
      <c r="E668" s="308"/>
      <c r="F668" s="308"/>
      <c r="G668" s="308"/>
      <c r="H668" s="308"/>
      <c r="I668" s="308"/>
      <c r="J668" s="308"/>
      <c r="K668" s="308"/>
    </row>
    <row r="669" spans="2:11" ht="15" x14ac:dyDescent="0.25">
      <c r="B669" s="308"/>
      <c r="C669" s="308"/>
      <c r="D669" s="308"/>
      <c r="E669" s="308"/>
      <c r="F669" s="308"/>
      <c r="G669" s="308"/>
      <c r="H669" s="308"/>
      <c r="I669" s="308"/>
      <c r="J669" s="308"/>
      <c r="K669" s="308"/>
    </row>
    <row r="670" spans="2:11" ht="15" x14ac:dyDescent="0.25">
      <c r="B670" s="308"/>
      <c r="C670" s="308"/>
      <c r="D670" s="308"/>
      <c r="E670" s="308"/>
      <c r="F670" s="308"/>
      <c r="G670" s="308"/>
      <c r="H670" s="308"/>
      <c r="I670" s="308"/>
      <c r="J670" s="308"/>
      <c r="K670" s="308"/>
    </row>
    <row r="671" spans="2:11" ht="15" x14ac:dyDescent="0.25">
      <c r="B671" s="308"/>
      <c r="C671" s="308"/>
      <c r="D671" s="308"/>
      <c r="E671" s="308"/>
      <c r="F671" s="308"/>
      <c r="G671" s="308"/>
      <c r="H671" s="308"/>
      <c r="I671" s="308"/>
      <c r="J671" s="308"/>
      <c r="K671" s="308"/>
    </row>
    <row r="672" spans="2:11" ht="15" x14ac:dyDescent="0.25">
      <c r="B672" s="308"/>
      <c r="C672" s="308"/>
      <c r="D672" s="308"/>
      <c r="E672" s="308"/>
      <c r="F672" s="308"/>
      <c r="G672" s="308"/>
      <c r="H672" s="308"/>
      <c r="I672" s="308"/>
      <c r="J672" s="308"/>
      <c r="K672" s="308"/>
    </row>
    <row r="673" spans="2:11" ht="15" x14ac:dyDescent="0.25">
      <c r="B673" s="308"/>
      <c r="C673" s="308"/>
      <c r="D673" s="308"/>
      <c r="E673" s="308"/>
      <c r="F673" s="308"/>
      <c r="G673" s="308"/>
      <c r="H673" s="308"/>
      <c r="I673" s="308"/>
      <c r="J673" s="308"/>
      <c r="K673" s="308"/>
    </row>
    <row r="674" spans="2:11" ht="15" x14ac:dyDescent="0.25">
      <c r="B674" s="308"/>
      <c r="C674" s="308"/>
      <c r="D674" s="308"/>
      <c r="E674" s="308"/>
      <c r="F674" s="308"/>
      <c r="G674" s="308"/>
      <c r="H674" s="308"/>
      <c r="I674" s="308"/>
      <c r="J674" s="308"/>
      <c r="K674" s="308"/>
    </row>
    <row r="675" spans="2:11" ht="15" x14ac:dyDescent="0.25">
      <c r="B675" s="308"/>
      <c r="C675" s="308"/>
      <c r="D675" s="308"/>
      <c r="E675" s="308"/>
      <c r="F675" s="308"/>
      <c r="G675" s="308"/>
      <c r="H675" s="308"/>
      <c r="I675" s="308"/>
      <c r="J675" s="308"/>
      <c r="K675" s="308"/>
    </row>
    <row r="676" spans="2:11" ht="15" x14ac:dyDescent="0.25">
      <c r="B676" s="308"/>
      <c r="C676" s="308"/>
      <c r="D676" s="308"/>
      <c r="E676" s="308"/>
      <c r="F676" s="308"/>
      <c r="G676" s="308"/>
      <c r="H676" s="308"/>
      <c r="I676" s="308"/>
      <c r="J676" s="308"/>
      <c r="K676" s="308"/>
    </row>
    <row r="677" spans="2:11" ht="15" x14ac:dyDescent="0.25">
      <c r="B677" s="308"/>
      <c r="C677" s="308"/>
      <c r="D677" s="308"/>
      <c r="E677" s="308"/>
      <c r="F677" s="308"/>
      <c r="G677" s="308"/>
      <c r="H677" s="308"/>
      <c r="I677" s="308"/>
      <c r="J677" s="308"/>
      <c r="K677" s="308"/>
    </row>
    <row r="678" spans="2:11" ht="15" x14ac:dyDescent="0.25">
      <c r="B678" s="308"/>
      <c r="C678" s="308"/>
      <c r="D678" s="308"/>
      <c r="E678" s="308"/>
      <c r="F678" s="308"/>
      <c r="G678" s="308"/>
      <c r="H678" s="308"/>
      <c r="I678" s="308"/>
      <c r="J678" s="308"/>
      <c r="K678" s="308"/>
    </row>
    <row r="679" spans="2:11" ht="15" x14ac:dyDescent="0.25">
      <c r="B679" s="308"/>
      <c r="C679" s="308"/>
      <c r="D679" s="308"/>
      <c r="E679" s="308"/>
      <c r="F679" s="308"/>
      <c r="G679" s="308"/>
      <c r="H679" s="308"/>
      <c r="I679" s="308"/>
      <c r="J679" s="308"/>
      <c r="K679" s="308"/>
    </row>
    <row r="680" spans="2:11" ht="15" x14ac:dyDescent="0.25">
      <c r="B680" s="308"/>
      <c r="C680" s="308"/>
      <c r="D680" s="308"/>
      <c r="E680" s="308"/>
      <c r="F680" s="308"/>
      <c r="G680" s="308"/>
      <c r="H680" s="308"/>
      <c r="I680" s="308"/>
      <c r="J680" s="308"/>
      <c r="K680" s="308"/>
    </row>
    <row r="681" spans="2:11" ht="15" x14ac:dyDescent="0.25">
      <c r="B681" s="308"/>
      <c r="C681" s="308"/>
      <c r="D681" s="308"/>
      <c r="E681" s="308"/>
      <c r="F681" s="308"/>
      <c r="G681" s="308"/>
      <c r="H681" s="308"/>
      <c r="I681" s="308"/>
      <c r="J681" s="308"/>
      <c r="K681" s="308"/>
    </row>
    <row r="682" spans="2:11" ht="15" x14ac:dyDescent="0.25">
      <c r="B682" s="308"/>
      <c r="C682" s="308"/>
      <c r="D682" s="308"/>
      <c r="E682" s="308"/>
      <c r="F682" s="308"/>
      <c r="G682" s="308"/>
      <c r="H682" s="308"/>
      <c r="I682" s="308"/>
      <c r="J682" s="308"/>
      <c r="K682" s="308"/>
    </row>
    <row r="683" spans="2:11" ht="15" x14ac:dyDescent="0.25">
      <c r="B683" s="308"/>
      <c r="C683" s="308"/>
      <c r="D683" s="308"/>
      <c r="E683" s="308"/>
      <c r="F683" s="308"/>
      <c r="G683" s="308"/>
      <c r="H683" s="308"/>
      <c r="I683" s="308"/>
      <c r="J683" s="308"/>
      <c r="K683" s="308"/>
    </row>
    <row r="684" spans="2:11" ht="15" x14ac:dyDescent="0.25">
      <c r="B684" s="308"/>
      <c r="C684" s="308"/>
      <c r="D684" s="308"/>
      <c r="E684" s="308"/>
      <c r="F684" s="308"/>
      <c r="G684" s="308"/>
      <c r="H684" s="308"/>
      <c r="I684" s="308"/>
      <c r="J684" s="308"/>
      <c r="K684" s="308"/>
    </row>
    <row r="685" spans="2:11" ht="15" x14ac:dyDescent="0.25">
      <c r="B685" s="308"/>
      <c r="C685" s="308"/>
      <c r="D685" s="308"/>
      <c r="E685" s="308"/>
      <c r="F685" s="308"/>
      <c r="G685" s="308"/>
      <c r="H685" s="308"/>
      <c r="I685" s="308"/>
      <c r="J685" s="308"/>
      <c r="K685" s="308"/>
    </row>
    <row r="686" spans="2:11" ht="15" x14ac:dyDescent="0.25">
      <c r="B686" s="308"/>
      <c r="C686" s="308"/>
      <c r="D686" s="308"/>
      <c r="E686" s="308"/>
      <c r="F686" s="308"/>
      <c r="G686" s="308"/>
      <c r="H686" s="308"/>
      <c r="I686" s="308"/>
      <c r="J686" s="308"/>
      <c r="K686" s="308"/>
    </row>
    <row r="687" spans="2:11" ht="15" x14ac:dyDescent="0.25">
      <c r="B687" s="308"/>
      <c r="C687" s="308"/>
      <c r="D687" s="308"/>
      <c r="E687" s="308"/>
      <c r="F687" s="308"/>
      <c r="G687" s="308"/>
      <c r="H687" s="308"/>
      <c r="I687" s="308"/>
      <c r="J687" s="308"/>
      <c r="K687" s="308"/>
    </row>
    <row r="688" spans="2:11" ht="15" x14ac:dyDescent="0.25">
      <c r="B688" s="308"/>
      <c r="C688" s="308"/>
      <c r="D688" s="308"/>
      <c r="E688" s="308"/>
      <c r="F688" s="308"/>
      <c r="G688" s="308"/>
      <c r="H688" s="308"/>
      <c r="I688" s="308"/>
      <c r="J688" s="308"/>
      <c r="K688" s="308"/>
    </row>
    <row r="689" spans="2:11" ht="15" x14ac:dyDescent="0.25">
      <c r="B689" s="308"/>
      <c r="C689" s="308"/>
      <c r="D689" s="308"/>
      <c r="E689" s="308"/>
      <c r="F689" s="308"/>
      <c r="G689" s="308"/>
      <c r="H689" s="308"/>
      <c r="I689" s="308"/>
      <c r="J689" s="308"/>
      <c r="K689" s="308"/>
    </row>
    <row r="690" spans="2:11" ht="15" x14ac:dyDescent="0.25">
      <c r="B690" s="308"/>
      <c r="C690" s="308"/>
      <c r="D690" s="308"/>
      <c r="E690" s="308"/>
      <c r="F690" s="308"/>
      <c r="G690" s="308"/>
      <c r="H690" s="308"/>
      <c r="I690" s="308"/>
      <c r="J690" s="308"/>
      <c r="K690" s="308"/>
    </row>
    <row r="691" spans="2:11" ht="15" x14ac:dyDescent="0.25">
      <c r="B691" s="308"/>
      <c r="C691" s="308"/>
      <c r="D691" s="308"/>
      <c r="E691" s="308"/>
      <c r="F691" s="308"/>
      <c r="G691" s="308"/>
      <c r="H691" s="308"/>
      <c r="I691" s="308"/>
      <c r="J691" s="308"/>
      <c r="K691" s="308"/>
    </row>
    <row r="692" spans="2:11" ht="15" x14ac:dyDescent="0.25">
      <c r="B692" s="308"/>
      <c r="C692" s="308"/>
      <c r="D692" s="308"/>
      <c r="E692" s="308"/>
      <c r="F692" s="308"/>
      <c r="G692" s="308"/>
      <c r="H692" s="308"/>
      <c r="I692" s="308"/>
      <c r="J692" s="308"/>
      <c r="K692" s="308"/>
    </row>
    <row r="693" spans="2:11" ht="15" x14ac:dyDescent="0.25">
      <c r="B693" s="308"/>
      <c r="C693" s="308"/>
      <c r="D693" s="308"/>
      <c r="E693" s="308"/>
      <c r="F693" s="308"/>
      <c r="G693" s="308"/>
      <c r="H693" s="308"/>
      <c r="I693" s="308"/>
      <c r="J693" s="308"/>
      <c r="K693" s="308"/>
    </row>
    <row r="694" spans="2:11" ht="15" x14ac:dyDescent="0.25">
      <c r="B694" s="308"/>
      <c r="C694" s="308"/>
      <c r="D694" s="308"/>
      <c r="E694" s="308"/>
      <c r="F694" s="308"/>
      <c r="G694" s="308"/>
      <c r="H694" s="308"/>
      <c r="I694" s="308"/>
      <c r="J694" s="308"/>
      <c r="K694" s="308"/>
    </row>
    <row r="695" spans="2:11" ht="15" x14ac:dyDescent="0.25">
      <c r="B695" s="308"/>
      <c r="C695" s="308"/>
      <c r="D695" s="308"/>
      <c r="E695" s="308"/>
      <c r="F695" s="308"/>
      <c r="G695" s="308"/>
      <c r="H695" s="308"/>
      <c r="I695" s="308"/>
      <c r="J695" s="308"/>
      <c r="K695" s="308"/>
    </row>
    <row r="696" spans="2:11" ht="15" x14ac:dyDescent="0.25">
      <c r="B696" s="308"/>
      <c r="C696" s="308"/>
      <c r="D696" s="308"/>
      <c r="E696" s="308"/>
      <c r="F696" s="308"/>
      <c r="G696" s="308"/>
      <c r="H696" s="308"/>
      <c r="I696" s="308"/>
      <c r="J696" s="308"/>
      <c r="K696" s="308"/>
    </row>
    <row r="697" spans="2:11" ht="15" x14ac:dyDescent="0.25">
      <c r="B697" s="308"/>
      <c r="C697" s="308"/>
      <c r="D697" s="308"/>
      <c r="E697" s="308"/>
      <c r="F697" s="308"/>
      <c r="G697" s="308"/>
      <c r="H697" s="308"/>
      <c r="I697" s="308"/>
      <c r="J697" s="308"/>
      <c r="K697" s="308"/>
    </row>
    <row r="698" spans="2:11" ht="15" x14ac:dyDescent="0.25">
      <c r="B698" s="308"/>
      <c r="C698" s="308"/>
      <c r="D698" s="308"/>
      <c r="E698" s="308"/>
      <c r="F698" s="308"/>
      <c r="G698" s="308"/>
      <c r="H698" s="308"/>
      <c r="I698" s="308"/>
      <c r="J698" s="308"/>
      <c r="K698" s="308"/>
    </row>
    <row r="699" spans="2:11" ht="15" x14ac:dyDescent="0.25">
      <c r="B699" s="308"/>
      <c r="C699" s="308"/>
      <c r="D699" s="308"/>
      <c r="E699" s="308"/>
      <c r="F699" s="308"/>
      <c r="G699" s="308"/>
      <c r="H699" s="308"/>
      <c r="I699" s="308"/>
      <c r="J699" s="308"/>
      <c r="K699" s="308"/>
    </row>
    <row r="700" spans="2:11" ht="15" x14ac:dyDescent="0.25">
      <c r="B700" s="308"/>
      <c r="C700" s="308"/>
      <c r="D700" s="308"/>
      <c r="E700" s="308"/>
      <c r="F700" s="308"/>
      <c r="G700" s="308"/>
      <c r="H700" s="308"/>
      <c r="I700" s="308"/>
      <c r="J700" s="308"/>
      <c r="K700" s="308"/>
    </row>
    <row r="701" spans="2:11" ht="15" x14ac:dyDescent="0.25">
      <c r="B701" s="308"/>
      <c r="C701" s="308"/>
      <c r="D701" s="308"/>
      <c r="E701" s="308"/>
      <c r="F701" s="308"/>
      <c r="G701" s="308"/>
      <c r="H701" s="308"/>
      <c r="I701" s="308"/>
      <c r="J701" s="308"/>
      <c r="K701" s="308"/>
    </row>
    <row r="702" spans="2:11" ht="15" x14ac:dyDescent="0.25">
      <c r="B702" s="308"/>
      <c r="C702" s="308"/>
      <c r="D702" s="308"/>
      <c r="E702" s="308"/>
      <c r="F702" s="308"/>
      <c r="G702" s="308"/>
      <c r="H702" s="308"/>
      <c r="I702" s="308"/>
      <c r="J702" s="308"/>
      <c r="K702" s="308"/>
    </row>
    <row r="703" spans="2:11" ht="15" x14ac:dyDescent="0.25">
      <c r="B703" s="308"/>
      <c r="C703" s="308"/>
      <c r="D703" s="308"/>
      <c r="E703" s="308"/>
      <c r="F703" s="308"/>
      <c r="G703" s="308"/>
      <c r="H703" s="308"/>
      <c r="I703" s="308"/>
      <c r="J703" s="308"/>
      <c r="K703" s="308"/>
    </row>
    <row r="704" spans="2:11" ht="15" x14ac:dyDescent="0.25">
      <c r="B704" s="308"/>
      <c r="C704" s="308"/>
      <c r="D704" s="308"/>
      <c r="E704" s="308"/>
      <c r="F704" s="308"/>
      <c r="G704" s="308"/>
      <c r="H704" s="308"/>
      <c r="I704" s="308"/>
      <c r="J704" s="308"/>
      <c r="K704" s="308"/>
    </row>
    <row r="705" spans="2:11" ht="15" x14ac:dyDescent="0.25">
      <c r="B705" s="308"/>
      <c r="C705" s="308"/>
      <c r="D705" s="308"/>
      <c r="E705" s="308"/>
      <c r="F705" s="308"/>
      <c r="G705" s="308"/>
      <c r="H705" s="308"/>
      <c r="I705" s="308"/>
      <c r="J705" s="308"/>
      <c r="K705" s="308"/>
    </row>
    <row r="706" spans="2:11" ht="15" x14ac:dyDescent="0.25">
      <c r="B706" s="308"/>
      <c r="C706" s="308"/>
      <c r="D706" s="308"/>
      <c r="E706" s="308"/>
      <c r="F706" s="308"/>
      <c r="G706" s="308"/>
      <c r="H706" s="308"/>
      <c r="I706" s="308"/>
      <c r="J706" s="308"/>
      <c r="K706" s="308"/>
    </row>
    <row r="707" spans="2:11" ht="15" x14ac:dyDescent="0.25">
      <c r="B707" s="308"/>
      <c r="C707" s="308"/>
      <c r="D707" s="308"/>
      <c r="E707" s="308"/>
      <c r="F707" s="308"/>
      <c r="G707" s="308"/>
      <c r="H707" s="308"/>
      <c r="I707" s="308"/>
      <c r="J707" s="308"/>
      <c r="K707" s="308"/>
    </row>
    <row r="708" spans="2:11" ht="15" x14ac:dyDescent="0.25">
      <c r="B708" s="308"/>
      <c r="C708" s="308"/>
      <c r="D708" s="308"/>
      <c r="E708" s="308"/>
      <c r="F708" s="308"/>
      <c r="G708" s="308"/>
      <c r="H708" s="308"/>
      <c r="I708" s="308"/>
      <c r="J708" s="308"/>
      <c r="K708" s="308"/>
    </row>
    <row r="709" spans="2:11" ht="15" x14ac:dyDescent="0.25">
      <c r="B709" s="308"/>
      <c r="C709" s="308"/>
      <c r="D709" s="308"/>
      <c r="E709" s="308"/>
      <c r="F709" s="308"/>
      <c r="G709" s="308"/>
      <c r="H709" s="308"/>
      <c r="I709" s="308"/>
      <c r="J709" s="308"/>
      <c r="K709" s="308"/>
    </row>
    <row r="710" spans="2:11" ht="15" x14ac:dyDescent="0.25">
      <c r="B710" s="308"/>
      <c r="C710" s="308"/>
      <c r="D710" s="308"/>
      <c r="E710" s="308"/>
      <c r="F710" s="308"/>
      <c r="G710" s="308"/>
      <c r="H710" s="308"/>
      <c r="I710" s="308"/>
      <c r="J710" s="308"/>
      <c r="K710" s="308"/>
    </row>
    <row r="711" spans="2:11" ht="15" x14ac:dyDescent="0.25">
      <c r="B711" s="308"/>
      <c r="C711" s="308"/>
      <c r="D711" s="308"/>
      <c r="E711" s="308"/>
      <c r="F711" s="308"/>
      <c r="G711" s="308"/>
      <c r="H711" s="308"/>
      <c r="I711" s="308"/>
      <c r="J711" s="308"/>
      <c r="K711" s="308"/>
    </row>
    <row r="712" spans="2:11" ht="15" x14ac:dyDescent="0.25">
      <c r="B712" s="308"/>
      <c r="C712" s="308"/>
      <c r="D712" s="308"/>
      <c r="E712" s="308"/>
      <c r="F712" s="308"/>
      <c r="G712" s="308"/>
      <c r="H712" s="308"/>
      <c r="I712" s="308"/>
      <c r="J712" s="308"/>
      <c r="K712" s="308"/>
    </row>
    <row r="713" spans="2:11" ht="15" x14ac:dyDescent="0.25">
      <c r="B713" s="308"/>
      <c r="C713" s="308"/>
      <c r="D713" s="308"/>
      <c r="E713" s="308"/>
      <c r="F713" s="308"/>
      <c r="G713" s="308"/>
      <c r="H713" s="308"/>
      <c r="I713" s="308"/>
      <c r="J713" s="308"/>
      <c r="K713" s="308"/>
    </row>
    <row r="714" spans="2:11" ht="15" x14ac:dyDescent="0.25">
      <c r="B714" s="308"/>
      <c r="C714" s="308"/>
      <c r="D714" s="308"/>
      <c r="E714" s="308"/>
      <c r="F714" s="308"/>
      <c r="G714" s="308"/>
      <c r="H714" s="308"/>
      <c r="I714" s="308"/>
      <c r="J714" s="308"/>
      <c r="K714" s="308"/>
    </row>
    <row r="715" spans="2:11" ht="15" x14ac:dyDescent="0.25">
      <c r="B715" s="308"/>
      <c r="C715" s="308"/>
      <c r="D715" s="308"/>
      <c r="E715" s="308"/>
      <c r="F715" s="308"/>
      <c r="G715" s="308"/>
      <c r="H715" s="308"/>
      <c r="I715" s="308"/>
      <c r="J715" s="308"/>
      <c r="K715" s="308"/>
    </row>
    <row r="716" spans="2:11" ht="15" x14ac:dyDescent="0.25">
      <c r="B716" s="308"/>
      <c r="C716" s="308"/>
      <c r="D716" s="308"/>
      <c r="E716" s="308"/>
      <c r="F716" s="308"/>
      <c r="G716" s="308"/>
      <c r="H716" s="308"/>
      <c r="I716" s="308"/>
      <c r="J716" s="308"/>
      <c r="K716" s="308"/>
    </row>
    <row r="717" spans="2:11" ht="15" x14ac:dyDescent="0.25">
      <c r="B717" s="308"/>
      <c r="C717" s="308"/>
      <c r="D717" s="308"/>
      <c r="E717" s="308"/>
      <c r="F717" s="308"/>
      <c r="G717" s="308"/>
      <c r="H717" s="308"/>
      <c r="I717" s="308"/>
      <c r="J717" s="308"/>
      <c r="K717" s="308"/>
    </row>
    <row r="718" spans="2:11" ht="15" x14ac:dyDescent="0.25">
      <c r="B718" s="308"/>
      <c r="C718" s="308"/>
      <c r="D718" s="308"/>
      <c r="E718" s="308"/>
      <c r="F718" s="308"/>
      <c r="G718" s="308"/>
      <c r="H718" s="308"/>
      <c r="I718" s="308"/>
      <c r="J718" s="308"/>
      <c r="K718" s="308"/>
    </row>
    <row r="719" spans="2:11" ht="15" x14ac:dyDescent="0.25">
      <c r="B719" s="308"/>
      <c r="C719" s="308"/>
      <c r="D719" s="308"/>
      <c r="E719" s="308"/>
      <c r="F719" s="308"/>
      <c r="G719" s="308"/>
      <c r="H719" s="308"/>
      <c r="I719" s="308"/>
      <c r="J719" s="308"/>
      <c r="K719" s="308"/>
    </row>
    <row r="720" spans="2:11" ht="15" x14ac:dyDescent="0.25">
      <c r="B720" s="308"/>
      <c r="C720" s="308"/>
      <c r="D720" s="308"/>
      <c r="E720" s="308"/>
      <c r="F720" s="308"/>
      <c r="G720" s="308"/>
      <c r="H720" s="308"/>
      <c r="I720" s="308"/>
      <c r="J720" s="308"/>
      <c r="K720" s="308"/>
    </row>
    <row r="721" spans="2:11" ht="15" x14ac:dyDescent="0.25">
      <c r="B721" s="308"/>
      <c r="C721" s="308"/>
      <c r="D721" s="308"/>
      <c r="E721" s="308"/>
      <c r="F721" s="308"/>
      <c r="G721" s="308"/>
      <c r="H721" s="308"/>
      <c r="I721" s="308"/>
      <c r="J721" s="308"/>
      <c r="K721" s="308"/>
    </row>
    <row r="722" spans="2:11" ht="15" x14ac:dyDescent="0.25">
      <c r="B722" s="308"/>
      <c r="C722" s="308"/>
      <c r="D722" s="308"/>
      <c r="E722" s="308"/>
      <c r="F722" s="308"/>
      <c r="G722" s="308"/>
      <c r="H722" s="308"/>
      <c r="I722" s="308"/>
      <c r="J722" s="308"/>
      <c r="K722" s="308"/>
    </row>
    <row r="723" spans="2:11" ht="15" x14ac:dyDescent="0.25">
      <c r="B723" s="308"/>
      <c r="C723" s="308"/>
      <c r="D723" s="308"/>
      <c r="E723" s="308"/>
      <c r="F723" s="308"/>
      <c r="G723" s="308"/>
      <c r="H723" s="308"/>
      <c r="I723" s="308"/>
      <c r="J723" s="308"/>
      <c r="K723" s="308"/>
    </row>
    <row r="724" spans="2:11" ht="15" x14ac:dyDescent="0.25">
      <c r="B724" s="308"/>
      <c r="C724" s="308"/>
      <c r="D724" s="308"/>
      <c r="E724" s="308"/>
      <c r="F724" s="308"/>
      <c r="G724" s="308"/>
      <c r="H724" s="308"/>
      <c r="I724" s="308"/>
      <c r="J724" s="308"/>
      <c r="K724" s="308"/>
    </row>
    <row r="725" spans="2:11" ht="15" x14ac:dyDescent="0.25">
      <c r="B725" s="308"/>
      <c r="C725" s="308"/>
      <c r="D725" s="308"/>
      <c r="E725" s="308"/>
      <c r="F725" s="308"/>
      <c r="G725" s="308"/>
      <c r="H725" s="308"/>
      <c r="I725" s="308"/>
      <c r="J725" s="308"/>
      <c r="K725" s="308"/>
    </row>
    <row r="726" spans="2:11" ht="15" x14ac:dyDescent="0.25">
      <c r="B726" s="308"/>
      <c r="C726" s="308"/>
      <c r="D726" s="308"/>
      <c r="E726" s="308"/>
      <c r="F726" s="308"/>
      <c r="G726" s="308"/>
      <c r="H726" s="308"/>
      <c r="I726" s="308"/>
      <c r="J726" s="308"/>
      <c r="K726" s="308"/>
    </row>
    <row r="727" spans="2:11" ht="15" x14ac:dyDescent="0.25">
      <c r="B727" s="308"/>
      <c r="C727" s="308"/>
      <c r="D727" s="308"/>
      <c r="E727" s="308"/>
      <c r="F727" s="308"/>
      <c r="G727" s="308"/>
      <c r="H727" s="308"/>
      <c r="I727" s="308"/>
      <c r="J727" s="308"/>
      <c r="K727" s="308"/>
    </row>
    <row r="728" spans="2:11" ht="15" x14ac:dyDescent="0.25">
      <c r="B728" s="308"/>
      <c r="C728" s="308"/>
      <c r="D728" s="308"/>
      <c r="E728" s="308"/>
      <c r="F728" s="308"/>
      <c r="G728" s="308"/>
      <c r="H728" s="308"/>
      <c r="I728" s="308"/>
      <c r="J728" s="308"/>
      <c r="K728" s="308"/>
    </row>
    <row r="729" spans="2:11" ht="15" x14ac:dyDescent="0.25">
      <c r="B729" s="308"/>
      <c r="C729" s="308"/>
      <c r="D729" s="308"/>
      <c r="E729" s="308"/>
      <c r="F729" s="308"/>
      <c r="G729" s="308"/>
      <c r="H729" s="308"/>
      <c r="I729" s="308"/>
      <c r="J729" s="308"/>
      <c r="K729" s="308"/>
    </row>
    <row r="730" spans="2:11" ht="15" x14ac:dyDescent="0.25">
      <c r="B730" s="308"/>
      <c r="C730" s="308"/>
      <c r="D730" s="308"/>
      <c r="E730" s="308"/>
      <c r="F730" s="308"/>
      <c r="G730" s="308"/>
      <c r="H730" s="308"/>
      <c r="I730" s="308"/>
      <c r="J730" s="308"/>
      <c r="K730" s="308"/>
    </row>
    <row r="731" spans="2:11" ht="15" x14ac:dyDescent="0.25">
      <c r="B731" s="308"/>
      <c r="C731" s="308"/>
      <c r="D731" s="308"/>
      <c r="E731" s="308"/>
      <c r="F731" s="308"/>
      <c r="G731" s="308"/>
      <c r="H731" s="308"/>
      <c r="I731" s="308"/>
      <c r="J731" s="308"/>
      <c r="K731" s="308"/>
    </row>
    <row r="732" spans="2:11" ht="15" x14ac:dyDescent="0.25">
      <c r="B732" s="308"/>
      <c r="C732" s="308"/>
      <c r="D732" s="308"/>
      <c r="E732" s="308"/>
      <c r="F732" s="308"/>
      <c r="G732" s="308"/>
      <c r="H732" s="308"/>
      <c r="I732" s="308"/>
      <c r="J732" s="308"/>
      <c r="K732" s="308"/>
    </row>
    <row r="733" spans="2:11" ht="15" x14ac:dyDescent="0.25">
      <c r="B733" s="308"/>
      <c r="C733" s="308"/>
      <c r="D733" s="308"/>
      <c r="E733" s="308"/>
      <c r="F733" s="308"/>
      <c r="G733" s="308"/>
      <c r="H733" s="308"/>
      <c r="I733" s="308"/>
      <c r="J733" s="308"/>
      <c r="K733" s="308"/>
    </row>
    <row r="734" spans="2:11" ht="15" x14ac:dyDescent="0.25">
      <c r="B734" s="308"/>
      <c r="C734" s="308"/>
      <c r="D734" s="308"/>
      <c r="E734" s="308"/>
      <c r="F734" s="308"/>
      <c r="G734" s="308"/>
      <c r="H734" s="308"/>
      <c r="I734" s="308"/>
      <c r="J734" s="308"/>
      <c r="K734" s="308"/>
    </row>
    <row r="735" spans="2:11" ht="15" x14ac:dyDescent="0.25">
      <c r="B735" s="308"/>
      <c r="C735" s="308"/>
      <c r="D735" s="308"/>
      <c r="E735" s="308"/>
      <c r="F735" s="308"/>
      <c r="G735" s="308"/>
      <c r="H735" s="308"/>
      <c r="I735" s="308"/>
      <c r="J735" s="308"/>
      <c r="K735" s="308"/>
    </row>
    <row r="736" spans="2:11" ht="15" x14ac:dyDescent="0.25">
      <c r="B736" s="308"/>
      <c r="C736" s="308"/>
      <c r="D736" s="308"/>
      <c r="E736" s="308"/>
      <c r="F736" s="308"/>
      <c r="G736" s="308"/>
      <c r="H736" s="308"/>
      <c r="I736" s="308"/>
      <c r="J736" s="308"/>
      <c r="K736" s="308"/>
    </row>
    <row r="737" spans="2:11" ht="15" x14ac:dyDescent="0.25">
      <c r="B737" s="308"/>
      <c r="C737" s="308"/>
      <c r="D737" s="308"/>
      <c r="E737" s="308"/>
      <c r="F737" s="308"/>
      <c r="G737" s="308"/>
      <c r="H737" s="308"/>
      <c r="I737" s="308"/>
      <c r="J737" s="308"/>
      <c r="K737" s="308"/>
    </row>
    <row r="738" spans="2:11" ht="15" x14ac:dyDescent="0.25">
      <c r="B738" s="308"/>
      <c r="C738" s="308"/>
      <c r="D738" s="308"/>
      <c r="E738" s="308"/>
      <c r="F738" s="308"/>
      <c r="G738" s="308"/>
      <c r="H738" s="308"/>
      <c r="I738" s="308"/>
      <c r="J738" s="308"/>
      <c r="K738" s="308"/>
    </row>
    <row r="739" spans="2:11" ht="15" x14ac:dyDescent="0.25">
      <c r="B739" s="308"/>
      <c r="C739" s="308"/>
      <c r="D739" s="308"/>
      <c r="E739" s="308"/>
      <c r="F739" s="308"/>
      <c r="G739" s="308"/>
      <c r="H739" s="308"/>
      <c r="I739" s="308"/>
      <c r="J739" s="308"/>
      <c r="K739" s="308"/>
    </row>
    <row r="740" spans="2:11" ht="15" x14ac:dyDescent="0.25">
      <c r="B740" s="308"/>
      <c r="C740" s="308"/>
      <c r="D740" s="308"/>
      <c r="E740" s="308"/>
      <c r="F740" s="308"/>
      <c r="G740" s="308"/>
      <c r="H740" s="308"/>
      <c r="I740" s="308"/>
      <c r="J740" s="308"/>
      <c r="K740" s="308"/>
    </row>
    <row r="741" spans="2:11" ht="15" x14ac:dyDescent="0.25">
      <c r="B741" s="308"/>
      <c r="C741" s="308"/>
      <c r="D741" s="308"/>
      <c r="E741" s="308"/>
      <c r="F741" s="308"/>
      <c r="G741" s="308"/>
      <c r="H741" s="308"/>
      <c r="I741" s="308"/>
      <c r="J741" s="308"/>
      <c r="K741" s="308"/>
    </row>
    <row r="742" spans="2:11" ht="15" x14ac:dyDescent="0.25">
      <c r="B742" s="308"/>
      <c r="C742" s="308"/>
      <c r="D742" s="308"/>
      <c r="E742" s="308"/>
      <c r="F742" s="308"/>
      <c r="G742" s="308"/>
      <c r="H742" s="308"/>
      <c r="I742" s="308"/>
      <c r="J742" s="308"/>
      <c r="K742" s="308"/>
    </row>
    <row r="743" spans="2:11" ht="15" x14ac:dyDescent="0.25">
      <c r="B743" s="308"/>
      <c r="C743" s="308"/>
      <c r="D743" s="308"/>
      <c r="E743" s="308"/>
      <c r="F743" s="308"/>
      <c r="G743" s="308"/>
      <c r="H743" s="308"/>
      <c r="I743" s="308"/>
      <c r="J743" s="308"/>
      <c r="K743" s="308"/>
    </row>
    <row r="744" spans="2:11" ht="15" x14ac:dyDescent="0.25">
      <c r="B744" s="308"/>
      <c r="C744" s="308"/>
      <c r="D744" s="308"/>
      <c r="E744" s="308"/>
      <c r="F744" s="308"/>
      <c r="G744" s="308"/>
      <c r="H744" s="308"/>
      <c r="I744" s="308"/>
      <c r="J744" s="308"/>
      <c r="K744" s="308"/>
    </row>
    <row r="745" spans="2:11" ht="15" x14ac:dyDescent="0.25">
      <c r="B745" s="308"/>
      <c r="C745" s="308"/>
      <c r="D745" s="308"/>
      <c r="E745" s="308"/>
      <c r="F745" s="308"/>
      <c r="G745" s="308"/>
      <c r="H745" s="308"/>
      <c r="I745" s="308"/>
      <c r="J745" s="308"/>
      <c r="K745" s="308"/>
    </row>
    <row r="746" spans="2:11" ht="15" x14ac:dyDescent="0.25">
      <c r="B746" s="308"/>
      <c r="C746" s="308"/>
      <c r="D746" s="308"/>
      <c r="E746" s="308"/>
      <c r="F746" s="308"/>
      <c r="G746" s="308"/>
      <c r="H746" s="308"/>
      <c r="I746" s="308"/>
      <c r="J746" s="308"/>
      <c r="K746" s="308"/>
    </row>
    <row r="747" spans="2:11" ht="15" x14ac:dyDescent="0.25">
      <c r="B747" s="308"/>
      <c r="C747" s="308"/>
      <c r="D747" s="308"/>
      <c r="E747" s="308"/>
      <c r="F747" s="308"/>
      <c r="G747" s="308"/>
      <c r="H747" s="308"/>
      <c r="I747" s="308"/>
      <c r="J747" s="308"/>
      <c r="K747" s="308"/>
    </row>
    <row r="748" spans="2:11" ht="15" x14ac:dyDescent="0.25">
      <c r="B748" s="308"/>
      <c r="C748" s="308"/>
      <c r="D748" s="308"/>
      <c r="E748" s="308"/>
      <c r="F748" s="308"/>
      <c r="G748" s="308"/>
      <c r="H748" s="308"/>
      <c r="I748" s="308"/>
      <c r="J748" s="308"/>
      <c r="K748" s="308"/>
    </row>
    <row r="749" spans="2:11" ht="15" x14ac:dyDescent="0.25">
      <c r="B749" s="308"/>
      <c r="C749" s="308"/>
      <c r="D749" s="308"/>
      <c r="E749" s="308"/>
      <c r="F749" s="308"/>
      <c r="G749" s="308"/>
      <c r="H749" s="308"/>
      <c r="I749" s="308"/>
      <c r="J749" s="308"/>
      <c r="K749" s="308"/>
    </row>
    <row r="750" spans="2:11" ht="15" x14ac:dyDescent="0.25">
      <c r="B750" s="308"/>
      <c r="C750" s="308"/>
      <c r="D750" s="308"/>
      <c r="E750" s="308"/>
      <c r="F750" s="308"/>
      <c r="G750" s="308"/>
      <c r="H750" s="308"/>
      <c r="I750" s="308"/>
      <c r="J750" s="308"/>
      <c r="K750" s="308"/>
    </row>
    <row r="751" spans="2:11" ht="15" x14ac:dyDescent="0.25">
      <c r="B751" s="308"/>
      <c r="C751" s="308"/>
      <c r="D751" s="308"/>
      <c r="E751" s="308"/>
      <c r="F751" s="308"/>
      <c r="G751" s="308"/>
      <c r="H751" s="308"/>
      <c r="I751" s="308"/>
      <c r="J751" s="308"/>
      <c r="K751" s="308"/>
    </row>
    <row r="752" spans="2:11" ht="15" x14ac:dyDescent="0.25">
      <c r="B752" s="308"/>
      <c r="C752" s="308"/>
      <c r="D752" s="308"/>
      <c r="E752" s="308"/>
      <c r="F752" s="308"/>
      <c r="G752" s="308"/>
      <c r="H752" s="308"/>
      <c r="I752" s="308"/>
      <c r="J752" s="308"/>
      <c r="K752" s="308"/>
    </row>
    <row r="753" spans="2:11" ht="15" x14ac:dyDescent="0.25">
      <c r="B753" s="308"/>
      <c r="C753" s="308"/>
      <c r="D753" s="308"/>
      <c r="E753" s="308"/>
      <c r="F753" s="308"/>
      <c r="G753" s="308"/>
      <c r="H753" s="308"/>
      <c r="I753" s="308"/>
      <c r="J753" s="308"/>
      <c r="K753" s="308"/>
    </row>
    <row r="754" spans="2:11" ht="15" x14ac:dyDescent="0.25">
      <c r="B754" s="308"/>
      <c r="C754" s="308"/>
      <c r="D754" s="308"/>
      <c r="E754" s="308"/>
      <c r="F754" s="308"/>
      <c r="G754" s="308"/>
      <c r="H754" s="308"/>
      <c r="I754" s="308"/>
      <c r="J754" s="308"/>
      <c r="K754" s="308"/>
    </row>
    <row r="755" spans="2:11" ht="15" x14ac:dyDescent="0.25">
      <c r="B755" s="308"/>
      <c r="C755" s="308"/>
      <c r="D755" s="308"/>
      <c r="E755" s="308"/>
      <c r="F755" s="308"/>
      <c r="G755" s="308"/>
      <c r="H755" s="308"/>
      <c r="I755" s="308"/>
      <c r="J755" s="308"/>
      <c r="K755" s="308"/>
    </row>
    <row r="756" spans="2:11" ht="15" x14ac:dyDescent="0.25">
      <c r="B756" s="308"/>
      <c r="C756" s="308"/>
      <c r="D756" s="308"/>
      <c r="E756" s="308"/>
      <c r="F756" s="308"/>
      <c r="G756" s="308"/>
      <c r="H756" s="308"/>
      <c r="I756" s="308"/>
      <c r="J756" s="308"/>
      <c r="K756" s="308"/>
    </row>
    <row r="757" spans="2:11" ht="15" x14ac:dyDescent="0.25">
      <c r="B757" s="308"/>
      <c r="C757" s="308"/>
      <c r="D757" s="308"/>
      <c r="E757" s="308"/>
      <c r="F757" s="308"/>
      <c r="G757" s="308"/>
      <c r="H757" s="308"/>
      <c r="I757" s="308"/>
      <c r="J757" s="308"/>
      <c r="K757" s="308"/>
    </row>
    <row r="758" spans="2:11" ht="15" x14ac:dyDescent="0.25">
      <c r="B758" s="308"/>
      <c r="C758" s="308"/>
      <c r="D758" s="308"/>
      <c r="E758" s="308"/>
      <c r="F758" s="308"/>
      <c r="G758" s="308"/>
      <c r="H758" s="308"/>
      <c r="I758" s="308"/>
      <c r="J758" s="308"/>
      <c r="K758" s="308"/>
    </row>
    <row r="759" spans="2:11" ht="15" x14ac:dyDescent="0.25">
      <c r="B759" s="308"/>
      <c r="C759" s="308"/>
      <c r="D759" s="308"/>
      <c r="E759" s="308"/>
      <c r="F759" s="308"/>
      <c r="G759" s="308"/>
      <c r="H759" s="308"/>
      <c r="I759" s="308"/>
      <c r="J759" s="308"/>
    </row>
    <row r="760" spans="2:11" ht="15" x14ac:dyDescent="0.25">
      <c r="B760" s="308"/>
      <c r="C760" s="308"/>
      <c r="D760" s="308"/>
      <c r="E760" s="308"/>
      <c r="F760" s="308"/>
      <c r="G760" s="308"/>
      <c r="H760" s="308"/>
      <c r="I760" s="308"/>
      <c r="J760" s="308"/>
    </row>
    <row r="761" spans="2:11" ht="15" x14ac:dyDescent="0.25">
      <c r="B761" s="308"/>
      <c r="C761" s="308"/>
      <c r="D761" s="308"/>
      <c r="E761" s="308"/>
      <c r="F761" s="308"/>
      <c r="G761" s="308"/>
      <c r="H761" s="308"/>
      <c r="I761" s="308"/>
      <c r="J761" s="308"/>
    </row>
    <row r="762" spans="2:11" ht="15" x14ac:dyDescent="0.25">
      <c r="B762" s="308"/>
      <c r="C762" s="308"/>
      <c r="D762" s="308"/>
      <c r="E762" s="308"/>
      <c r="F762" s="308"/>
      <c r="G762" s="308"/>
      <c r="H762" s="308"/>
      <c r="I762" s="308"/>
      <c r="J762" s="308"/>
    </row>
    <row r="763" spans="2:11" ht="15" x14ac:dyDescent="0.25">
      <c r="B763" s="308"/>
      <c r="C763" s="308"/>
      <c r="D763" s="308"/>
      <c r="E763" s="308"/>
      <c r="F763" s="308"/>
      <c r="G763" s="308"/>
      <c r="H763" s="308"/>
      <c r="I763" s="308"/>
      <c r="J763" s="308"/>
    </row>
    <row r="764" spans="2:11" ht="15" x14ac:dyDescent="0.25">
      <c r="B764" s="308"/>
      <c r="C764" s="308"/>
      <c r="D764" s="308"/>
      <c r="E764" s="308"/>
      <c r="F764" s="308"/>
      <c r="G764" s="308"/>
      <c r="H764" s="308"/>
      <c r="I764" s="308"/>
      <c r="J764" s="308"/>
    </row>
    <row r="765" spans="2:11" ht="15" x14ac:dyDescent="0.25">
      <c r="B765" s="308"/>
      <c r="C765" s="308"/>
      <c r="D765" s="308"/>
      <c r="E765" s="308"/>
      <c r="F765" s="308"/>
      <c r="G765" s="308"/>
      <c r="H765" s="308"/>
      <c r="I765" s="308"/>
      <c r="J765" s="308"/>
    </row>
    <row r="766" spans="2:11" ht="15" x14ac:dyDescent="0.25">
      <c r="B766" s="308"/>
      <c r="C766" s="308"/>
      <c r="D766" s="308"/>
      <c r="E766" s="308"/>
      <c r="F766" s="308"/>
      <c r="G766" s="308"/>
      <c r="H766" s="308"/>
      <c r="I766" s="308"/>
      <c r="J766" s="308"/>
    </row>
    <row r="767" spans="2:11" ht="15" x14ac:dyDescent="0.25">
      <c r="B767" s="308"/>
      <c r="C767" s="308"/>
      <c r="D767" s="308"/>
      <c r="E767" s="308"/>
      <c r="F767" s="308"/>
      <c r="G767" s="308"/>
      <c r="H767" s="308"/>
      <c r="I767" s="308"/>
      <c r="J767" s="308"/>
    </row>
    <row r="768" spans="2:11" ht="15" x14ac:dyDescent="0.25">
      <c r="B768" s="308"/>
      <c r="C768" s="308"/>
      <c r="D768" s="308"/>
      <c r="E768" s="308"/>
      <c r="F768" s="308"/>
      <c r="G768" s="308"/>
      <c r="H768" s="308"/>
      <c r="I768" s="308"/>
      <c r="J768" s="308"/>
    </row>
    <row r="769" spans="2:10" ht="15" x14ac:dyDescent="0.25">
      <c r="B769" s="308"/>
      <c r="C769" s="308"/>
      <c r="D769" s="308"/>
      <c r="E769" s="308"/>
      <c r="F769" s="308"/>
      <c r="G769" s="308"/>
      <c r="H769" s="308"/>
      <c r="I769" s="308"/>
      <c r="J769" s="308"/>
    </row>
    <row r="770" spans="2:10" ht="15" x14ac:dyDescent="0.25">
      <c r="B770" s="308"/>
      <c r="C770" s="308"/>
      <c r="D770" s="308"/>
      <c r="E770" s="308"/>
      <c r="F770" s="308"/>
      <c r="G770" s="308"/>
      <c r="H770" s="308"/>
      <c r="I770" s="308"/>
      <c r="J770" s="308"/>
    </row>
    <row r="771" spans="2:10" ht="15" x14ac:dyDescent="0.25">
      <c r="B771" s="308"/>
      <c r="C771" s="308"/>
      <c r="D771" s="308"/>
      <c r="E771" s="308"/>
      <c r="F771" s="308"/>
      <c r="G771" s="308"/>
      <c r="H771" s="308"/>
      <c r="I771" s="308"/>
      <c r="J771" s="308"/>
    </row>
    <row r="772" spans="2:10" ht="15" x14ac:dyDescent="0.25">
      <c r="B772" s="308"/>
      <c r="C772" s="308"/>
      <c r="D772" s="308"/>
      <c r="E772" s="308"/>
      <c r="F772" s="308"/>
      <c r="G772" s="308"/>
      <c r="H772" s="308"/>
      <c r="I772" s="308"/>
      <c r="J772" s="308"/>
    </row>
    <row r="773" spans="2:10" ht="15" x14ac:dyDescent="0.25">
      <c r="B773" s="308"/>
      <c r="C773" s="308"/>
      <c r="D773" s="308"/>
      <c r="E773" s="308"/>
      <c r="F773" s="308"/>
      <c r="G773" s="308"/>
      <c r="H773" s="308"/>
      <c r="I773" s="308"/>
      <c r="J773" s="308"/>
    </row>
    <row r="774" spans="2:10" ht="15" x14ac:dyDescent="0.25">
      <c r="B774" s="308"/>
      <c r="C774" s="308"/>
      <c r="D774" s="308"/>
      <c r="E774" s="308"/>
      <c r="F774" s="308"/>
      <c r="G774" s="308"/>
      <c r="H774" s="308"/>
      <c r="I774" s="308"/>
      <c r="J774" s="308"/>
    </row>
    <row r="775" spans="2:10" ht="15" x14ac:dyDescent="0.25">
      <c r="B775" s="308"/>
      <c r="C775" s="308"/>
      <c r="D775" s="308"/>
      <c r="E775" s="308"/>
      <c r="F775" s="308"/>
      <c r="G775" s="308"/>
      <c r="H775" s="308"/>
      <c r="I775" s="308"/>
      <c r="J775" s="308"/>
    </row>
    <row r="776" spans="2:10" ht="15" x14ac:dyDescent="0.25">
      <c r="B776" s="308"/>
      <c r="C776" s="308"/>
      <c r="D776" s="308"/>
      <c r="E776" s="308"/>
      <c r="F776" s="308"/>
      <c r="G776" s="308"/>
      <c r="H776" s="308"/>
      <c r="I776" s="308"/>
      <c r="J776" s="308"/>
    </row>
    <row r="777" spans="2:10" ht="15" x14ac:dyDescent="0.25">
      <c r="B777" s="308"/>
      <c r="C777" s="308"/>
      <c r="D777" s="308"/>
      <c r="E777" s="308"/>
      <c r="F777" s="308"/>
      <c r="G777" s="308"/>
      <c r="H777" s="308"/>
      <c r="I777" s="308"/>
      <c r="J777" s="308"/>
    </row>
    <row r="778" spans="2:10" ht="15" x14ac:dyDescent="0.25">
      <c r="B778" s="308"/>
      <c r="C778" s="308"/>
      <c r="D778" s="308"/>
      <c r="E778" s="308"/>
      <c r="F778" s="308"/>
      <c r="G778" s="308"/>
      <c r="H778" s="308"/>
      <c r="I778" s="308"/>
      <c r="J778" s="308"/>
    </row>
    <row r="779" spans="2:10" ht="15" x14ac:dyDescent="0.25">
      <c r="B779" s="308"/>
      <c r="C779" s="308"/>
      <c r="D779" s="308"/>
      <c r="E779" s="308"/>
      <c r="F779" s="308"/>
      <c r="G779" s="308"/>
      <c r="H779" s="308"/>
      <c r="I779" s="308"/>
      <c r="J779" s="308"/>
    </row>
    <row r="780" spans="2:10" ht="15" x14ac:dyDescent="0.25">
      <c r="B780" s="308"/>
      <c r="C780" s="308"/>
      <c r="D780" s="308"/>
      <c r="E780" s="308"/>
      <c r="F780" s="308"/>
      <c r="G780" s="308"/>
      <c r="H780" s="308"/>
      <c r="I780" s="308"/>
      <c r="J780" s="308"/>
    </row>
    <row r="781" spans="2:10" ht="15" x14ac:dyDescent="0.25">
      <c r="B781" s="308"/>
      <c r="C781" s="308"/>
      <c r="D781" s="308"/>
      <c r="E781" s="308"/>
      <c r="F781" s="308"/>
      <c r="G781" s="308"/>
      <c r="H781" s="308"/>
      <c r="I781" s="308"/>
      <c r="J781" s="308"/>
    </row>
    <row r="782" spans="2:10" ht="15" x14ac:dyDescent="0.25">
      <c r="B782" s="308"/>
      <c r="C782" s="308"/>
      <c r="D782" s="308"/>
      <c r="E782" s="308"/>
      <c r="F782" s="308"/>
      <c r="G782" s="308"/>
      <c r="H782" s="308"/>
      <c r="I782" s="308"/>
      <c r="J782" s="308"/>
    </row>
    <row r="783" spans="2:10" ht="15" x14ac:dyDescent="0.25">
      <c r="B783" s="308"/>
      <c r="C783" s="308"/>
      <c r="D783" s="308"/>
      <c r="E783" s="308"/>
      <c r="F783" s="308"/>
      <c r="G783" s="308"/>
      <c r="H783" s="308"/>
      <c r="I783" s="308"/>
      <c r="J783" s="308"/>
    </row>
    <row r="784" spans="2:10" ht="15" x14ac:dyDescent="0.25">
      <c r="B784" s="308"/>
      <c r="C784" s="308"/>
      <c r="D784" s="308"/>
      <c r="E784" s="308"/>
      <c r="F784" s="308"/>
      <c r="G784" s="308"/>
      <c r="H784" s="308"/>
      <c r="I784" s="308"/>
      <c r="J784" s="308"/>
    </row>
    <row r="785" spans="2:10" ht="15" x14ac:dyDescent="0.25">
      <c r="B785" s="308"/>
      <c r="C785" s="308"/>
      <c r="D785" s="308"/>
      <c r="E785" s="308"/>
      <c r="F785" s="308"/>
      <c r="G785" s="308"/>
      <c r="H785" s="308"/>
      <c r="I785" s="308"/>
      <c r="J785" s="308"/>
    </row>
    <row r="786" spans="2:10" ht="15" x14ac:dyDescent="0.25">
      <c r="B786" s="308"/>
      <c r="C786" s="308"/>
      <c r="D786" s="308"/>
      <c r="E786" s="308"/>
      <c r="F786" s="308"/>
      <c r="G786" s="308"/>
      <c r="H786" s="308"/>
      <c r="I786" s="308"/>
      <c r="J786" s="308"/>
    </row>
    <row r="787" spans="2:10" ht="15" x14ac:dyDescent="0.25">
      <c r="B787" s="308"/>
      <c r="C787" s="308"/>
      <c r="D787" s="308"/>
      <c r="E787" s="308"/>
      <c r="F787" s="308"/>
      <c r="G787" s="308"/>
      <c r="H787" s="308"/>
      <c r="I787" s="308"/>
      <c r="J787" s="308"/>
    </row>
    <row r="788" spans="2:10" ht="15" x14ac:dyDescent="0.25">
      <c r="B788" s="308"/>
      <c r="C788" s="308"/>
      <c r="D788" s="308"/>
      <c r="E788" s="308"/>
      <c r="F788" s="308"/>
      <c r="G788" s="308"/>
      <c r="H788" s="308"/>
      <c r="I788" s="308"/>
      <c r="J788" s="308"/>
    </row>
    <row r="789" spans="2:10" ht="15" x14ac:dyDescent="0.25">
      <c r="B789" s="308"/>
      <c r="C789" s="308"/>
      <c r="D789" s="308"/>
      <c r="E789" s="308"/>
      <c r="F789" s="308"/>
      <c r="G789" s="308"/>
      <c r="H789" s="308"/>
      <c r="I789" s="308"/>
      <c r="J789" s="308"/>
    </row>
    <row r="790" spans="2:10" ht="15" x14ac:dyDescent="0.25">
      <c r="B790" s="308"/>
      <c r="C790" s="308"/>
      <c r="D790" s="308"/>
      <c r="E790" s="308"/>
      <c r="F790" s="308"/>
      <c r="G790" s="308"/>
      <c r="H790" s="308"/>
      <c r="I790" s="308"/>
      <c r="J790" s="308"/>
    </row>
    <row r="791" spans="2:10" ht="15" x14ac:dyDescent="0.25">
      <c r="B791" s="308"/>
      <c r="C791" s="308"/>
      <c r="D791" s="308"/>
      <c r="E791" s="308"/>
      <c r="F791" s="308"/>
      <c r="G791" s="308"/>
      <c r="H791" s="308"/>
      <c r="I791" s="308"/>
      <c r="J791" s="308"/>
    </row>
    <row r="792" spans="2:10" ht="15" x14ac:dyDescent="0.25">
      <c r="B792" s="308"/>
      <c r="C792" s="308"/>
      <c r="D792" s="308"/>
      <c r="E792" s="308"/>
      <c r="F792" s="308"/>
      <c r="G792" s="308"/>
      <c r="H792" s="308"/>
      <c r="I792" s="308"/>
      <c r="J792" s="308"/>
    </row>
    <row r="793" spans="2:10" ht="15" x14ac:dyDescent="0.25">
      <c r="B793" s="308"/>
      <c r="C793" s="308"/>
      <c r="D793" s="308"/>
      <c r="E793" s="308"/>
      <c r="F793" s="308"/>
      <c r="G793" s="308"/>
      <c r="H793" s="308"/>
      <c r="I793" s="308"/>
      <c r="J793" s="308"/>
    </row>
    <row r="794" spans="2:10" ht="15" x14ac:dyDescent="0.25">
      <c r="B794" s="308"/>
      <c r="C794" s="308"/>
      <c r="D794" s="308"/>
      <c r="E794" s="308"/>
      <c r="F794" s="308"/>
      <c r="G794" s="308"/>
      <c r="H794" s="308"/>
      <c r="I794" s="308"/>
      <c r="J794" s="308"/>
    </row>
    <row r="795" spans="2:10" ht="15" x14ac:dyDescent="0.25">
      <c r="B795" s="308"/>
      <c r="C795" s="308"/>
      <c r="D795" s="308"/>
      <c r="E795" s="308"/>
      <c r="F795" s="308"/>
      <c r="G795" s="308"/>
      <c r="H795" s="308"/>
      <c r="I795" s="308"/>
      <c r="J795" s="308"/>
    </row>
    <row r="796" spans="2:10" ht="15" x14ac:dyDescent="0.25">
      <c r="B796" s="308"/>
      <c r="C796" s="308"/>
      <c r="D796" s="308"/>
      <c r="E796" s="308"/>
      <c r="F796" s="308"/>
      <c r="G796" s="308"/>
      <c r="H796" s="308"/>
      <c r="I796" s="308"/>
      <c r="J796" s="308"/>
    </row>
    <row r="797" spans="2:10" ht="15" x14ac:dyDescent="0.25">
      <c r="B797" s="308"/>
      <c r="C797" s="308"/>
      <c r="D797" s="308"/>
      <c r="E797" s="308"/>
      <c r="F797" s="308"/>
      <c r="G797" s="308"/>
      <c r="H797" s="308"/>
      <c r="I797" s="308"/>
      <c r="J797" s="308"/>
    </row>
    <row r="798" spans="2:10" ht="15" x14ac:dyDescent="0.25">
      <c r="B798" s="308"/>
      <c r="C798" s="308"/>
      <c r="D798" s="308"/>
      <c r="E798" s="308"/>
      <c r="F798" s="308"/>
      <c r="G798" s="308"/>
      <c r="H798" s="308"/>
      <c r="I798" s="308"/>
      <c r="J798" s="308"/>
    </row>
    <row r="799" spans="2:10" ht="15" x14ac:dyDescent="0.25">
      <c r="B799" s="308"/>
      <c r="C799" s="308"/>
      <c r="D799" s="308"/>
      <c r="E799" s="308"/>
      <c r="F799" s="308"/>
      <c r="G799" s="308"/>
      <c r="H799" s="308"/>
      <c r="I799" s="308"/>
      <c r="J799" s="308"/>
    </row>
    <row r="800" spans="2:10" ht="15" x14ac:dyDescent="0.25">
      <c r="B800" s="308"/>
      <c r="C800" s="308"/>
      <c r="D800" s="308"/>
      <c r="E800" s="308"/>
      <c r="F800" s="308"/>
      <c r="G800" s="308"/>
      <c r="H800" s="308"/>
      <c r="I800" s="308"/>
      <c r="J800" s="308"/>
    </row>
    <row r="801" spans="2:10" ht="15" x14ac:dyDescent="0.25">
      <c r="B801" s="308"/>
      <c r="C801" s="308"/>
      <c r="D801" s="308"/>
      <c r="E801" s="308"/>
      <c r="F801" s="308"/>
      <c r="G801" s="308"/>
      <c r="H801" s="308"/>
      <c r="I801" s="308"/>
      <c r="J801" s="308"/>
    </row>
    <row r="802" spans="2:10" ht="15" x14ac:dyDescent="0.25">
      <c r="B802" s="308"/>
      <c r="C802" s="308"/>
      <c r="D802" s="308"/>
      <c r="E802" s="308"/>
      <c r="F802" s="308"/>
      <c r="G802" s="308"/>
      <c r="H802" s="308"/>
      <c r="I802" s="308"/>
      <c r="J802" s="308"/>
    </row>
    <row r="803" spans="2:10" ht="15" x14ac:dyDescent="0.25">
      <c r="B803" s="308"/>
      <c r="C803" s="308"/>
      <c r="D803" s="308"/>
      <c r="E803" s="308"/>
      <c r="F803" s="308"/>
      <c r="G803" s="308"/>
      <c r="H803" s="308"/>
      <c r="I803" s="308"/>
      <c r="J803" s="308"/>
    </row>
    <row r="804" spans="2:10" ht="15" x14ac:dyDescent="0.25">
      <c r="B804" s="308"/>
      <c r="C804" s="308"/>
      <c r="D804" s="308"/>
      <c r="E804" s="308"/>
      <c r="F804" s="308"/>
      <c r="G804" s="308"/>
      <c r="H804" s="308"/>
      <c r="I804" s="308"/>
      <c r="J804" s="308"/>
    </row>
    <row r="805" spans="2:10" ht="15" x14ac:dyDescent="0.25">
      <c r="B805" s="308"/>
      <c r="C805" s="308"/>
      <c r="D805" s="308"/>
      <c r="E805" s="308"/>
      <c r="F805" s="308"/>
      <c r="G805" s="308"/>
      <c r="H805" s="308"/>
      <c r="I805" s="308"/>
      <c r="J805" s="308"/>
    </row>
    <row r="806" spans="2:10" ht="15" x14ac:dyDescent="0.25">
      <c r="B806" s="308"/>
      <c r="C806" s="308"/>
      <c r="D806" s="308"/>
      <c r="E806" s="308"/>
      <c r="F806" s="308"/>
      <c r="G806" s="308"/>
      <c r="H806" s="308"/>
      <c r="I806" s="308"/>
      <c r="J806" s="308"/>
    </row>
    <row r="807" spans="2:10" ht="15" x14ac:dyDescent="0.25">
      <c r="B807" s="308"/>
      <c r="C807" s="308"/>
      <c r="D807" s="308"/>
      <c r="E807" s="308"/>
      <c r="F807" s="308"/>
      <c r="G807" s="308"/>
      <c r="H807" s="308"/>
      <c r="I807" s="308"/>
      <c r="J807" s="308"/>
    </row>
    <row r="808" spans="2:10" ht="15" x14ac:dyDescent="0.25">
      <c r="B808" s="308"/>
      <c r="C808" s="308"/>
      <c r="D808" s="308"/>
      <c r="E808" s="308"/>
      <c r="F808" s="308"/>
      <c r="G808" s="308"/>
      <c r="H808" s="308"/>
      <c r="I808" s="308"/>
      <c r="J808" s="308"/>
    </row>
    <row r="809" spans="2:10" ht="15" x14ac:dyDescent="0.25">
      <c r="B809" s="308"/>
      <c r="C809" s="308"/>
      <c r="D809" s="308"/>
      <c r="E809" s="308"/>
      <c r="F809" s="308"/>
      <c r="G809" s="308"/>
      <c r="H809" s="308"/>
      <c r="I809" s="308"/>
      <c r="J809" s="308"/>
    </row>
    <row r="810" spans="2:10" ht="15" x14ac:dyDescent="0.25">
      <c r="B810" s="308"/>
      <c r="C810" s="308"/>
      <c r="D810" s="308"/>
      <c r="E810" s="308"/>
      <c r="F810" s="308"/>
      <c r="G810" s="308"/>
      <c r="H810" s="308"/>
      <c r="I810" s="308"/>
      <c r="J810" s="308"/>
    </row>
    <row r="811" spans="2:10" ht="15" x14ac:dyDescent="0.25">
      <c r="B811" s="308"/>
      <c r="C811" s="308"/>
      <c r="D811" s="308"/>
      <c r="E811" s="308"/>
      <c r="F811" s="308"/>
      <c r="G811" s="308"/>
      <c r="H811" s="308"/>
      <c r="I811" s="308"/>
      <c r="J811" s="308"/>
    </row>
    <row r="812" spans="2:10" ht="15" x14ac:dyDescent="0.25">
      <c r="B812" s="308"/>
      <c r="C812" s="308"/>
      <c r="D812" s="308"/>
      <c r="E812" s="308"/>
      <c r="F812" s="308"/>
      <c r="G812" s="308"/>
      <c r="H812" s="308"/>
      <c r="I812" s="308"/>
      <c r="J812" s="308"/>
    </row>
    <row r="813" spans="2:10" ht="15" x14ac:dyDescent="0.25">
      <c r="B813" s="308"/>
      <c r="C813" s="308"/>
      <c r="D813" s="308"/>
      <c r="E813" s="308"/>
      <c r="F813" s="308"/>
      <c r="G813" s="308"/>
      <c r="H813" s="308"/>
      <c r="I813" s="308"/>
      <c r="J813" s="308"/>
    </row>
    <row r="814" spans="2:10" ht="15" x14ac:dyDescent="0.25">
      <c r="B814" s="308"/>
      <c r="C814" s="308"/>
      <c r="D814" s="308"/>
      <c r="E814" s="308"/>
      <c r="F814" s="308"/>
      <c r="G814" s="308"/>
      <c r="H814" s="308"/>
      <c r="I814" s="308"/>
      <c r="J814" s="308"/>
    </row>
    <row r="815" spans="2:10" ht="15" x14ac:dyDescent="0.25">
      <c r="B815" s="308"/>
      <c r="C815" s="308"/>
      <c r="D815" s="308"/>
      <c r="E815" s="308"/>
      <c r="F815" s="308"/>
      <c r="G815" s="308"/>
      <c r="H815" s="308"/>
      <c r="I815" s="308"/>
      <c r="J815" s="308"/>
    </row>
    <row r="816" spans="2:10" ht="15" x14ac:dyDescent="0.25">
      <c r="B816" s="308"/>
      <c r="C816" s="308"/>
      <c r="D816" s="308"/>
      <c r="E816" s="308"/>
      <c r="F816" s="308"/>
      <c r="G816" s="308"/>
      <c r="H816" s="308"/>
      <c r="I816" s="308"/>
      <c r="J816" s="308"/>
    </row>
    <row r="817" spans="2:10" ht="15" x14ac:dyDescent="0.25">
      <c r="B817" s="308"/>
      <c r="C817" s="308"/>
      <c r="D817" s="308"/>
      <c r="E817" s="308"/>
      <c r="F817" s="308"/>
      <c r="G817" s="308"/>
      <c r="H817" s="308"/>
      <c r="I817" s="308"/>
      <c r="J817" s="308"/>
    </row>
    <row r="818" spans="2:10" ht="15" x14ac:dyDescent="0.25">
      <c r="B818" s="308"/>
      <c r="C818" s="308"/>
      <c r="D818" s="308"/>
      <c r="E818" s="308"/>
      <c r="F818" s="308"/>
      <c r="G818" s="308"/>
      <c r="H818" s="308"/>
      <c r="I818" s="308"/>
      <c r="J818" s="308"/>
    </row>
    <row r="819" spans="2:10" ht="15" x14ac:dyDescent="0.25">
      <c r="B819" s="308"/>
      <c r="C819" s="308"/>
      <c r="D819" s="308"/>
      <c r="E819" s="308"/>
      <c r="F819" s="308"/>
      <c r="G819" s="308"/>
      <c r="H819" s="308"/>
      <c r="I819" s="308"/>
      <c r="J819" s="308"/>
    </row>
    <row r="820" spans="2:10" ht="15" x14ac:dyDescent="0.25">
      <c r="B820" s="308"/>
      <c r="C820" s="308"/>
      <c r="D820" s="308"/>
      <c r="E820" s="308"/>
      <c r="F820" s="308"/>
      <c r="G820" s="308"/>
      <c r="H820" s="308"/>
      <c r="I820" s="308"/>
      <c r="J820" s="308"/>
    </row>
    <row r="821" spans="2:10" ht="15" x14ac:dyDescent="0.25">
      <c r="B821" s="308"/>
      <c r="C821" s="308"/>
      <c r="D821" s="308"/>
      <c r="E821" s="308"/>
      <c r="F821" s="308"/>
      <c r="G821" s="308"/>
      <c r="H821" s="308"/>
      <c r="I821" s="308"/>
      <c r="J821" s="308"/>
    </row>
    <row r="822" spans="2:10" ht="15" x14ac:dyDescent="0.25">
      <c r="B822" s="308"/>
      <c r="C822" s="308"/>
      <c r="D822" s="308"/>
      <c r="E822" s="308"/>
      <c r="F822" s="308"/>
      <c r="G822" s="308"/>
      <c r="H822" s="308"/>
      <c r="I822" s="308"/>
      <c r="J822" s="308"/>
    </row>
    <row r="823" spans="2:10" ht="15" x14ac:dyDescent="0.25">
      <c r="B823" s="308"/>
      <c r="C823" s="308"/>
      <c r="D823" s="308"/>
      <c r="E823" s="308"/>
      <c r="F823" s="308"/>
      <c r="G823" s="308"/>
      <c r="H823" s="308"/>
      <c r="I823" s="308"/>
      <c r="J823" s="308"/>
    </row>
    <row r="824" spans="2:10" ht="15" x14ac:dyDescent="0.25">
      <c r="B824" s="308"/>
      <c r="C824" s="308"/>
      <c r="D824" s="308"/>
      <c r="E824" s="308"/>
      <c r="F824" s="308"/>
      <c r="G824" s="308"/>
      <c r="H824" s="308"/>
      <c r="I824" s="308"/>
      <c r="J824" s="308"/>
    </row>
    <row r="825" spans="2:10" ht="15" x14ac:dyDescent="0.25">
      <c r="B825" s="308"/>
      <c r="C825" s="308"/>
      <c r="D825" s="308"/>
      <c r="E825" s="308"/>
      <c r="F825" s="308"/>
      <c r="G825" s="308"/>
      <c r="H825" s="308"/>
      <c r="I825" s="308"/>
      <c r="J825" s="308"/>
    </row>
    <row r="826" spans="2:10" ht="15" x14ac:dyDescent="0.25">
      <c r="B826" s="308"/>
      <c r="C826" s="308"/>
      <c r="D826" s="308"/>
      <c r="E826" s="308"/>
      <c r="F826" s="308"/>
      <c r="G826" s="308"/>
      <c r="H826" s="308"/>
      <c r="I826" s="308"/>
      <c r="J826" s="308"/>
    </row>
    <row r="827" spans="2:10" ht="15" x14ac:dyDescent="0.25">
      <c r="B827" s="308"/>
      <c r="C827" s="308"/>
      <c r="D827" s="308"/>
      <c r="E827" s="308"/>
      <c r="F827" s="308"/>
      <c r="G827" s="308"/>
      <c r="H827" s="308"/>
      <c r="I827" s="308"/>
      <c r="J827" s="308"/>
    </row>
    <row r="828" spans="2:10" ht="15" x14ac:dyDescent="0.25">
      <c r="B828" s="308"/>
      <c r="C828" s="308"/>
      <c r="D828" s="308"/>
      <c r="E828" s="308"/>
      <c r="F828" s="308"/>
      <c r="G828" s="308"/>
      <c r="H828" s="308"/>
      <c r="I828" s="308"/>
      <c r="J828" s="308"/>
    </row>
    <row r="829" spans="2:10" ht="15" x14ac:dyDescent="0.25">
      <c r="B829" s="308"/>
      <c r="C829" s="308"/>
      <c r="D829" s="308"/>
      <c r="E829" s="308"/>
      <c r="F829" s="308"/>
      <c r="G829" s="308"/>
      <c r="H829" s="308"/>
      <c r="I829" s="308"/>
      <c r="J829" s="308"/>
    </row>
    <row r="830" spans="2:10" ht="15" x14ac:dyDescent="0.25">
      <c r="B830" s="308"/>
      <c r="C830" s="308"/>
      <c r="D830" s="308"/>
      <c r="E830" s="308"/>
      <c r="F830" s="308"/>
      <c r="G830" s="308"/>
      <c r="H830" s="308"/>
      <c r="I830" s="308"/>
      <c r="J830" s="308"/>
    </row>
    <row r="831" spans="2:10" ht="15" x14ac:dyDescent="0.25">
      <c r="B831" s="308"/>
      <c r="C831" s="308"/>
      <c r="D831" s="308"/>
      <c r="E831" s="308"/>
      <c r="F831" s="308"/>
      <c r="G831" s="308"/>
      <c r="H831" s="308"/>
      <c r="I831" s="308"/>
      <c r="J831" s="308"/>
    </row>
    <row r="832" spans="2:10" ht="15" x14ac:dyDescent="0.25">
      <c r="B832" s="308"/>
      <c r="C832" s="308"/>
      <c r="D832" s="308"/>
      <c r="E832" s="308"/>
      <c r="F832" s="308"/>
      <c r="G832" s="308"/>
      <c r="H832" s="308"/>
      <c r="I832" s="308"/>
      <c r="J832" s="308"/>
    </row>
    <row r="833" spans="2:10" ht="15" x14ac:dyDescent="0.25">
      <c r="B833" s="308"/>
      <c r="C833" s="308"/>
      <c r="D833" s="308"/>
      <c r="E833" s="308"/>
      <c r="F833" s="308"/>
      <c r="G833" s="308"/>
      <c r="H833" s="308"/>
      <c r="I833" s="308"/>
      <c r="J833" s="308"/>
    </row>
    <row r="834" spans="2:10" ht="15" x14ac:dyDescent="0.25">
      <c r="B834" s="308"/>
      <c r="C834" s="308"/>
      <c r="D834" s="308"/>
      <c r="E834" s="308"/>
      <c r="F834" s="308"/>
      <c r="G834" s="308"/>
      <c r="H834" s="308"/>
      <c r="I834" s="308"/>
      <c r="J834" s="308"/>
    </row>
    <row r="835" spans="2:10" ht="15" x14ac:dyDescent="0.25">
      <c r="B835" s="308"/>
      <c r="C835" s="308"/>
      <c r="D835" s="308"/>
      <c r="E835" s="308"/>
      <c r="F835" s="308"/>
      <c r="G835" s="308"/>
      <c r="H835" s="308"/>
      <c r="I835" s="308"/>
      <c r="J835" s="308"/>
    </row>
    <row r="836" spans="2:10" ht="15" x14ac:dyDescent="0.25">
      <c r="B836" s="308"/>
      <c r="C836" s="308"/>
      <c r="D836" s="308"/>
      <c r="E836" s="308"/>
      <c r="F836" s="308"/>
      <c r="G836" s="308"/>
      <c r="H836" s="308"/>
      <c r="I836" s="308"/>
      <c r="J836" s="308"/>
    </row>
    <row r="837" spans="2:10" ht="15" x14ac:dyDescent="0.25">
      <c r="B837" s="308"/>
      <c r="C837" s="308"/>
      <c r="D837" s="308"/>
      <c r="E837" s="308"/>
      <c r="F837" s="308"/>
      <c r="G837" s="308"/>
      <c r="H837" s="308"/>
      <c r="I837" s="308"/>
      <c r="J837" s="308"/>
    </row>
    <row r="838" spans="2:10" ht="15" x14ac:dyDescent="0.25">
      <c r="B838" s="308"/>
      <c r="C838" s="308"/>
      <c r="D838" s="308"/>
      <c r="E838" s="308"/>
      <c r="F838" s="308"/>
      <c r="G838" s="308"/>
      <c r="H838" s="308"/>
      <c r="I838" s="308"/>
      <c r="J838" s="308"/>
    </row>
    <row r="839" spans="2:10" ht="15" x14ac:dyDescent="0.25">
      <c r="B839" s="308"/>
      <c r="C839" s="308"/>
      <c r="D839" s="308"/>
      <c r="E839" s="308"/>
      <c r="F839" s="308"/>
      <c r="G839" s="308"/>
      <c r="H839" s="308"/>
      <c r="I839" s="308"/>
      <c r="J839" s="308"/>
    </row>
    <row r="840" spans="2:10" ht="15" x14ac:dyDescent="0.25">
      <c r="B840" s="308"/>
      <c r="C840" s="308"/>
      <c r="D840" s="308"/>
      <c r="E840" s="308"/>
      <c r="F840" s="308"/>
      <c r="G840" s="308"/>
      <c r="H840" s="308"/>
      <c r="I840" s="308"/>
      <c r="J840" s="308"/>
    </row>
    <row r="841" spans="2:10" ht="15" x14ac:dyDescent="0.25">
      <c r="B841" s="308"/>
      <c r="C841" s="308"/>
      <c r="D841" s="308"/>
      <c r="E841" s="308"/>
      <c r="F841" s="308"/>
      <c r="G841" s="308"/>
      <c r="H841" s="308"/>
      <c r="I841" s="308"/>
      <c r="J841" s="308"/>
    </row>
    <row r="842" spans="2:10" ht="15" x14ac:dyDescent="0.25">
      <c r="B842" s="308"/>
      <c r="C842" s="308"/>
      <c r="D842" s="308"/>
      <c r="E842" s="308"/>
      <c r="F842" s="308"/>
      <c r="G842" s="308"/>
      <c r="H842" s="308"/>
      <c r="I842" s="308"/>
      <c r="J842" s="308"/>
    </row>
    <row r="843" spans="2:10" ht="15" x14ac:dyDescent="0.25">
      <c r="B843" s="308"/>
      <c r="C843" s="308"/>
      <c r="D843" s="308"/>
      <c r="E843" s="308"/>
      <c r="F843" s="308"/>
      <c r="G843" s="308"/>
      <c r="H843" s="308"/>
      <c r="I843" s="308"/>
      <c r="J843" s="308"/>
    </row>
    <row r="844" spans="2:10" ht="15" x14ac:dyDescent="0.25">
      <c r="B844" s="308"/>
      <c r="C844" s="308"/>
      <c r="D844" s="308"/>
      <c r="E844" s="308"/>
      <c r="F844" s="308"/>
      <c r="G844" s="308"/>
      <c r="H844" s="308"/>
      <c r="I844" s="308"/>
      <c r="J844" s="308"/>
    </row>
    <row r="845" spans="2:10" ht="15" x14ac:dyDescent="0.25">
      <c r="B845" s="308"/>
      <c r="C845" s="308"/>
      <c r="D845" s="308"/>
      <c r="E845" s="308"/>
      <c r="F845" s="308"/>
      <c r="G845" s="308"/>
      <c r="H845" s="308"/>
      <c r="I845" s="308"/>
      <c r="J845" s="308"/>
    </row>
    <row r="846" spans="2:10" ht="15" x14ac:dyDescent="0.25">
      <c r="B846" s="308"/>
      <c r="C846" s="308"/>
      <c r="D846" s="308"/>
      <c r="E846" s="308"/>
      <c r="F846" s="308"/>
      <c r="G846" s="308"/>
      <c r="H846" s="308"/>
      <c r="I846" s="308"/>
      <c r="J846" s="308"/>
    </row>
    <row r="847" spans="2:10" ht="15" x14ac:dyDescent="0.25">
      <c r="B847" s="308"/>
      <c r="C847" s="308"/>
      <c r="D847" s="308"/>
      <c r="E847" s="308"/>
      <c r="F847" s="308"/>
      <c r="G847" s="308"/>
      <c r="H847" s="308"/>
      <c r="I847" s="308"/>
      <c r="J847" s="308"/>
    </row>
    <row r="848" spans="2:10" ht="15" x14ac:dyDescent="0.25">
      <c r="B848" s="308"/>
      <c r="C848" s="308"/>
      <c r="D848" s="308"/>
      <c r="E848" s="308"/>
      <c r="F848" s="308"/>
      <c r="G848" s="308"/>
      <c r="H848" s="308"/>
      <c r="I848" s="308"/>
      <c r="J848" s="308"/>
    </row>
    <row r="849" spans="2:10" ht="15" x14ac:dyDescent="0.25">
      <c r="B849" s="308"/>
      <c r="C849" s="308"/>
      <c r="D849" s="308"/>
      <c r="E849" s="308"/>
      <c r="F849" s="308"/>
      <c r="G849" s="308"/>
      <c r="H849" s="308"/>
      <c r="I849" s="308"/>
      <c r="J849" s="308"/>
    </row>
    <row r="850" spans="2:10" ht="15" x14ac:dyDescent="0.25">
      <c r="B850" s="308"/>
      <c r="C850" s="308"/>
      <c r="D850" s="308"/>
      <c r="E850" s="308"/>
      <c r="F850" s="308"/>
      <c r="G850" s="308"/>
      <c r="H850" s="308"/>
      <c r="I850" s="308"/>
      <c r="J850" s="308"/>
    </row>
    <row r="851" spans="2:10" ht="15" x14ac:dyDescent="0.25">
      <c r="B851" s="308"/>
      <c r="C851" s="308"/>
      <c r="D851" s="308"/>
      <c r="E851" s="308"/>
      <c r="F851" s="308"/>
      <c r="G851" s="308"/>
      <c r="H851" s="308"/>
      <c r="I851" s="308"/>
      <c r="J851" s="308"/>
    </row>
    <row r="852" spans="2:10" ht="15" x14ac:dyDescent="0.25">
      <c r="B852" s="308"/>
      <c r="C852" s="308"/>
      <c r="D852" s="308"/>
      <c r="E852" s="308"/>
      <c r="F852" s="308"/>
      <c r="G852" s="308"/>
      <c r="H852" s="308"/>
      <c r="I852" s="308"/>
      <c r="J852" s="308"/>
    </row>
    <row r="853" spans="2:10" ht="15" x14ac:dyDescent="0.25">
      <c r="B853" s="308"/>
      <c r="C853" s="308"/>
      <c r="D853" s="308"/>
      <c r="E853" s="308"/>
      <c r="F853" s="308"/>
      <c r="G853" s="308"/>
      <c r="H853" s="308"/>
      <c r="I853" s="308"/>
      <c r="J853" s="308"/>
    </row>
    <row r="854" spans="2:10" ht="15" x14ac:dyDescent="0.25">
      <c r="B854" s="308"/>
      <c r="C854" s="308"/>
      <c r="D854" s="308"/>
      <c r="E854" s="308"/>
      <c r="F854" s="308"/>
      <c r="G854" s="308"/>
      <c r="H854" s="308"/>
      <c r="I854" s="308"/>
      <c r="J854" s="308"/>
    </row>
    <row r="855" spans="2:10" ht="15" x14ac:dyDescent="0.25">
      <c r="B855" s="308"/>
      <c r="C855" s="308"/>
      <c r="D855" s="308"/>
      <c r="E855" s="308"/>
      <c r="F855" s="308"/>
      <c r="G855" s="308"/>
      <c r="H855" s="308"/>
      <c r="I855" s="308"/>
      <c r="J855" s="308"/>
    </row>
    <row r="856" spans="2:10" ht="15" x14ac:dyDescent="0.25">
      <c r="B856" s="308"/>
      <c r="C856" s="308"/>
      <c r="D856" s="308"/>
      <c r="E856" s="308"/>
      <c r="F856" s="308"/>
      <c r="G856" s="308"/>
      <c r="H856" s="308"/>
      <c r="I856" s="308"/>
      <c r="J856" s="308"/>
    </row>
    <row r="857" spans="2:10" ht="15" x14ac:dyDescent="0.25">
      <c r="B857" s="308"/>
      <c r="C857" s="308"/>
      <c r="D857" s="308"/>
      <c r="E857" s="308"/>
      <c r="F857" s="308"/>
      <c r="G857" s="308"/>
      <c r="H857" s="308"/>
      <c r="I857" s="308"/>
      <c r="J857" s="308"/>
    </row>
    <row r="858" spans="2:10" ht="15" x14ac:dyDescent="0.25">
      <c r="B858" s="308"/>
      <c r="C858" s="308"/>
      <c r="D858" s="308"/>
      <c r="E858" s="308"/>
      <c r="F858" s="308"/>
      <c r="G858" s="308"/>
      <c r="H858" s="308"/>
      <c r="I858" s="308"/>
      <c r="J858" s="308"/>
    </row>
    <row r="859" spans="2:10" ht="15" x14ac:dyDescent="0.25">
      <c r="B859" s="308"/>
      <c r="C859" s="308"/>
      <c r="D859" s="308"/>
      <c r="E859" s="308"/>
      <c r="F859" s="308"/>
      <c r="G859" s="308"/>
      <c r="H859" s="308"/>
      <c r="I859" s="308"/>
      <c r="J859" s="308"/>
    </row>
    <row r="860" spans="2:10" ht="15" x14ac:dyDescent="0.25">
      <c r="B860" s="308"/>
      <c r="C860" s="308"/>
      <c r="D860" s="308"/>
      <c r="E860" s="308"/>
      <c r="F860" s="308"/>
      <c r="G860" s="308"/>
      <c r="H860" s="308"/>
      <c r="I860" s="308"/>
      <c r="J860" s="308"/>
    </row>
    <row r="861" spans="2:10" ht="15" x14ac:dyDescent="0.25">
      <c r="B861" s="308"/>
      <c r="C861" s="308"/>
      <c r="D861" s="308"/>
      <c r="E861" s="308"/>
      <c r="F861" s="308"/>
      <c r="G861" s="308"/>
      <c r="H861" s="308"/>
      <c r="I861" s="308"/>
      <c r="J861" s="308"/>
    </row>
    <row r="862" spans="2:10" ht="15" x14ac:dyDescent="0.25">
      <c r="B862" s="308"/>
      <c r="C862" s="308"/>
      <c r="D862" s="308"/>
      <c r="E862" s="308"/>
      <c r="F862" s="308"/>
      <c r="G862" s="308"/>
      <c r="H862" s="308"/>
      <c r="I862" s="308"/>
      <c r="J862" s="308"/>
    </row>
    <row r="863" spans="2:10" ht="15" x14ac:dyDescent="0.25">
      <c r="B863" s="308"/>
      <c r="C863" s="308"/>
      <c r="D863" s="308"/>
      <c r="E863" s="308"/>
      <c r="F863" s="308"/>
      <c r="G863" s="308"/>
      <c r="H863" s="308"/>
      <c r="I863" s="308"/>
      <c r="J863" s="308"/>
    </row>
    <row r="864" spans="2:10" ht="15" x14ac:dyDescent="0.25">
      <c r="B864" s="308"/>
      <c r="C864" s="308"/>
      <c r="D864" s="308"/>
      <c r="E864" s="308"/>
      <c r="F864" s="308"/>
      <c r="G864" s="308"/>
      <c r="H864" s="308"/>
      <c r="I864" s="308"/>
      <c r="J864" s="308"/>
    </row>
    <row r="865" spans="2:10" ht="15" x14ac:dyDescent="0.25">
      <c r="B865" s="308"/>
      <c r="C865" s="308"/>
      <c r="D865" s="308"/>
      <c r="E865" s="308"/>
      <c r="F865" s="308"/>
      <c r="G865" s="308"/>
      <c r="H865" s="308"/>
      <c r="I865" s="308"/>
      <c r="J865" s="308"/>
    </row>
    <row r="866" spans="2:10" ht="15" x14ac:dyDescent="0.25">
      <c r="B866" s="308"/>
      <c r="C866" s="308"/>
      <c r="D866" s="308"/>
      <c r="E866" s="308"/>
      <c r="F866" s="308"/>
      <c r="G866" s="308"/>
      <c r="H866" s="308"/>
      <c r="I866" s="308"/>
      <c r="J866" s="308"/>
    </row>
    <row r="867" spans="2:10" ht="15" x14ac:dyDescent="0.25">
      <c r="B867" s="308"/>
      <c r="C867" s="308"/>
      <c r="D867" s="308"/>
      <c r="E867" s="308"/>
      <c r="F867" s="308"/>
      <c r="G867" s="308"/>
      <c r="H867" s="308"/>
      <c r="I867" s="308"/>
      <c r="J867" s="308"/>
    </row>
    <row r="868" spans="2:10" ht="15" x14ac:dyDescent="0.25">
      <c r="B868" s="308"/>
      <c r="C868" s="308"/>
      <c r="D868" s="308"/>
      <c r="E868" s="308"/>
      <c r="F868" s="308"/>
      <c r="G868" s="308"/>
      <c r="H868" s="308"/>
      <c r="I868" s="308"/>
      <c r="J868" s="308"/>
    </row>
    <row r="869" spans="2:10" ht="15" x14ac:dyDescent="0.25">
      <c r="B869" s="308"/>
      <c r="C869" s="308"/>
      <c r="D869" s="308"/>
      <c r="E869" s="308"/>
      <c r="F869" s="308"/>
      <c r="G869" s="308"/>
      <c r="H869" s="308"/>
      <c r="I869" s="308"/>
      <c r="J869" s="308"/>
    </row>
    <row r="870" spans="2:10" ht="15" x14ac:dyDescent="0.25">
      <c r="B870" s="308"/>
      <c r="C870" s="308"/>
      <c r="D870" s="308"/>
      <c r="E870" s="308"/>
      <c r="F870" s="308"/>
      <c r="G870" s="308"/>
      <c r="H870" s="308"/>
      <c r="I870" s="308"/>
      <c r="J870" s="308"/>
    </row>
    <row r="871" spans="2:10" ht="15" x14ac:dyDescent="0.25">
      <c r="B871" s="308"/>
      <c r="C871" s="308"/>
      <c r="D871" s="308"/>
      <c r="E871" s="308"/>
      <c r="F871" s="308"/>
      <c r="G871" s="308"/>
      <c r="H871" s="308"/>
      <c r="I871" s="308"/>
      <c r="J871" s="308"/>
    </row>
    <row r="872" spans="2:10" ht="15" x14ac:dyDescent="0.25">
      <c r="B872" s="308"/>
      <c r="C872" s="308"/>
      <c r="D872" s="308"/>
      <c r="E872" s="308"/>
      <c r="F872" s="308"/>
      <c r="G872" s="308"/>
      <c r="H872" s="308"/>
      <c r="I872" s="308"/>
      <c r="J872" s="308"/>
    </row>
    <row r="873" spans="2:10" ht="15" x14ac:dyDescent="0.25">
      <c r="B873" s="308"/>
      <c r="C873" s="308"/>
      <c r="D873" s="308"/>
      <c r="E873" s="308"/>
      <c r="F873" s="308"/>
      <c r="G873" s="308"/>
      <c r="H873" s="308"/>
      <c r="I873" s="308"/>
      <c r="J873" s="308"/>
    </row>
    <row r="874" spans="2:10" ht="15" x14ac:dyDescent="0.25">
      <c r="B874" s="308"/>
      <c r="C874" s="308"/>
      <c r="D874" s="308"/>
      <c r="E874" s="308"/>
      <c r="F874" s="308"/>
      <c r="G874" s="308"/>
      <c r="H874" s="308"/>
      <c r="I874" s="308"/>
      <c r="J874" s="308"/>
    </row>
    <row r="875" spans="2:10" ht="15" x14ac:dyDescent="0.25">
      <c r="B875" s="308"/>
      <c r="C875" s="308"/>
      <c r="D875" s="308"/>
      <c r="E875" s="308"/>
      <c r="F875" s="308"/>
      <c r="G875" s="308"/>
      <c r="H875" s="308"/>
      <c r="I875" s="308"/>
      <c r="J875" s="308"/>
    </row>
    <row r="876" spans="2:10" ht="15" x14ac:dyDescent="0.25">
      <c r="B876" s="308"/>
      <c r="C876" s="308"/>
      <c r="D876" s="308"/>
      <c r="E876" s="308"/>
      <c r="F876" s="308"/>
      <c r="G876" s="308"/>
      <c r="H876" s="308"/>
      <c r="I876" s="308"/>
      <c r="J876" s="308"/>
    </row>
    <row r="877" spans="2:10" ht="15" x14ac:dyDescent="0.25">
      <c r="B877" s="308"/>
      <c r="C877" s="308"/>
      <c r="D877" s="308"/>
      <c r="E877" s="308"/>
      <c r="F877" s="308"/>
      <c r="G877" s="308"/>
      <c r="H877" s="308"/>
      <c r="I877" s="308"/>
      <c r="J877" s="308"/>
    </row>
    <row r="878" spans="2:10" ht="15" x14ac:dyDescent="0.25">
      <c r="B878" s="308"/>
      <c r="C878" s="308"/>
      <c r="D878" s="308"/>
      <c r="E878" s="308"/>
      <c r="F878" s="308"/>
      <c r="G878" s="308"/>
      <c r="H878" s="308"/>
      <c r="I878" s="308"/>
      <c r="J878" s="308"/>
    </row>
    <row r="879" spans="2:10" ht="15" x14ac:dyDescent="0.25">
      <c r="B879" s="308"/>
      <c r="C879" s="308"/>
      <c r="D879" s="308"/>
      <c r="E879" s="308"/>
      <c r="F879" s="308"/>
      <c r="G879" s="308"/>
      <c r="H879" s="308"/>
      <c r="I879" s="308"/>
      <c r="J879" s="308"/>
    </row>
    <row r="880" spans="2:10" ht="15" x14ac:dyDescent="0.25">
      <c r="B880" s="308"/>
      <c r="C880" s="308"/>
      <c r="D880" s="308"/>
      <c r="E880" s="308"/>
      <c r="F880" s="308"/>
      <c r="G880" s="308"/>
      <c r="H880" s="308"/>
      <c r="I880" s="308"/>
      <c r="J880" s="308"/>
    </row>
    <row r="881" spans="2:10" ht="15" x14ac:dyDescent="0.25">
      <c r="B881" s="308"/>
      <c r="C881" s="308"/>
      <c r="D881" s="308"/>
      <c r="E881" s="308"/>
      <c r="F881" s="308"/>
      <c r="G881" s="308"/>
      <c r="H881" s="308"/>
      <c r="I881" s="308"/>
      <c r="J881" s="308"/>
    </row>
    <row r="882" spans="2:10" ht="15" x14ac:dyDescent="0.25">
      <c r="B882" s="308"/>
      <c r="C882" s="308"/>
      <c r="D882" s="308"/>
      <c r="E882" s="308"/>
      <c r="F882" s="308"/>
      <c r="G882" s="308"/>
      <c r="H882" s="308"/>
      <c r="I882" s="308"/>
      <c r="J882" s="308"/>
    </row>
    <row r="883" spans="2:10" ht="15" x14ac:dyDescent="0.25">
      <c r="B883" s="308"/>
      <c r="C883" s="308"/>
      <c r="D883" s="308"/>
      <c r="E883" s="308"/>
      <c r="F883" s="308"/>
      <c r="G883" s="308"/>
      <c r="H883" s="308"/>
      <c r="I883" s="308"/>
      <c r="J883" s="308"/>
    </row>
    <row r="884" spans="2:10" ht="15" x14ac:dyDescent="0.25">
      <c r="B884" s="308"/>
      <c r="C884" s="308"/>
      <c r="D884" s="308"/>
      <c r="E884" s="308"/>
      <c r="F884" s="308"/>
      <c r="G884" s="308"/>
      <c r="H884" s="308"/>
      <c r="I884" s="308"/>
      <c r="J884" s="308"/>
    </row>
    <row r="885" spans="2:10" ht="15" x14ac:dyDescent="0.25">
      <c r="B885" s="308"/>
      <c r="C885" s="308"/>
      <c r="D885" s="308"/>
      <c r="E885" s="308"/>
      <c r="F885" s="308"/>
      <c r="G885" s="308"/>
      <c r="H885" s="308"/>
      <c r="I885" s="308"/>
      <c r="J885" s="308"/>
    </row>
    <row r="886" spans="2:10" ht="15" x14ac:dyDescent="0.25">
      <c r="B886" s="308"/>
      <c r="C886" s="308"/>
      <c r="D886" s="308"/>
      <c r="E886" s="308"/>
      <c r="F886" s="308"/>
      <c r="G886" s="308"/>
      <c r="H886" s="308"/>
      <c r="I886" s="308"/>
      <c r="J886" s="308"/>
    </row>
    <row r="887" spans="2:10" ht="15" x14ac:dyDescent="0.25">
      <c r="B887" s="308"/>
      <c r="C887" s="308"/>
      <c r="D887" s="308"/>
      <c r="E887" s="308"/>
      <c r="F887" s="308"/>
      <c r="G887" s="308"/>
      <c r="H887" s="308"/>
      <c r="I887" s="308"/>
      <c r="J887" s="308"/>
    </row>
    <row r="888" spans="2:10" ht="15" x14ac:dyDescent="0.25">
      <c r="B888" s="308"/>
      <c r="C888" s="308"/>
      <c r="D888" s="308"/>
      <c r="E888" s="308"/>
      <c r="F888" s="308"/>
      <c r="G888" s="308"/>
      <c r="H888" s="308"/>
      <c r="I888" s="308"/>
      <c r="J888" s="308"/>
    </row>
    <row r="889" spans="2:10" ht="15" x14ac:dyDescent="0.25">
      <c r="B889" s="308"/>
      <c r="C889" s="308"/>
      <c r="D889" s="308"/>
      <c r="E889" s="308"/>
      <c r="F889" s="308"/>
      <c r="G889" s="308"/>
      <c r="H889" s="308"/>
      <c r="I889" s="308"/>
      <c r="J889" s="308"/>
    </row>
    <row r="890" spans="2:10" ht="15" x14ac:dyDescent="0.25">
      <c r="B890" s="308"/>
      <c r="C890" s="308"/>
      <c r="D890" s="308"/>
      <c r="E890" s="308"/>
      <c r="F890" s="308"/>
      <c r="G890" s="308"/>
      <c r="H890" s="308"/>
      <c r="I890" s="308"/>
      <c r="J890" s="308"/>
    </row>
    <row r="891" spans="2:10" ht="15" x14ac:dyDescent="0.25">
      <c r="B891" s="308"/>
      <c r="C891" s="308"/>
      <c r="D891" s="308"/>
      <c r="E891" s="308"/>
      <c r="F891" s="308"/>
      <c r="G891" s="308"/>
      <c r="H891" s="308"/>
      <c r="I891" s="308"/>
      <c r="J891" s="308"/>
    </row>
    <row r="892" spans="2:10" ht="15" x14ac:dyDescent="0.25">
      <c r="B892" s="308"/>
      <c r="C892" s="308"/>
      <c r="D892" s="308"/>
      <c r="E892" s="308"/>
      <c r="F892" s="308"/>
      <c r="G892" s="308"/>
      <c r="H892" s="308"/>
      <c r="I892" s="308"/>
      <c r="J892" s="308"/>
    </row>
    <row r="893" spans="2:10" ht="15" x14ac:dyDescent="0.25">
      <c r="B893" s="308"/>
      <c r="C893" s="308"/>
      <c r="D893" s="308"/>
      <c r="E893" s="308"/>
      <c r="F893" s="308"/>
      <c r="G893" s="308"/>
      <c r="H893" s="308"/>
      <c r="I893" s="308"/>
      <c r="J893" s="308"/>
    </row>
    <row r="894" spans="2:10" ht="15" x14ac:dyDescent="0.25">
      <c r="B894" s="308"/>
      <c r="C894" s="308"/>
      <c r="D894" s="308"/>
      <c r="E894" s="308"/>
      <c r="F894" s="308"/>
      <c r="G894" s="308"/>
      <c r="H894" s="308"/>
      <c r="I894" s="308"/>
      <c r="J894" s="308"/>
    </row>
    <row r="895" spans="2:10" ht="15" x14ac:dyDescent="0.25">
      <c r="B895" s="308"/>
      <c r="C895" s="308"/>
      <c r="D895" s="308"/>
      <c r="E895" s="308"/>
      <c r="F895" s="308"/>
      <c r="G895" s="308"/>
      <c r="H895" s="308"/>
      <c r="I895" s="308"/>
      <c r="J895" s="308"/>
    </row>
    <row r="896" spans="2:10" ht="15" x14ac:dyDescent="0.25">
      <c r="B896" s="308"/>
      <c r="C896" s="308"/>
      <c r="D896" s="308"/>
      <c r="E896" s="308"/>
      <c r="F896" s="308"/>
      <c r="G896" s="308"/>
      <c r="H896" s="308"/>
      <c r="I896" s="308"/>
      <c r="J896" s="308"/>
    </row>
    <row r="897" spans="2:10" ht="15" x14ac:dyDescent="0.25">
      <c r="B897" s="308"/>
      <c r="C897" s="308"/>
      <c r="D897" s="308"/>
      <c r="E897" s="308"/>
      <c r="F897" s="308"/>
      <c r="G897" s="308"/>
      <c r="H897" s="308"/>
      <c r="I897" s="308"/>
      <c r="J897" s="308"/>
    </row>
    <row r="898" spans="2:10" ht="15" x14ac:dyDescent="0.25">
      <c r="B898" s="308"/>
      <c r="C898" s="308"/>
      <c r="D898" s="308"/>
      <c r="E898" s="308"/>
      <c r="F898" s="308"/>
      <c r="G898" s="308"/>
      <c r="H898" s="308"/>
      <c r="I898" s="308"/>
      <c r="J898" s="308"/>
    </row>
    <row r="899" spans="2:10" ht="15" x14ac:dyDescent="0.25">
      <c r="B899" s="308"/>
      <c r="C899" s="308"/>
      <c r="D899" s="308"/>
      <c r="E899" s="308"/>
      <c r="F899" s="308"/>
      <c r="G899" s="308"/>
      <c r="H899" s="308"/>
      <c r="I899" s="308"/>
      <c r="J899" s="308"/>
    </row>
    <row r="900" spans="2:10" ht="15" x14ac:dyDescent="0.25">
      <c r="B900" s="308"/>
      <c r="C900" s="308"/>
      <c r="D900" s="308"/>
      <c r="E900" s="308"/>
      <c r="F900" s="308"/>
      <c r="G900" s="308"/>
      <c r="H900" s="308"/>
      <c r="I900" s="308"/>
      <c r="J900" s="308"/>
    </row>
    <row r="901" spans="2:10" ht="15" x14ac:dyDescent="0.25">
      <c r="B901" s="308"/>
      <c r="C901" s="308"/>
      <c r="D901" s="308"/>
      <c r="E901" s="308"/>
      <c r="F901" s="308"/>
      <c r="G901" s="308"/>
      <c r="H901" s="308"/>
      <c r="I901" s="308"/>
      <c r="J901" s="308"/>
    </row>
    <row r="902" spans="2:10" ht="15" x14ac:dyDescent="0.25">
      <c r="B902" s="308"/>
      <c r="C902" s="308"/>
      <c r="D902" s="308"/>
      <c r="E902" s="308"/>
      <c r="F902" s="308"/>
      <c r="G902" s="308"/>
      <c r="H902" s="308"/>
      <c r="I902" s="308"/>
      <c r="J902" s="308"/>
    </row>
    <row r="903" spans="2:10" ht="15" x14ac:dyDescent="0.25">
      <c r="B903" s="308"/>
      <c r="C903" s="308"/>
      <c r="D903" s="308"/>
      <c r="E903" s="308"/>
      <c r="F903" s="308"/>
      <c r="G903" s="308"/>
      <c r="H903" s="308"/>
      <c r="I903" s="308"/>
      <c r="J903" s="308"/>
    </row>
    <row r="904" spans="2:10" ht="15" x14ac:dyDescent="0.25">
      <c r="B904" s="308"/>
      <c r="C904" s="308"/>
      <c r="D904" s="308"/>
      <c r="E904" s="308"/>
      <c r="F904" s="308"/>
      <c r="G904" s="308"/>
      <c r="H904" s="308"/>
      <c r="I904" s="308"/>
      <c r="J904" s="308"/>
    </row>
    <row r="905" spans="2:10" ht="15" x14ac:dyDescent="0.25">
      <c r="B905" s="308"/>
      <c r="C905" s="308"/>
      <c r="D905" s="308"/>
      <c r="E905" s="308"/>
      <c r="F905" s="308"/>
      <c r="G905" s="308"/>
      <c r="H905" s="308"/>
      <c r="I905" s="308"/>
      <c r="J905" s="308"/>
    </row>
    <row r="906" spans="2:10" ht="15" x14ac:dyDescent="0.25">
      <c r="B906" s="308"/>
      <c r="C906" s="308"/>
      <c r="D906" s="308"/>
      <c r="E906" s="308"/>
      <c r="F906" s="308"/>
      <c r="G906" s="308"/>
      <c r="H906" s="308"/>
      <c r="I906" s="308"/>
      <c r="J906" s="308"/>
    </row>
    <row r="907" spans="2:10" ht="15" x14ac:dyDescent="0.25">
      <c r="B907" s="308"/>
      <c r="C907" s="308"/>
      <c r="D907" s="308"/>
      <c r="E907" s="308"/>
      <c r="F907" s="308"/>
      <c r="G907" s="308"/>
      <c r="H907" s="308"/>
      <c r="I907" s="308"/>
      <c r="J907" s="308"/>
    </row>
    <row r="908" spans="2:10" ht="15" x14ac:dyDescent="0.25">
      <c r="B908" s="308"/>
      <c r="C908" s="308"/>
      <c r="D908" s="308"/>
      <c r="E908" s="308"/>
      <c r="F908" s="308"/>
      <c r="G908" s="308"/>
      <c r="H908" s="308"/>
      <c r="I908" s="308"/>
      <c r="J908" s="308"/>
    </row>
    <row r="909" spans="2:10" ht="15" x14ac:dyDescent="0.25">
      <c r="B909" s="308"/>
      <c r="C909" s="308"/>
      <c r="D909" s="308"/>
      <c r="E909" s="308"/>
      <c r="F909" s="308"/>
      <c r="G909" s="308"/>
      <c r="H909" s="308"/>
      <c r="I909" s="308"/>
      <c r="J909" s="308"/>
    </row>
    <row r="910" spans="2:10" ht="15" x14ac:dyDescent="0.25">
      <c r="B910" s="308"/>
      <c r="C910" s="308"/>
      <c r="D910" s="308"/>
      <c r="E910" s="308"/>
      <c r="F910" s="308"/>
      <c r="G910" s="308"/>
      <c r="H910" s="308"/>
      <c r="I910" s="308"/>
      <c r="J910" s="308"/>
    </row>
    <row r="911" spans="2:10" ht="15" x14ac:dyDescent="0.25">
      <c r="B911" s="308"/>
      <c r="C911" s="308"/>
      <c r="D911" s="308"/>
      <c r="E911" s="308"/>
      <c r="F911" s="308"/>
      <c r="G911" s="308"/>
      <c r="H911" s="308"/>
      <c r="I911" s="308"/>
      <c r="J911" s="308"/>
    </row>
    <row r="912" spans="2:10" ht="15" x14ac:dyDescent="0.25">
      <c r="B912" s="308"/>
      <c r="C912" s="308"/>
      <c r="D912" s="308"/>
      <c r="E912" s="308"/>
      <c r="F912" s="308"/>
      <c r="G912" s="308"/>
      <c r="H912" s="308"/>
      <c r="I912" s="308"/>
      <c r="J912" s="308"/>
    </row>
    <row r="913" spans="2:10" ht="15" x14ac:dyDescent="0.25">
      <c r="B913" s="308"/>
      <c r="C913" s="308"/>
      <c r="D913" s="308"/>
      <c r="E913" s="308"/>
      <c r="F913" s="308"/>
      <c r="G913" s="308"/>
      <c r="H913" s="308"/>
      <c r="I913" s="308"/>
      <c r="J913" s="308"/>
    </row>
    <row r="914" spans="2:10" ht="15" x14ac:dyDescent="0.25">
      <c r="B914" s="308"/>
      <c r="C914" s="308"/>
      <c r="D914" s="308"/>
      <c r="E914" s="308"/>
      <c r="F914" s="308"/>
      <c r="G914" s="308"/>
      <c r="H914" s="308"/>
      <c r="I914" s="308"/>
      <c r="J914" s="308"/>
    </row>
    <row r="915" spans="2:10" ht="15" x14ac:dyDescent="0.25">
      <c r="B915" s="308"/>
      <c r="C915" s="308"/>
      <c r="D915" s="308"/>
      <c r="E915" s="308"/>
      <c r="F915" s="308"/>
      <c r="G915" s="308"/>
      <c r="H915" s="308"/>
      <c r="I915" s="308"/>
      <c r="J915" s="308"/>
    </row>
    <row r="916" spans="2:10" ht="15" x14ac:dyDescent="0.25">
      <c r="B916" s="308"/>
      <c r="C916" s="308"/>
      <c r="D916" s="308"/>
      <c r="E916" s="308"/>
      <c r="F916" s="308"/>
      <c r="G916" s="308"/>
      <c r="H916" s="308"/>
      <c r="I916" s="308"/>
      <c r="J916" s="308"/>
    </row>
    <row r="917" spans="2:10" ht="15" x14ac:dyDescent="0.25">
      <c r="B917" s="308"/>
      <c r="C917" s="308"/>
      <c r="D917" s="308"/>
      <c r="E917" s="308"/>
      <c r="F917" s="308"/>
      <c r="G917" s="308"/>
      <c r="H917" s="308"/>
      <c r="I917" s="308"/>
      <c r="J917" s="308"/>
    </row>
    <row r="918" spans="2:10" ht="15" x14ac:dyDescent="0.25">
      <c r="B918" s="308"/>
      <c r="C918" s="308"/>
      <c r="D918" s="308"/>
      <c r="E918" s="308"/>
      <c r="F918" s="308"/>
      <c r="G918" s="308"/>
      <c r="H918" s="308"/>
      <c r="I918" s="308"/>
      <c r="J918" s="308"/>
    </row>
    <row r="919" spans="2:10" ht="15" x14ac:dyDescent="0.25">
      <c r="B919" s="308"/>
      <c r="C919" s="308"/>
      <c r="D919" s="308"/>
      <c r="E919" s="308"/>
      <c r="F919" s="308"/>
      <c r="G919" s="308"/>
      <c r="H919" s="308"/>
      <c r="I919" s="308"/>
      <c r="J919" s="308"/>
    </row>
    <row r="920" spans="2:10" ht="15" x14ac:dyDescent="0.25">
      <c r="B920" s="308"/>
      <c r="C920" s="308"/>
      <c r="D920" s="308"/>
      <c r="E920" s="308"/>
      <c r="F920" s="308"/>
      <c r="G920" s="308"/>
      <c r="H920" s="308"/>
      <c r="I920" s="308"/>
      <c r="J920" s="308"/>
    </row>
    <row r="921" spans="2:10" ht="15" x14ac:dyDescent="0.25">
      <c r="B921" s="308"/>
      <c r="C921" s="308"/>
      <c r="D921" s="308"/>
      <c r="E921" s="308"/>
      <c r="F921" s="308"/>
      <c r="G921" s="308"/>
      <c r="H921" s="308"/>
      <c r="I921" s="308"/>
      <c r="J921" s="308"/>
    </row>
    <row r="922" spans="2:10" ht="15" x14ac:dyDescent="0.25">
      <c r="B922" s="308"/>
      <c r="C922" s="308"/>
      <c r="D922" s="308"/>
      <c r="E922" s="308"/>
      <c r="F922" s="308"/>
      <c r="G922" s="308"/>
      <c r="H922" s="308"/>
      <c r="I922" s="308"/>
      <c r="J922" s="308"/>
    </row>
    <row r="923" spans="2:10" ht="15" x14ac:dyDescent="0.25">
      <c r="B923" s="308"/>
      <c r="C923" s="308"/>
      <c r="D923" s="308"/>
      <c r="E923" s="308"/>
      <c r="F923" s="308"/>
      <c r="G923" s="308"/>
      <c r="H923" s="308"/>
      <c r="I923" s="308"/>
      <c r="J923" s="308"/>
    </row>
    <row r="924" spans="2:10" ht="15" x14ac:dyDescent="0.25">
      <c r="B924" s="308"/>
      <c r="C924" s="308"/>
      <c r="D924" s="308"/>
      <c r="E924" s="308"/>
      <c r="F924" s="308"/>
      <c r="G924" s="308"/>
      <c r="H924" s="308"/>
      <c r="I924" s="308"/>
      <c r="J924" s="308"/>
    </row>
    <row r="925" spans="2:10" ht="15" x14ac:dyDescent="0.25">
      <c r="B925" s="308"/>
      <c r="C925" s="308"/>
      <c r="D925" s="308"/>
      <c r="E925" s="308"/>
      <c r="F925" s="308"/>
      <c r="G925" s="308"/>
      <c r="H925" s="308"/>
      <c r="I925" s="308"/>
    </row>
    <row r="926" spans="2:10" ht="15" x14ac:dyDescent="0.25">
      <c r="B926" s="308"/>
      <c r="C926" s="308"/>
      <c r="D926" s="308"/>
      <c r="E926" s="308"/>
      <c r="F926" s="308"/>
      <c r="G926" s="308"/>
      <c r="H926" s="308"/>
      <c r="I926" s="308"/>
    </row>
    <row r="927" spans="2:10" ht="15" x14ac:dyDescent="0.25">
      <c r="B927" s="308"/>
      <c r="C927" s="308"/>
      <c r="D927" s="308"/>
      <c r="E927" s="308"/>
      <c r="F927" s="308"/>
      <c r="G927" s="308"/>
      <c r="H927" s="308"/>
      <c r="I927" s="308"/>
    </row>
    <row r="928" spans="2:10" ht="15" x14ac:dyDescent="0.25">
      <c r="B928" s="308"/>
      <c r="C928" s="308"/>
      <c r="D928" s="308"/>
      <c r="E928" s="308"/>
      <c r="F928" s="308"/>
      <c r="G928" s="308"/>
      <c r="H928" s="308"/>
      <c r="I928" s="308"/>
    </row>
    <row r="929" spans="2:9" ht="15" x14ac:dyDescent="0.25">
      <c r="B929" s="308"/>
      <c r="C929" s="308"/>
      <c r="D929" s="308"/>
      <c r="E929" s="308"/>
      <c r="F929" s="308"/>
      <c r="G929" s="308"/>
      <c r="H929" s="308"/>
      <c r="I929" s="308"/>
    </row>
    <row r="930" spans="2:9" ht="15" x14ac:dyDescent="0.25">
      <c r="B930" s="308"/>
      <c r="C930" s="308"/>
      <c r="D930" s="308"/>
      <c r="E930" s="308"/>
      <c r="F930" s="308"/>
      <c r="G930" s="308"/>
      <c r="H930" s="308"/>
      <c r="I930" s="308"/>
    </row>
    <row r="931" spans="2:9" ht="15" x14ac:dyDescent="0.25">
      <c r="B931" s="308"/>
      <c r="C931" s="308"/>
      <c r="D931" s="308"/>
      <c r="E931" s="308"/>
      <c r="F931" s="308"/>
      <c r="G931" s="308"/>
      <c r="H931" s="308"/>
      <c r="I931" s="308"/>
    </row>
    <row r="932" spans="2:9" ht="15" x14ac:dyDescent="0.25">
      <c r="B932" s="308"/>
      <c r="C932" s="308"/>
      <c r="D932" s="308"/>
      <c r="E932" s="308"/>
      <c r="F932" s="308"/>
      <c r="G932" s="308"/>
      <c r="H932" s="308"/>
      <c r="I932" s="308"/>
    </row>
    <row r="933" spans="2:9" ht="15" x14ac:dyDescent="0.25">
      <c r="B933" s="308"/>
      <c r="C933" s="308"/>
      <c r="D933" s="308"/>
      <c r="E933" s="308"/>
      <c r="F933" s="308"/>
      <c r="G933" s="308"/>
      <c r="H933" s="308"/>
      <c r="I933" s="308"/>
    </row>
    <row r="934" spans="2:9" ht="15" x14ac:dyDescent="0.25">
      <c r="B934" s="308"/>
      <c r="C934" s="308"/>
      <c r="D934" s="308"/>
      <c r="E934" s="308"/>
      <c r="F934" s="308"/>
      <c r="G934" s="308"/>
      <c r="H934" s="308"/>
      <c r="I934" s="308"/>
    </row>
    <row r="935" spans="2:9" ht="15" x14ac:dyDescent="0.25">
      <c r="B935" s="308"/>
      <c r="C935" s="308"/>
      <c r="D935" s="308"/>
      <c r="E935" s="308"/>
      <c r="F935" s="308"/>
      <c r="G935" s="308"/>
      <c r="H935" s="308"/>
      <c r="I935" s="308"/>
    </row>
    <row r="936" spans="2:9" ht="15" x14ac:dyDescent="0.25">
      <c r="B936" s="308"/>
      <c r="C936" s="308"/>
      <c r="D936" s="308"/>
      <c r="E936" s="308"/>
      <c r="F936" s="308"/>
      <c r="G936" s="308"/>
      <c r="H936" s="308"/>
      <c r="I936" s="308"/>
    </row>
    <row r="937" spans="2:9" ht="15" x14ac:dyDescent="0.25">
      <c r="B937" s="308"/>
      <c r="C937" s="308"/>
      <c r="D937" s="308"/>
      <c r="E937" s="308"/>
      <c r="F937" s="308"/>
      <c r="G937" s="308"/>
      <c r="H937" s="308"/>
      <c r="I937" s="308"/>
    </row>
    <row r="938" spans="2:9" ht="15" x14ac:dyDescent="0.25">
      <c r="B938" s="308"/>
      <c r="C938" s="308"/>
      <c r="D938" s="308"/>
      <c r="E938" s="308"/>
      <c r="F938" s="308"/>
      <c r="G938" s="308"/>
      <c r="H938" s="308"/>
      <c r="I938" s="308"/>
    </row>
    <row r="939" spans="2:9" ht="15" x14ac:dyDescent="0.25">
      <c r="B939" s="308"/>
      <c r="C939" s="308"/>
      <c r="D939" s="308"/>
      <c r="E939" s="308"/>
      <c r="F939" s="308"/>
      <c r="G939" s="308"/>
      <c r="H939" s="308"/>
      <c r="I939" s="308"/>
    </row>
    <row r="940" spans="2:9" ht="15" x14ac:dyDescent="0.25">
      <c r="B940" s="308"/>
      <c r="C940" s="308"/>
      <c r="D940" s="308"/>
      <c r="E940" s="308"/>
      <c r="F940" s="308"/>
      <c r="G940" s="308"/>
      <c r="H940" s="308"/>
      <c r="I940" s="308"/>
    </row>
    <row r="941" spans="2:9" ht="15" x14ac:dyDescent="0.25">
      <c r="B941" s="308"/>
      <c r="C941" s="308"/>
      <c r="D941" s="308"/>
      <c r="E941" s="308"/>
      <c r="F941" s="308"/>
      <c r="G941" s="308"/>
      <c r="H941" s="308"/>
      <c r="I941" s="308"/>
    </row>
    <row r="942" spans="2:9" ht="15" x14ac:dyDescent="0.25">
      <c r="B942" s="308"/>
      <c r="C942" s="308"/>
      <c r="D942" s="308"/>
      <c r="E942" s="308"/>
      <c r="F942" s="308"/>
      <c r="G942" s="308"/>
      <c r="H942" s="308"/>
      <c r="I942" s="308"/>
    </row>
    <row r="943" spans="2:9" ht="15" x14ac:dyDescent="0.25">
      <c r="B943" s="308"/>
      <c r="C943" s="308"/>
      <c r="D943" s="308"/>
      <c r="E943" s="308"/>
      <c r="F943" s="308"/>
      <c r="G943" s="308"/>
      <c r="H943" s="308"/>
      <c r="I943" s="308"/>
    </row>
    <row r="944" spans="2:9" ht="15" x14ac:dyDescent="0.25">
      <c r="B944" s="308"/>
      <c r="C944" s="308"/>
      <c r="D944" s="308"/>
      <c r="E944" s="308"/>
      <c r="F944" s="308"/>
      <c r="G944" s="308"/>
      <c r="H944" s="308"/>
      <c r="I944" s="308"/>
    </row>
    <row r="945" spans="2:9" ht="15" x14ac:dyDescent="0.25">
      <c r="B945" s="308"/>
      <c r="C945" s="308"/>
      <c r="D945" s="308"/>
      <c r="E945" s="308"/>
      <c r="F945" s="308"/>
      <c r="G945" s="308"/>
      <c r="H945" s="308"/>
      <c r="I945" s="308"/>
    </row>
    <row r="946" spans="2:9" ht="15" x14ac:dyDescent="0.25">
      <c r="B946" s="308"/>
      <c r="C946" s="308"/>
      <c r="D946" s="308"/>
      <c r="E946" s="308"/>
      <c r="F946" s="308"/>
      <c r="G946" s="308"/>
      <c r="H946" s="308"/>
      <c r="I946" s="308"/>
    </row>
    <row r="947" spans="2:9" ht="15" x14ac:dyDescent="0.25">
      <c r="B947" s="308"/>
      <c r="C947" s="308"/>
      <c r="D947" s="308"/>
      <c r="E947" s="308"/>
      <c r="F947" s="308"/>
      <c r="G947" s="308"/>
      <c r="H947" s="308"/>
      <c r="I947" s="308"/>
    </row>
    <row r="948" spans="2:9" ht="15" x14ac:dyDescent="0.25">
      <c r="B948" s="308"/>
      <c r="C948" s="308"/>
      <c r="D948" s="308"/>
      <c r="E948" s="308"/>
      <c r="F948" s="308"/>
      <c r="G948" s="308"/>
      <c r="H948" s="308"/>
      <c r="I948" s="308"/>
    </row>
    <row r="949" spans="2:9" ht="15" x14ac:dyDescent="0.25">
      <c r="B949" s="308"/>
      <c r="C949" s="308"/>
      <c r="D949" s="308"/>
      <c r="E949" s="308"/>
      <c r="F949" s="308"/>
      <c r="G949" s="308"/>
      <c r="H949" s="308"/>
      <c r="I949" s="308"/>
    </row>
    <row r="950" spans="2:9" ht="15" x14ac:dyDescent="0.25">
      <c r="B950" s="308"/>
      <c r="C950" s="308"/>
      <c r="D950" s="308"/>
      <c r="E950" s="308"/>
      <c r="F950" s="308"/>
      <c r="G950" s="308"/>
      <c r="H950" s="308"/>
      <c r="I950" s="308"/>
    </row>
    <row r="951" spans="2:9" ht="15" x14ac:dyDescent="0.25">
      <c r="B951" s="308"/>
      <c r="C951" s="308"/>
      <c r="D951" s="308"/>
      <c r="E951" s="308"/>
      <c r="F951" s="308"/>
      <c r="G951" s="308"/>
      <c r="H951" s="308"/>
      <c r="I951" s="308"/>
    </row>
    <row r="952" spans="2:9" ht="15" x14ac:dyDescent="0.25">
      <c r="B952" s="308"/>
      <c r="C952" s="308"/>
      <c r="D952" s="308"/>
      <c r="E952" s="308"/>
      <c r="F952" s="308"/>
      <c r="G952" s="308"/>
      <c r="H952" s="308"/>
      <c r="I952" s="308"/>
    </row>
    <row r="953" spans="2:9" ht="15" x14ac:dyDescent="0.25">
      <c r="B953" s="308"/>
      <c r="C953" s="308"/>
      <c r="D953" s="308"/>
      <c r="E953" s="308"/>
      <c r="F953" s="308"/>
      <c r="G953" s="308"/>
      <c r="H953" s="308"/>
      <c r="I953" s="308"/>
    </row>
    <row r="954" spans="2:9" ht="15" x14ac:dyDescent="0.25">
      <c r="B954" s="308"/>
      <c r="C954" s="308"/>
      <c r="D954" s="308"/>
      <c r="E954" s="308"/>
      <c r="F954" s="308"/>
      <c r="G954" s="308"/>
      <c r="H954" s="308"/>
      <c r="I954" s="308"/>
    </row>
    <row r="955" spans="2:9" ht="15" x14ac:dyDescent="0.25">
      <c r="B955" s="308"/>
      <c r="C955" s="308"/>
      <c r="D955" s="308"/>
      <c r="E955" s="308"/>
      <c r="F955" s="308"/>
      <c r="G955" s="308"/>
      <c r="H955" s="308"/>
      <c r="I955" s="308"/>
    </row>
    <row r="956" spans="2:9" ht="15" x14ac:dyDescent="0.25">
      <c r="B956" s="308"/>
      <c r="C956" s="308"/>
      <c r="D956" s="308"/>
      <c r="E956" s="308"/>
      <c r="F956" s="308"/>
      <c r="G956" s="308"/>
      <c r="H956" s="308"/>
      <c r="I956" s="308"/>
    </row>
    <row r="957" spans="2:9" ht="15" x14ac:dyDescent="0.25">
      <c r="B957" s="308"/>
      <c r="C957" s="308"/>
      <c r="D957" s="308"/>
      <c r="E957" s="308"/>
      <c r="F957" s="308"/>
      <c r="G957" s="308"/>
      <c r="H957" s="308"/>
      <c r="I957" s="308"/>
    </row>
    <row r="958" spans="2:9" ht="15" x14ac:dyDescent="0.25">
      <c r="B958" s="308"/>
      <c r="C958" s="308"/>
      <c r="D958" s="308"/>
      <c r="E958" s="308"/>
      <c r="F958" s="308"/>
      <c r="G958" s="308"/>
      <c r="H958" s="308"/>
      <c r="I958" s="308"/>
    </row>
    <row r="959" spans="2:9" ht="15" x14ac:dyDescent="0.25">
      <c r="B959" s="308"/>
      <c r="C959" s="308"/>
      <c r="D959" s="308"/>
      <c r="E959" s="308"/>
      <c r="F959" s="308"/>
      <c r="G959" s="308"/>
      <c r="H959" s="308"/>
      <c r="I959" s="308"/>
    </row>
    <row r="960" spans="2:9" ht="15" x14ac:dyDescent="0.25">
      <c r="B960" s="308"/>
      <c r="C960" s="308"/>
      <c r="D960" s="308"/>
      <c r="E960" s="308"/>
      <c r="F960" s="308"/>
      <c r="G960" s="308"/>
      <c r="H960" s="308"/>
      <c r="I960" s="308"/>
    </row>
    <row r="961" spans="2:9" ht="15" x14ac:dyDescent="0.25">
      <c r="B961" s="308"/>
      <c r="C961" s="308"/>
      <c r="D961" s="308"/>
      <c r="E961" s="308"/>
      <c r="F961" s="308"/>
      <c r="G961" s="308"/>
      <c r="H961" s="308"/>
      <c r="I961" s="308"/>
    </row>
    <row r="962" spans="2:9" ht="15" x14ac:dyDescent="0.25">
      <c r="B962" s="308"/>
      <c r="C962" s="308"/>
      <c r="D962" s="308"/>
      <c r="E962" s="308"/>
      <c r="F962" s="308"/>
      <c r="G962" s="308"/>
      <c r="H962" s="308"/>
      <c r="I962" s="308"/>
    </row>
    <row r="963" spans="2:9" ht="15" x14ac:dyDescent="0.25">
      <c r="B963" s="308"/>
      <c r="C963" s="308"/>
      <c r="D963" s="308"/>
      <c r="E963" s="308"/>
      <c r="F963" s="308"/>
      <c r="G963" s="308"/>
      <c r="H963" s="308"/>
      <c r="I963" s="308"/>
    </row>
    <row r="964" spans="2:9" ht="15" x14ac:dyDescent="0.25">
      <c r="B964" s="308"/>
      <c r="C964" s="308"/>
      <c r="D964" s="308"/>
      <c r="E964" s="308"/>
      <c r="F964" s="308"/>
      <c r="G964" s="308"/>
      <c r="H964" s="308"/>
      <c r="I964" s="308"/>
    </row>
    <row r="965" spans="2:9" ht="15" x14ac:dyDescent="0.25">
      <c r="B965" s="308"/>
      <c r="C965" s="308"/>
      <c r="D965" s="308"/>
      <c r="E965" s="308"/>
      <c r="F965" s="308"/>
      <c r="G965" s="308"/>
      <c r="H965" s="308"/>
      <c r="I965" s="308"/>
    </row>
    <row r="966" spans="2:9" ht="15" x14ac:dyDescent="0.25">
      <c r="B966" s="308"/>
      <c r="C966" s="308"/>
      <c r="D966" s="308"/>
      <c r="E966" s="308"/>
      <c r="F966" s="308"/>
      <c r="G966" s="308"/>
      <c r="H966" s="308"/>
      <c r="I966" s="308"/>
    </row>
    <row r="967" spans="2:9" ht="15" x14ac:dyDescent="0.25">
      <c r="B967" s="308"/>
      <c r="C967" s="308"/>
      <c r="D967" s="308"/>
      <c r="E967" s="308"/>
      <c r="F967" s="308"/>
      <c r="G967" s="308"/>
      <c r="H967" s="308"/>
      <c r="I967" s="308"/>
    </row>
    <row r="968" spans="2:9" ht="15" x14ac:dyDescent="0.25">
      <c r="B968" s="308"/>
      <c r="C968" s="308"/>
      <c r="D968" s="308"/>
      <c r="E968" s="308"/>
      <c r="F968" s="308"/>
      <c r="G968" s="308"/>
      <c r="H968" s="308"/>
      <c r="I968" s="308"/>
    </row>
    <row r="969" spans="2:9" ht="15" x14ac:dyDescent="0.25">
      <c r="B969" s="308"/>
      <c r="C969" s="308"/>
      <c r="D969" s="308"/>
      <c r="E969" s="308"/>
      <c r="F969" s="308"/>
      <c r="G969" s="308"/>
      <c r="H969" s="308"/>
      <c r="I969" s="308"/>
    </row>
    <row r="970" spans="2:9" ht="15" x14ac:dyDescent="0.25">
      <c r="B970" s="308"/>
      <c r="C970" s="308"/>
      <c r="D970" s="308"/>
      <c r="E970" s="308"/>
      <c r="F970" s="308"/>
      <c r="G970" s="308"/>
      <c r="H970" s="308"/>
      <c r="I970" s="308"/>
    </row>
    <row r="971" spans="2:9" ht="15" x14ac:dyDescent="0.25">
      <c r="B971" s="308"/>
      <c r="C971" s="308"/>
      <c r="D971" s="308"/>
      <c r="E971" s="308"/>
      <c r="F971" s="308"/>
      <c r="G971" s="308"/>
      <c r="H971" s="308"/>
      <c r="I971" s="308"/>
    </row>
    <row r="972" spans="2:9" ht="15" x14ac:dyDescent="0.25">
      <c r="B972" s="308"/>
      <c r="C972" s="308"/>
      <c r="D972" s="308"/>
      <c r="E972" s="308"/>
      <c r="F972" s="308"/>
      <c r="G972" s="308"/>
      <c r="H972" s="308"/>
      <c r="I972" s="308"/>
    </row>
    <row r="973" spans="2:9" ht="15" x14ac:dyDescent="0.25">
      <c r="B973" s="308"/>
      <c r="C973" s="308"/>
      <c r="D973" s="308"/>
      <c r="E973" s="308"/>
      <c r="F973" s="308"/>
      <c r="G973" s="308"/>
      <c r="H973" s="308"/>
      <c r="I973" s="308"/>
    </row>
    <row r="974" spans="2:9" ht="15" x14ac:dyDescent="0.25">
      <c r="B974" s="308"/>
      <c r="C974" s="308"/>
      <c r="D974" s="308"/>
      <c r="E974" s="308"/>
      <c r="F974" s="308"/>
      <c r="G974" s="308"/>
      <c r="H974" s="308"/>
      <c r="I974" s="308"/>
    </row>
    <row r="975" spans="2:9" ht="15" x14ac:dyDescent="0.25">
      <c r="B975" s="308"/>
      <c r="C975" s="308"/>
      <c r="D975" s="308"/>
      <c r="E975" s="308"/>
      <c r="F975" s="308"/>
      <c r="G975" s="308"/>
      <c r="H975" s="308"/>
      <c r="I975" s="308"/>
    </row>
    <row r="976" spans="2:9" ht="15" x14ac:dyDescent="0.25">
      <c r="B976" s="308"/>
      <c r="C976" s="308"/>
      <c r="D976" s="308"/>
      <c r="E976" s="308"/>
      <c r="F976" s="308"/>
      <c r="G976" s="308"/>
      <c r="H976" s="308"/>
      <c r="I976" s="308"/>
    </row>
    <row r="977" spans="2:9" ht="15" x14ac:dyDescent="0.25">
      <c r="B977" s="308"/>
      <c r="C977" s="308"/>
      <c r="D977" s="308"/>
      <c r="E977" s="308"/>
      <c r="F977" s="308"/>
      <c r="G977" s="308"/>
      <c r="H977" s="308"/>
      <c r="I977" s="308"/>
    </row>
    <row r="978" spans="2:9" ht="15" x14ac:dyDescent="0.25">
      <c r="B978" s="308"/>
      <c r="C978" s="308"/>
      <c r="D978" s="308"/>
      <c r="E978" s="308"/>
      <c r="F978" s="308"/>
      <c r="G978" s="308"/>
      <c r="H978" s="308"/>
      <c r="I978" s="308"/>
    </row>
    <row r="979" spans="2:9" ht="15" x14ac:dyDescent="0.25">
      <c r="B979" s="308"/>
      <c r="C979" s="308"/>
      <c r="D979" s="308"/>
      <c r="E979" s="308"/>
      <c r="F979" s="308"/>
      <c r="G979" s="308"/>
      <c r="H979" s="308"/>
      <c r="I979" s="308"/>
    </row>
    <row r="980" spans="2:9" ht="15" x14ac:dyDescent="0.25">
      <c r="B980" s="308"/>
      <c r="C980" s="308"/>
      <c r="D980" s="308"/>
      <c r="E980" s="308"/>
      <c r="F980" s="308"/>
      <c r="G980" s="308"/>
      <c r="H980" s="308"/>
      <c r="I980" s="308"/>
    </row>
    <row r="981" spans="2:9" ht="15" x14ac:dyDescent="0.25">
      <c r="B981" s="308"/>
      <c r="C981" s="308"/>
      <c r="D981" s="308"/>
      <c r="E981" s="308"/>
      <c r="F981" s="308"/>
      <c r="G981" s="308"/>
      <c r="H981" s="308"/>
      <c r="I981" s="308"/>
    </row>
    <row r="982" spans="2:9" ht="15" x14ac:dyDescent="0.25">
      <c r="B982" s="308"/>
      <c r="C982" s="308"/>
      <c r="D982" s="308"/>
      <c r="E982" s="308"/>
      <c r="F982" s="308"/>
      <c r="G982" s="308"/>
      <c r="H982" s="308"/>
      <c r="I982" s="308"/>
    </row>
    <row r="983" spans="2:9" ht="15" x14ac:dyDescent="0.25">
      <c r="B983" s="308"/>
      <c r="C983" s="308"/>
      <c r="D983" s="308"/>
      <c r="E983" s="308"/>
      <c r="F983" s="308"/>
      <c r="G983" s="308"/>
      <c r="H983" s="308"/>
      <c r="I983" s="308"/>
    </row>
    <row r="984" spans="2:9" ht="15" x14ac:dyDescent="0.25">
      <c r="B984" s="308"/>
      <c r="C984" s="308"/>
      <c r="D984" s="308"/>
      <c r="E984" s="308"/>
      <c r="F984" s="308"/>
      <c r="G984" s="308"/>
      <c r="H984" s="308"/>
      <c r="I984" s="308"/>
    </row>
    <row r="985" spans="2:9" ht="15" x14ac:dyDescent="0.25">
      <c r="B985" s="308"/>
      <c r="C985" s="308"/>
      <c r="D985" s="308"/>
      <c r="E985" s="308"/>
      <c r="F985" s="308"/>
      <c r="G985" s="308"/>
      <c r="H985" s="308"/>
      <c r="I985" s="308"/>
    </row>
    <row r="986" spans="2:9" ht="15" x14ac:dyDescent="0.25">
      <c r="B986" s="308"/>
      <c r="C986" s="308"/>
      <c r="D986" s="308"/>
      <c r="E986" s="308"/>
      <c r="F986" s="308"/>
      <c r="G986" s="308"/>
      <c r="H986" s="308"/>
      <c r="I986" s="308"/>
    </row>
    <row r="987" spans="2:9" ht="15" x14ac:dyDescent="0.25">
      <c r="B987" s="308"/>
      <c r="C987" s="308"/>
      <c r="D987" s="308"/>
      <c r="E987" s="308"/>
      <c r="F987" s="308"/>
      <c r="G987" s="308"/>
      <c r="H987" s="308"/>
      <c r="I987" s="308"/>
    </row>
    <row r="988" spans="2:9" ht="15" x14ac:dyDescent="0.25">
      <c r="B988" s="308"/>
      <c r="C988" s="308"/>
      <c r="D988" s="308"/>
      <c r="E988" s="308"/>
      <c r="F988" s="308"/>
      <c r="G988" s="308"/>
      <c r="H988" s="308"/>
      <c r="I988" s="308"/>
    </row>
    <row r="989" spans="2:9" ht="15" x14ac:dyDescent="0.25">
      <c r="B989" s="308"/>
      <c r="C989" s="308"/>
      <c r="D989" s="308"/>
      <c r="E989" s="308"/>
      <c r="F989" s="308"/>
      <c r="G989" s="308"/>
      <c r="H989" s="308"/>
      <c r="I989" s="308"/>
    </row>
    <row r="990" spans="2:9" ht="15" x14ac:dyDescent="0.25">
      <c r="B990" s="308"/>
      <c r="C990" s="308"/>
      <c r="D990" s="308"/>
      <c r="E990" s="308"/>
      <c r="F990" s="308"/>
      <c r="G990" s="308"/>
      <c r="H990" s="308"/>
      <c r="I990" s="308"/>
    </row>
    <row r="991" spans="2:9" ht="15" x14ac:dyDescent="0.25">
      <c r="B991" s="308"/>
      <c r="C991" s="308"/>
      <c r="D991" s="308"/>
      <c r="E991" s="308"/>
      <c r="F991" s="308"/>
      <c r="G991" s="308"/>
      <c r="H991" s="308"/>
      <c r="I991" s="308"/>
    </row>
    <row r="992" spans="2:9" ht="15" x14ac:dyDescent="0.25">
      <c r="B992" s="308"/>
      <c r="C992" s="308"/>
      <c r="D992" s="308"/>
      <c r="E992" s="308"/>
      <c r="F992" s="308"/>
      <c r="G992" s="308"/>
      <c r="H992" s="308"/>
      <c r="I992" s="308"/>
    </row>
    <row r="993" spans="2:9" ht="15" x14ac:dyDescent="0.25">
      <c r="B993" s="308"/>
      <c r="C993" s="308"/>
      <c r="D993" s="308"/>
      <c r="E993" s="308"/>
      <c r="F993" s="308"/>
      <c r="G993" s="308"/>
      <c r="H993" s="308"/>
      <c r="I993" s="308"/>
    </row>
    <row r="994" spans="2:9" ht="15" x14ac:dyDescent="0.25">
      <c r="B994" s="308"/>
      <c r="C994" s="308"/>
      <c r="D994" s="308"/>
      <c r="E994" s="308"/>
      <c r="F994" s="308"/>
      <c r="G994" s="308"/>
      <c r="H994" s="308"/>
      <c r="I994" s="308"/>
    </row>
    <row r="995" spans="2:9" ht="15" x14ac:dyDescent="0.25">
      <c r="B995" s="308"/>
      <c r="C995" s="308"/>
      <c r="D995" s="308"/>
      <c r="E995" s="308"/>
      <c r="F995" s="308"/>
      <c r="G995" s="308"/>
      <c r="H995" s="308"/>
      <c r="I995" s="308"/>
    </row>
    <row r="996" spans="2:9" ht="15" x14ac:dyDescent="0.25">
      <c r="B996" s="308"/>
      <c r="C996" s="308"/>
      <c r="D996" s="308"/>
      <c r="E996" s="308"/>
      <c r="F996" s="308"/>
      <c r="G996" s="308"/>
      <c r="H996" s="308"/>
      <c r="I996" s="308"/>
    </row>
    <row r="997" spans="2:9" ht="15" x14ac:dyDescent="0.25">
      <c r="B997" s="308"/>
      <c r="C997" s="308"/>
      <c r="D997" s="308"/>
      <c r="E997" s="308"/>
      <c r="F997" s="308"/>
      <c r="G997" s="308"/>
      <c r="H997" s="308"/>
      <c r="I997" s="308"/>
    </row>
    <row r="998" spans="2:9" ht="15" x14ac:dyDescent="0.25">
      <c r="B998" s="308"/>
      <c r="C998" s="308"/>
      <c r="D998" s="308"/>
      <c r="E998" s="308"/>
      <c r="F998" s="308"/>
      <c r="G998" s="308"/>
      <c r="H998" s="308"/>
      <c r="I998" s="308"/>
    </row>
    <row r="999" spans="2:9" ht="15" x14ac:dyDescent="0.25">
      <c r="B999" s="308"/>
      <c r="C999" s="308"/>
      <c r="D999" s="308"/>
      <c r="E999" s="308"/>
      <c r="F999" s="308"/>
      <c r="G999" s="308"/>
      <c r="H999" s="308"/>
      <c r="I999" s="308"/>
    </row>
    <row r="1000" spans="2:9" ht="15" x14ac:dyDescent="0.25">
      <c r="B1000" s="308"/>
      <c r="C1000" s="308"/>
      <c r="D1000" s="308"/>
      <c r="E1000" s="308"/>
      <c r="F1000" s="308"/>
      <c r="G1000" s="308"/>
      <c r="H1000" s="308"/>
      <c r="I1000" s="308"/>
    </row>
    <row r="1001" spans="2:9" ht="15" x14ac:dyDescent="0.25">
      <c r="B1001" s="308"/>
      <c r="C1001" s="308"/>
      <c r="D1001" s="308"/>
      <c r="E1001" s="308"/>
      <c r="F1001" s="308"/>
      <c r="G1001" s="308"/>
      <c r="H1001" s="308"/>
      <c r="I1001" s="308"/>
    </row>
    <row r="1002" spans="2:9" ht="15" x14ac:dyDescent="0.25">
      <c r="B1002" s="308"/>
      <c r="C1002" s="308"/>
      <c r="D1002" s="308"/>
      <c r="E1002" s="308"/>
      <c r="F1002" s="308"/>
      <c r="G1002" s="308"/>
      <c r="H1002" s="308"/>
      <c r="I1002" s="308"/>
    </row>
    <row r="1003" spans="2:9" ht="15" x14ac:dyDescent="0.25">
      <c r="B1003" s="308"/>
      <c r="C1003" s="308"/>
      <c r="D1003" s="308"/>
      <c r="E1003" s="308"/>
      <c r="F1003" s="308"/>
      <c r="G1003" s="308"/>
      <c r="H1003" s="308"/>
      <c r="I1003" s="308"/>
    </row>
    <row r="1004" spans="2:9" ht="15" x14ac:dyDescent="0.25">
      <c r="B1004" s="308"/>
      <c r="C1004" s="308"/>
      <c r="D1004" s="308"/>
      <c r="E1004" s="308"/>
      <c r="F1004" s="308"/>
      <c r="G1004" s="308"/>
      <c r="H1004" s="308"/>
      <c r="I1004" s="308"/>
    </row>
    <row r="1005" spans="2:9" ht="15" x14ac:dyDescent="0.25">
      <c r="B1005" s="308"/>
      <c r="C1005" s="308"/>
      <c r="D1005" s="308"/>
      <c r="E1005" s="308"/>
      <c r="F1005" s="308"/>
      <c r="G1005" s="308"/>
      <c r="H1005" s="308"/>
      <c r="I1005" s="308"/>
    </row>
    <row r="1006" spans="2:9" ht="15" x14ac:dyDescent="0.25">
      <c r="B1006" s="308"/>
      <c r="C1006" s="308"/>
      <c r="D1006" s="308"/>
      <c r="E1006" s="308"/>
      <c r="F1006" s="308"/>
      <c r="G1006" s="308"/>
      <c r="H1006" s="308"/>
      <c r="I1006" s="308"/>
    </row>
    <row r="1007" spans="2:9" ht="15" x14ac:dyDescent="0.25">
      <c r="B1007" s="308"/>
      <c r="C1007" s="308"/>
      <c r="D1007" s="308"/>
      <c r="E1007" s="308"/>
      <c r="F1007" s="308"/>
      <c r="G1007" s="308"/>
      <c r="H1007" s="308"/>
      <c r="I1007" s="308"/>
    </row>
    <row r="1008" spans="2:9" ht="15" x14ac:dyDescent="0.25">
      <c r="B1008" s="308"/>
      <c r="C1008" s="308"/>
      <c r="D1008" s="308"/>
      <c r="E1008" s="308"/>
      <c r="F1008" s="308"/>
      <c r="G1008" s="308"/>
      <c r="H1008" s="308"/>
      <c r="I1008" s="308"/>
    </row>
    <row r="1009" spans="2:9" ht="15" x14ac:dyDescent="0.25">
      <c r="B1009" s="308"/>
      <c r="C1009" s="308"/>
      <c r="D1009" s="308"/>
      <c r="E1009" s="308"/>
      <c r="F1009" s="308"/>
      <c r="G1009" s="308"/>
      <c r="H1009" s="308"/>
      <c r="I1009" s="308"/>
    </row>
    <row r="1010" spans="2:9" ht="15" x14ac:dyDescent="0.25">
      <c r="B1010" s="308"/>
      <c r="C1010" s="308"/>
      <c r="D1010" s="308"/>
      <c r="E1010" s="308"/>
      <c r="F1010" s="308"/>
      <c r="G1010" s="308"/>
      <c r="H1010" s="308"/>
      <c r="I1010" s="308"/>
    </row>
    <row r="1011" spans="2:9" ht="15" x14ac:dyDescent="0.25">
      <c r="B1011" s="308"/>
      <c r="C1011" s="308"/>
      <c r="D1011" s="308"/>
      <c r="E1011" s="308"/>
      <c r="F1011" s="308"/>
      <c r="G1011" s="308"/>
      <c r="H1011" s="308"/>
      <c r="I1011" s="308"/>
    </row>
    <row r="1012" spans="2:9" ht="15" x14ac:dyDescent="0.25">
      <c r="B1012" s="308"/>
      <c r="C1012" s="308"/>
      <c r="D1012" s="308"/>
      <c r="E1012" s="308"/>
      <c r="F1012" s="308"/>
      <c r="G1012" s="308"/>
      <c r="H1012" s="308"/>
      <c r="I1012" s="308"/>
    </row>
    <row r="1013" spans="2:9" ht="15" x14ac:dyDescent="0.25">
      <c r="B1013" s="308"/>
      <c r="C1013" s="308"/>
      <c r="D1013" s="308"/>
      <c r="E1013" s="308"/>
      <c r="F1013" s="308"/>
      <c r="G1013" s="308"/>
      <c r="H1013" s="308"/>
      <c r="I1013" s="308"/>
    </row>
    <row r="1014" spans="2:9" ht="15" x14ac:dyDescent="0.25">
      <c r="B1014" s="308"/>
      <c r="C1014" s="308"/>
      <c r="D1014" s="308"/>
      <c r="E1014" s="308"/>
      <c r="F1014" s="308"/>
      <c r="G1014" s="308"/>
      <c r="H1014" s="308"/>
      <c r="I1014" s="308"/>
    </row>
    <row r="1015" spans="2:9" ht="15" x14ac:dyDescent="0.25">
      <c r="B1015" s="308"/>
      <c r="C1015" s="308"/>
      <c r="D1015" s="308"/>
      <c r="E1015" s="308"/>
      <c r="F1015" s="308"/>
      <c r="G1015" s="308"/>
      <c r="H1015" s="308"/>
      <c r="I1015" s="308"/>
    </row>
    <row r="1016" spans="2:9" ht="15" x14ac:dyDescent="0.25">
      <c r="B1016" s="308"/>
      <c r="C1016" s="308"/>
      <c r="D1016" s="308"/>
      <c r="E1016" s="308"/>
      <c r="F1016" s="308"/>
      <c r="G1016" s="308"/>
      <c r="H1016" s="308"/>
      <c r="I1016" s="308"/>
    </row>
    <row r="1017" spans="2:9" ht="15" x14ac:dyDescent="0.25">
      <c r="B1017" s="308"/>
      <c r="C1017" s="308"/>
      <c r="D1017" s="308"/>
      <c r="E1017" s="308"/>
      <c r="F1017" s="308"/>
      <c r="G1017" s="308"/>
      <c r="H1017" s="308"/>
      <c r="I1017" s="308"/>
    </row>
    <row r="1018" spans="2:9" ht="15" x14ac:dyDescent="0.25">
      <c r="B1018" s="308"/>
      <c r="C1018" s="308"/>
      <c r="D1018" s="308"/>
      <c r="E1018" s="308"/>
      <c r="F1018" s="308"/>
      <c r="G1018" s="308"/>
      <c r="H1018" s="308"/>
      <c r="I1018" s="308"/>
    </row>
    <row r="1019" spans="2:9" ht="15" x14ac:dyDescent="0.25">
      <c r="B1019" s="308"/>
      <c r="C1019" s="308"/>
      <c r="D1019" s="308"/>
      <c r="E1019" s="308"/>
      <c r="F1019" s="308"/>
      <c r="G1019" s="308"/>
      <c r="H1019" s="308"/>
      <c r="I1019" s="308"/>
    </row>
    <row r="1020" spans="2:9" ht="15" x14ac:dyDescent="0.25">
      <c r="B1020" s="308"/>
      <c r="C1020" s="308"/>
      <c r="D1020" s="308"/>
      <c r="E1020" s="308"/>
      <c r="F1020" s="308"/>
      <c r="G1020" s="308"/>
      <c r="H1020" s="308"/>
      <c r="I1020" s="308"/>
    </row>
    <row r="1021" spans="2:9" ht="15" x14ac:dyDescent="0.25">
      <c r="B1021" s="308"/>
      <c r="C1021" s="308"/>
      <c r="D1021" s="308"/>
      <c r="E1021" s="308"/>
      <c r="F1021" s="308"/>
      <c r="G1021" s="308"/>
      <c r="H1021" s="308"/>
      <c r="I1021" s="308"/>
    </row>
    <row r="1022" spans="2:9" ht="15" x14ac:dyDescent="0.25">
      <c r="B1022" s="308"/>
      <c r="C1022" s="308"/>
      <c r="D1022" s="308"/>
      <c r="E1022" s="308"/>
      <c r="F1022" s="308"/>
      <c r="G1022" s="308"/>
      <c r="H1022" s="308"/>
      <c r="I1022" s="308"/>
    </row>
    <row r="1023" spans="2:9" ht="15" x14ac:dyDescent="0.25">
      <c r="B1023" s="308"/>
      <c r="C1023" s="308"/>
      <c r="D1023" s="308"/>
      <c r="E1023" s="308"/>
      <c r="F1023" s="308"/>
      <c r="G1023" s="308"/>
      <c r="H1023" s="308"/>
      <c r="I1023" s="308"/>
    </row>
    <row r="1024" spans="2:9" ht="15" x14ac:dyDescent="0.25">
      <c r="B1024" s="308"/>
      <c r="C1024" s="308"/>
      <c r="D1024" s="308"/>
      <c r="E1024" s="308"/>
      <c r="F1024" s="308"/>
      <c r="G1024" s="308"/>
      <c r="H1024" s="308"/>
      <c r="I1024" s="308"/>
    </row>
    <row r="1025" spans="2:9" ht="15" x14ac:dyDescent="0.25">
      <c r="B1025" s="308"/>
      <c r="C1025" s="308"/>
      <c r="D1025" s="308"/>
      <c r="E1025" s="308"/>
      <c r="F1025" s="308"/>
      <c r="G1025" s="308"/>
      <c r="H1025" s="308"/>
      <c r="I1025" s="308"/>
    </row>
    <row r="1026" spans="2:9" ht="15" x14ac:dyDescent="0.25">
      <c r="B1026" s="308"/>
      <c r="C1026" s="308"/>
      <c r="D1026" s="308"/>
      <c r="E1026" s="308"/>
      <c r="F1026" s="308"/>
      <c r="G1026" s="308"/>
      <c r="H1026" s="308"/>
      <c r="I1026" s="308"/>
    </row>
    <row r="1027" spans="2:9" ht="15" x14ac:dyDescent="0.25">
      <c r="B1027" s="308"/>
      <c r="C1027" s="308"/>
      <c r="D1027" s="308"/>
      <c r="E1027" s="308"/>
      <c r="F1027" s="308"/>
      <c r="G1027" s="308"/>
      <c r="H1027" s="308"/>
      <c r="I1027" s="308"/>
    </row>
    <row r="1028" spans="2:9" ht="15" x14ac:dyDescent="0.25">
      <c r="B1028" s="308"/>
      <c r="C1028" s="308"/>
      <c r="D1028" s="308"/>
      <c r="E1028" s="308"/>
      <c r="F1028" s="308"/>
      <c r="G1028" s="308"/>
      <c r="H1028" s="308"/>
      <c r="I1028" s="308"/>
    </row>
    <row r="1029" spans="2:9" ht="15" x14ac:dyDescent="0.25">
      <c r="B1029" s="308"/>
      <c r="C1029" s="308"/>
      <c r="D1029" s="308"/>
      <c r="E1029" s="308"/>
      <c r="F1029" s="308"/>
      <c r="G1029" s="308"/>
      <c r="H1029" s="308"/>
      <c r="I1029" s="308"/>
    </row>
    <row r="1030" spans="2:9" ht="15" x14ac:dyDescent="0.25">
      <c r="B1030" s="308"/>
      <c r="C1030" s="308"/>
      <c r="D1030" s="308"/>
      <c r="E1030" s="308"/>
      <c r="F1030" s="308"/>
      <c r="G1030" s="308"/>
      <c r="H1030" s="308"/>
      <c r="I1030" s="308"/>
    </row>
    <row r="1031" spans="2:9" ht="15" x14ac:dyDescent="0.25">
      <c r="B1031" s="308"/>
      <c r="C1031" s="308"/>
      <c r="D1031" s="308"/>
      <c r="E1031" s="308"/>
      <c r="F1031" s="308"/>
      <c r="G1031" s="308"/>
      <c r="H1031" s="308"/>
      <c r="I1031" s="308"/>
    </row>
    <row r="1032" spans="2:9" ht="15" x14ac:dyDescent="0.25">
      <c r="B1032" s="308"/>
      <c r="C1032" s="308"/>
      <c r="D1032" s="308"/>
      <c r="E1032" s="308"/>
      <c r="F1032" s="308"/>
      <c r="G1032" s="308"/>
      <c r="H1032" s="308"/>
      <c r="I1032" s="308"/>
    </row>
    <row r="1033" spans="2:9" ht="15" x14ac:dyDescent="0.25">
      <c r="B1033" s="308"/>
      <c r="C1033" s="308"/>
      <c r="D1033" s="308"/>
      <c r="E1033" s="308"/>
      <c r="F1033" s="308"/>
      <c r="G1033" s="308"/>
      <c r="H1033" s="308"/>
      <c r="I1033" s="308"/>
    </row>
    <row r="1034" spans="2:9" ht="15" x14ac:dyDescent="0.25">
      <c r="B1034" s="308"/>
      <c r="C1034" s="308"/>
      <c r="D1034" s="308"/>
      <c r="E1034" s="308"/>
      <c r="F1034" s="308"/>
      <c r="G1034" s="308"/>
      <c r="H1034" s="308"/>
      <c r="I1034" s="308"/>
    </row>
    <row r="1035" spans="2:9" ht="15" x14ac:dyDescent="0.25">
      <c r="B1035" s="308"/>
      <c r="C1035" s="308"/>
      <c r="D1035" s="308"/>
      <c r="E1035" s="308"/>
      <c r="F1035" s="308"/>
      <c r="G1035" s="308"/>
      <c r="H1035" s="308"/>
      <c r="I1035" s="308"/>
    </row>
    <row r="1036" spans="2:9" ht="15" x14ac:dyDescent="0.25">
      <c r="B1036" s="308"/>
      <c r="C1036" s="308"/>
      <c r="D1036" s="308"/>
      <c r="E1036" s="308"/>
      <c r="F1036" s="308"/>
      <c r="G1036" s="308"/>
      <c r="H1036" s="308"/>
      <c r="I1036" s="308"/>
    </row>
    <row r="1037" spans="2:9" ht="15" x14ac:dyDescent="0.25">
      <c r="B1037" s="308"/>
      <c r="C1037" s="308"/>
      <c r="D1037" s="308"/>
      <c r="E1037" s="308"/>
      <c r="F1037" s="308"/>
      <c r="G1037" s="308"/>
      <c r="H1037" s="308"/>
      <c r="I1037" s="308"/>
    </row>
    <row r="1038" spans="2:9" ht="15" x14ac:dyDescent="0.25">
      <c r="B1038" s="308"/>
      <c r="C1038" s="308"/>
      <c r="D1038" s="308"/>
      <c r="E1038" s="308"/>
      <c r="F1038" s="308"/>
      <c r="G1038" s="308"/>
      <c r="H1038" s="308"/>
      <c r="I1038" s="308"/>
    </row>
    <row r="1039" spans="2:9" ht="15" x14ac:dyDescent="0.25">
      <c r="B1039" s="308"/>
      <c r="C1039" s="308"/>
      <c r="D1039" s="308"/>
      <c r="E1039" s="308"/>
      <c r="F1039" s="308"/>
      <c r="G1039" s="308"/>
      <c r="H1039" s="308"/>
      <c r="I1039" s="308"/>
    </row>
    <row r="1040" spans="2:9" ht="15" x14ac:dyDescent="0.25">
      <c r="B1040" s="308"/>
      <c r="C1040" s="308"/>
      <c r="D1040" s="308"/>
      <c r="E1040" s="308"/>
      <c r="F1040" s="308"/>
      <c r="G1040" s="308"/>
      <c r="H1040" s="308"/>
      <c r="I1040" s="308"/>
    </row>
    <row r="1041" spans="2:9" ht="15" x14ac:dyDescent="0.25">
      <c r="B1041" s="308"/>
      <c r="C1041" s="308"/>
      <c r="D1041" s="308"/>
      <c r="E1041" s="308"/>
      <c r="F1041" s="308"/>
      <c r="G1041" s="308"/>
      <c r="H1041" s="308"/>
      <c r="I1041" s="308"/>
    </row>
    <row r="1042" spans="2:9" ht="15" x14ac:dyDescent="0.25">
      <c r="B1042" s="308"/>
      <c r="C1042" s="308"/>
      <c r="D1042" s="308"/>
      <c r="E1042" s="308"/>
      <c r="F1042" s="308"/>
      <c r="G1042" s="308"/>
      <c r="H1042" s="308"/>
      <c r="I1042" s="308"/>
    </row>
    <row r="1043" spans="2:9" ht="15" x14ac:dyDescent="0.25">
      <c r="B1043" s="308"/>
      <c r="C1043" s="308"/>
      <c r="D1043" s="308"/>
      <c r="E1043" s="308"/>
      <c r="F1043" s="308"/>
      <c r="G1043" s="308"/>
      <c r="H1043" s="308"/>
      <c r="I1043" s="308"/>
    </row>
    <row r="1044" spans="2:9" ht="15" x14ac:dyDescent="0.25">
      <c r="B1044" s="308"/>
      <c r="C1044" s="308"/>
      <c r="D1044" s="308"/>
      <c r="E1044" s="308"/>
      <c r="F1044" s="308"/>
      <c r="G1044" s="308"/>
      <c r="H1044" s="308"/>
      <c r="I1044" s="308"/>
    </row>
    <row r="1045" spans="2:9" ht="15" x14ac:dyDescent="0.25">
      <c r="B1045" s="308"/>
      <c r="C1045" s="308"/>
      <c r="D1045" s="308"/>
      <c r="E1045" s="308"/>
      <c r="F1045" s="308"/>
      <c r="G1045" s="308"/>
      <c r="H1045" s="308"/>
      <c r="I1045" s="308"/>
    </row>
    <row r="1046" spans="2:9" ht="15" x14ac:dyDescent="0.25">
      <c r="B1046" s="308"/>
      <c r="C1046" s="308"/>
      <c r="D1046" s="308"/>
      <c r="E1046" s="308"/>
      <c r="F1046" s="308"/>
      <c r="G1046" s="308"/>
      <c r="H1046" s="308"/>
      <c r="I1046" s="308"/>
    </row>
    <row r="1047" spans="2:9" ht="15" x14ac:dyDescent="0.25">
      <c r="B1047" s="308"/>
      <c r="C1047" s="308"/>
      <c r="D1047" s="308"/>
      <c r="E1047" s="308"/>
      <c r="F1047" s="308"/>
      <c r="G1047" s="308"/>
      <c r="H1047" s="308"/>
      <c r="I1047" s="308"/>
    </row>
    <row r="1048" spans="2:9" ht="15" x14ac:dyDescent="0.25">
      <c r="B1048" s="308"/>
      <c r="C1048" s="308"/>
      <c r="D1048" s="308"/>
      <c r="E1048" s="308"/>
      <c r="F1048" s="308"/>
      <c r="G1048" s="308"/>
      <c r="H1048" s="308"/>
      <c r="I1048" s="308"/>
    </row>
    <row r="1049" spans="2:9" ht="15" x14ac:dyDescent="0.25">
      <c r="B1049" s="308"/>
      <c r="C1049" s="308"/>
      <c r="D1049" s="308"/>
      <c r="E1049" s="308"/>
      <c r="F1049" s="308"/>
      <c r="G1049" s="308"/>
      <c r="H1049" s="308"/>
      <c r="I1049" s="308"/>
    </row>
    <row r="1050" spans="2:9" ht="15" x14ac:dyDescent="0.25">
      <c r="B1050" s="308"/>
      <c r="C1050" s="308"/>
      <c r="D1050" s="308"/>
      <c r="E1050" s="308"/>
      <c r="F1050" s="308"/>
      <c r="G1050" s="308"/>
      <c r="H1050" s="308"/>
      <c r="I1050" s="308"/>
    </row>
    <row r="1051" spans="2:9" ht="15" x14ac:dyDescent="0.25">
      <c r="B1051" s="308"/>
      <c r="C1051" s="308"/>
      <c r="D1051" s="308"/>
      <c r="E1051" s="308"/>
      <c r="F1051" s="308"/>
      <c r="G1051" s="308"/>
      <c r="H1051" s="308"/>
      <c r="I1051" s="308"/>
    </row>
    <row r="1052" spans="2:9" ht="15" x14ac:dyDescent="0.25">
      <c r="B1052" s="308"/>
      <c r="C1052" s="308"/>
      <c r="D1052" s="308"/>
      <c r="E1052" s="308"/>
      <c r="F1052" s="308"/>
      <c r="G1052" s="308"/>
      <c r="H1052" s="308"/>
      <c r="I1052" s="308"/>
    </row>
    <row r="1053" spans="2:9" ht="15" x14ac:dyDescent="0.25">
      <c r="B1053" s="308"/>
      <c r="C1053" s="308"/>
      <c r="D1053" s="308"/>
      <c r="E1053" s="308"/>
      <c r="F1053" s="308"/>
      <c r="G1053" s="308"/>
      <c r="H1053" s="308"/>
      <c r="I1053" s="308"/>
    </row>
    <row r="1054" spans="2:9" ht="15" x14ac:dyDescent="0.25">
      <c r="B1054" s="308"/>
      <c r="C1054" s="308"/>
      <c r="D1054" s="308"/>
      <c r="E1054" s="308"/>
      <c r="F1054" s="308"/>
      <c r="G1054" s="308"/>
      <c r="H1054" s="308"/>
      <c r="I1054" s="308"/>
    </row>
    <row r="1055" spans="2:9" ht="15" x14ac:dyDescent="0.25">
      <c r="B1055" s="308"/>
      <c r="C1055" s="308"/>
      <c r="D1055" s="308"/>
      <c r="E1055" s="308"/>
      <c r="F1055" s="308"/>
      <c r="G1055" s="308"/>
      <c r="H1055" s="308"/>
      <c r="I1055" s="308"/>
    </row>
    <row r="1056" spans="2:9" ht="15" x14ac:dyDescent="0.25">
      <c r="B1056" s="308"/>
      <c r="C1056" s="308"/>
      <c r="D1056" s="308"/>
      <c r="E1056" s="308"/>
      <c r="F1056" s="308"/>
      <c r="G1056" s="308"/>
      <c r="H1056" s="308"/>
      <c r="I1056" s="308"/>
    </row>
    <row r="1057" spans="2:9" ht="15" x14ac:dyDescent="0.25">
      <c r="B1057" s="308"/>
      <c r="C1057" s="308"/>
      <c r="D1057" s="308"/>
      <c r="E1057" s="308"/>
      <c r="F1057" s="308"/>
      <c r="G1057" s="308"/>
      <c r="H1057" s="308"/>
      <c r="I1057" s="308"/>
    </row>
    <row r="1058" spans="2:9" ht="15" x14ac:dyDescent="0.25">
      <c r="B1058" s="308"/>
      <c r="C1058" s="308"/>
      <c r="D1058" s="308"/>
      <c r="E1058" s="308"/>
      <c r="F1058" s="308"/>
      <c r="G1058" s="308"/>
      <c r="H1058" s="308"/>
      <c r="I1058" s="308"/>
    </row>
    <row r="1059" spans="2:9" ht="15" x14ac:dyDescent="0.25">
      <c r="B1059" s="308"/>
      <c r="C1059" s="308"/>
      <c r="D1059" s="308"/>
      <c r="E1059" s="308"/>
      <c r="F1059" s="308"/>
      <c r="G1059" s="308"/>
      <c r="H1059" s="308"/>
      <c r="I1059" s="308"/>
    </row>
    <row r="1060" spans="2:9" ht="15" x14ac:dyDescent="0.25">
      <c r="B1060" s="308"/>
      <c r="C1060" s="308"/>
      <c r="D1060" s="308"/>
      <c r="E1060" s="308"/>
      <c r="F1060" s="308"/>
      <c r="G1060" s="308"/>
      <c r="H1060" s="308"/>
      <c r="I1060" s="308"/>
    </row>
    <row r="1061" spans="2:9" ht="15" x14ac:dyDescent="0.25">
      <c r="B1061" s="308"/>
      <c r="C1061" s="308"/>
      <c r="D1061" s="308"/>
      <c r="E1061" s="308"/>
      <c r="F1061" s="308"/>
      <c r="G1061" s="308"/>
      <c r="H1061" s="308"/>
      <c r="I1061" s="308"/>
    </row>
    <row r="1062" spans="2:9" ht="15" x14ac:dyDescent="0.25">
      <c r="B1062" s="308"/>
      <c r="C1062" s="308"/>
      <c r="D1062" s="308"/>
      <c r="E1062" s="308"/>
      <c r="F1062" s="308"/>
      <c r="G1062" s="308"/>
      <c r="H1062" s="308"/>
      <c r="I1062" s="308"/>
    </row>
    <row r="1063" spans="2:9" ht="15" x14ac:dyDescent="0.25">
      <c r="B1063" s="308"/>
      <c r="C1063" s="308"/>
      <c r="D1063" s="308"/>
      <c r="E1063" s="308"/>
      <c r="F1063" s="308"/>
      <c r="G1063" s="308"/>
      <c r="H1063" s="308"/>
      <c r="I1063" s="308"/>
    </row>
    <row r="1064" spans="2:9" ht="15" x14ac:dyDescent="0.25">
      <c r="B1064" s="308"/>
      <c r="C1064" s="308"/>
      <c r="D1064" s="308"/>
      <c r="E1064" s="308"/>
      <c r="F1064" s="308"/>
      <c r="G1064" s="308"/>
      <c r="H1064" s="308"/>
      <c r="I1064" s="308"/>
    </row>
    <row r="1065" spans="2:9" ht="15" x14ac:dyDescent="0.25">
      <c r="B1065" s="308"/>
      <c r="C1065" s="308"/>
      <c r="D1065" s="308"/>
      <c r="E1065" s="308"/>
      <c r="F1065" s="308"/>
      <c r="G1065" s="308"/>
      <c r="H1065" s="308"/>
      <c r="I1065" s="308"/>
    </row>
    <row r="1066" spans="2:9" ht="15" x14ac:dyDescent="0.25">
      <c r="B1066" s="308"/>
      <c r="C1066" s="308"/>
      <c r="D1066" s="308"/>
      <c r="E1066" s="308"/>
      <c r="F1066" s="308"/>
      <c r="G1066" s="308"/>
      <c r="H1066" s="308"/>
      <c r="I1066" s="308"/>
    </row>
    <row r="1067" spans="2:9" ht="15" x14ac:dyDescent="0.25">
      <c r="B1067" s="308"/>
      <c r="C1067" s="308"/>
      <c r="D1067" s="308"/>
      <c r="E1067" s="308"/>
      <c r="F1067" s="308"/>
      <c r="G1067" s="308"/>
      <c r="H1067" s="308"/>
      <c r="I1067" s="308"/>
    </row>
    <row r="1068" spans="2:9" ht="15" x14ac:dyDescent="0.25">
      <c r="B1068" s="308"/>
      <c r="C1068" s="308"/>
      <c r="D1068" s="308"/>
      <c r="E1068" s="308"/>
      <c r="F1068" s="308"/>
      <c r="G1068" s="308"/>
      <c r="H1068" s="308"/>
      <c r="I1068" s="308"/>
    </row>
    <row r="1069" spans="2:9" ht="15" x14ac:dyDescent="0.25">
      <c r="B1069" s="308"/>
      <c r="C1069" s="308"/>
      <c r="D1069" s="308"/>
      <c r="E1069" s="308"/>
      <c r="F1069" s="308"/>
      <c r="G1069" s="308"/>
      <c r="H1069" s="308"/>
      <c r="I1069" s="308"/>
    </row>
    <row r="1070" spans="2:9" ht="15" x14ac:dyDescent="0.25">
      <c r="B1070" s="308"/>
      <c r="C1070" s="308"/>
      <c r="D1070" s="308"/>
      <c r="E1070" s="308"/>
      <c r="F1070" s="308"/>
      <c r="G1070" s="308"/>
      <c r="H1070" s="308"/>
      <c r="I1070" s="308"/>
    </row>
    <row r="1071" spans="2:9" ht="15" x14ac:dyDescent="0.25">
      <c r="B1071" s="308"/>
      <c r="C1071" s="308"/>
      <c r="D1071" s="308"/>
      <c r="E1071" s="308"/>
      <c r="F1071" s="308"/>
      <c r="G1071" s="308"/>
      <c r="H1071" s="308"/>
      <c r="I1071" s="308"/>
    </row>
    <row r="1072" spans="2:9" ht="15" x14ac:dyDescent="0.25">
      <c r="B1072" s="308"/>
      <c r="C1072" s="308"/>
      <c r="D1072" s="308"/>
      <c r="E1072" s="308"/>
      <c r="F1072" s="308"/>
      <c r="G1072" s="308"/>
      <c r="H1072" s="308"/>
      <c r="I1072" s="308"/>
    </row>
    <row r="1073" spans="2:9" ht="15" x14ac:dyDescent="0.25">
      <c r="B1073" s="308"/>
      <c r="C1073" s="308"/>
      <c r="D1073" s="308"/>
      <c r="E1073" s="308"/>
      <c r="F1073" s="308"/>
      <c r="G1073" s="308"/>
      <c r="H1073" s="308"/>
      <c r="I1073" s="308"/>
    </row>
    <row r="1074" spans="2:9" ht="15" x14ac:dyDescent="0.25">
      <c r="B1074" s="308"/>
      <c r="C1074" s="308"/>
      <c r="D1074" s="308"/>
      <c r="E1074" s="308"/>
      <c r="F1074" s="308"/>
      <c r="G1074" s="308"/>
      <c r="H1074" s="308"/>
      <c r="I1074" s="308"/>
    </row>
    <row r="1075" spans="2:9" ht="15" x14ac:dyDescent="0.25">
      <c r="B1075" s="308"/>
      <c r="C1075" s="308"/>
      <c r="D1075" s="308"/>
      <c r="E1075" s="308"/>
      <c r="F1075" s="308"/>
      <c r="G1075" s="308"/>
      <c r="H1075" s="308"/>
      <c r="I1075" s="308"/>
    </row>
    <row r="1076" spans="2:9" ht="15" x14ac:dyDescent="0.25">
      <c r="B1076" s="308"/>
      <c r="C1076" s="308"/>
      <c r="D1076" s="308"/>
      <c r="E1076" s="308"/>
      <c r="F1076" s="308"/>
      <c r="G1076" s="308"/>
      <c r="H1076" s="308"/>
      <c r="I1076" s="308"/>
    </row>
    <row r="1077" spans="2:9" ht="15" x14ac:dyDescent="0.25">
      <c r="B1077" s="308"/>
      <c r="C1077" s="308"/>
      <c r="D1077" s="308"/>
      <c r="E1077" s="308"/>
      <c r="F1077" s="308"/>
      <c r="G1077" s="308"/>
      <c r="H1077" s="308"/>
      <c r="I1077" s="308"/>
    </row>
    <row r="1078" spans="2:9" ht="15" x14ac:dyDescent="0.25">
      <c r="B1078" s="308"/>
      <c r="C1078" s="308"/>
      <c r="D1078" s="308"/>
      <c r="E1078" s="308"/>
      <c r="F1078" s="308"/>
      <c r="G1078" s="308"/>
      <c r="H1078" s="308"/>
      <c r="I1078" s="308"/>
    </row>
    <row r="1079" spans="2:9" ht="15" x14ac:dyDescent="0.25">
      <c r="B1079" s="308"/>
      <c r="C1079" s="308"/>
      <c r="D1079" s="308"/>
      <c r="E1079" s="308"/>
      <c r="F1079" s="308"/>
      <c r="G1079" s="308"/>
      <c r="H1079" s="308"/>
      <c r="I1079" s="308"/>
    </row>
    <row r="1080" spans="2:9" ht="15" x14ac:dyDescent="0.25">
      <c r="B1080" s="308"/>
      <c r="C1080" s="308"/>
      <c r="D1080" s="308"/>
      <c r="E1080" s="308"/>
      <c r="F1080" s="308"/>
      <c r="G1080" s="308"/>
      <c r="H1080" s="308"/>
      <c r="I1080" s="308"/>
    </row>
    <row r="1081" spans="2:9" ht="15" x14ac:dyDescent="0.25">
      <c r="B1081" s="308"/>
      <c r="C1081" s="308"/>
      <c r="D1081" s="308"/>
      <c r="E1081" s="308"/>
      <c r="F1081" s="308"/>
      <c r="G1081" s="308"/>
      <c r="H1081" s="308"/>
      <c r="I1081" s="308"/>
    </row>
    <row r="1082" spans="2:9" ht="15" x14ac:dyDescent="0.25">
      <c r="B1082" s="308"/>
      <c r="C1082" s="308"/>
      <c r="D1082" s="308"/>
      <c r="E1082" s="308"/>
      <c r="F1082" s="308"/>
      <c r="G1082" s="308"/>
      <c r="H1082" s="308"/>
      <c r="I1082" s="308"/>
    </row>
    <row r="1083" spans="2:9" ht="15" x14ac:dyDescent="0.25">
      <c r="B1083" s="308"/>
      <c r="C1083" s="308"/>
      <c r="D1083" s="308"/>
      <c r="E1083" s="308"/>
      <c r="F1083" s="308"/>
      <c r="G1083" s="308"/>
      <c r="H1083" s="308"/>
      <c r="I1083" s="308"/>
    </row>
    <row r="1084" spans="2:9" ht="15" x14ac:dyDescent="0.25">
      <c r="B1084" s="308"/>
      <c r="C1084" s="308"/>
      <c r="D1084" s="308"/>
      <c r="E1084" s="308"/>
      <c r="F1084" s="308"/>
      <c r="G1084" s="308"/>
      <c r="H1084" s="308"/>
      <c r="I1084" s="308"/>
    </row>
    <row r="1085" spans="2:9" ht="15" x14ac:dyDescent="0.25">
      <c r="B1085" s="308"/>
      <c r="C1085" s="308"/>
      <c r="D1085" s="308"/>
      <c r="E1085" s="308"/>
      <c r="F1085" s="308"/>
      <c r="G1085" s="308"/>
      <c r="H1085" s="308"/>
      <c r="I1085" s="308"/>
    </row>
    <row r="1086" spans="2:9" ht="15" x14ac:dyDescent="0.25">
      <c r="B1086" s="308"/>
      <c r="C1086" s="308"/>
      <c r="D1086" s="308"/>
      <c r="E1086" s="308"/>
      <c r="F1086" s="308"/>
      <c r="G1086" s="308"/>
      <c r="H1086" s="308"/>
      <c r="I1086" s="308"/>
    </row>
    <row r="1087" spans="2:9" ht="15" x14ac:dyDescent="0.25">
      <c r="B1087" s="308"/>
      <c r="C1087" s="308"/>
      <c r="D1087" s="308"/>
      <c r="E1087" s="308"/>
      <c r="F1087" s="308"/>
      <c r="G1087" s="308"/>
      <c r="H1087" s="308"/>
      <c r="I1087" s="308"/>
    </row>
    <row r="1088" spans="2:9" ht="15" x14ac:dyDescent="0.25">
      <c r="B1088" s="308"/>
      <c r="C1088" s="308"/>
      <c r="D1088" s="308"/>
      <c r="E1088" s="308"/>
      <c r="F1088" s="308"/>
      <c r="G1088" s="308"/>
      <c r="H1088" s="308"/>
      <c r="I1088" s="308"/>
    </row>
  </sheetData>
  <mergeCells count="2">
    <mergeCell ref="D2:G2"/>
    <mergeCell ref="I2:L2"/>
  </mergeCells>
  <conditionalFormatting sqref="D297 L299 J299 H297">
    <cfRule type="cellIs" dxfId="137" priority="11" operator="equal">
      <formula>TRUE</formula>
    </cfRule>
  </conditionalFormatting>
  <conditionalFormatting sqref="I297">
    <cfRule type="cellIs" dxfId="136" priority="6" operator="equal">
      <formula>TRUE</formula>
    </cfRule>
  </conditionalFormatting>
  <conditionalFormatting sqref="V297:W297">
    <cfRule type="cellIs" dxfId="135" priority="1" operator="equal">
      <formula>TRUE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305"/>
  <sheetViews>
    <sheetView workbookViewId="0"/>
  </sheetViews>
  <sheetFormatPr defaultColWidth="8.28515625" defaultRowHeight="12.75" x14ac:dyDescent="0.2"/>
  <cols>
    <col min="1" max="1" width="10.28515625" style="111" customWidth="1"/>
    <col min="2" max="2" width="11.28515625" style="111" customWidth="1"/>
    <col min="3" max="3" width="10.28515625" style="111" customWidth="1"/>
    <col min="4" max="7" width="13.7109375" style="7" customWidth="1"/>
    <col min="8" max="8" width="6" style="7" customWidth="1"/>
    <col min="9" max="12" width="13.7109375" style="7" customWidth="1"/>
    <col min="13" max="13" width="6" style="7" customWidth="1"/>
    <col min="14" max="14" width="13.7109375" style="7" customWidth="1"/>
    <col min="15" max="15" width="6" style="7" customWidth="1"/>
    <col min="16" max="19" width="13.7109375" style="7" customWidth="1"/>
    <col min="20" max="20" width="8.28515625" style="7"/>
    <col min="21" max="23" width="12.28515625" style="7" customWidth="1"/>
    <col min="24" max="24" width="16.28515625" style="7" customWidth="1"/>
    <col min="25" max="16384" width="8.28515625" style="7"/>
  </cols>
  <sheetData>
    <row r="1" spans="1:27" ht="13.5" thickBot="1" x14ac:dyDescent="0.25">
      <c r="A1" s="111" t="s">
        <v>1069</v>
      </c>
    </row>
    <row r="2" spans="1:27" ht="13.5" thickBot="1" x14ac:dyDescent="0.25">
      <c r="D2" s="704" t="s">
        <v>112</v>
      </c>
      <c r="E2" s="705"/>
      <c r="F2" s="705"/>
      <c r="G2" s="705"/>
      <c r="H2" s="112"/>
      <c r="I2" s="704" t="s">
        <v>113</v>
      </c>
      <c r="J2" s="705"/>
      <c r="K2" s="705"/>
      <c r="L2" s="705"/>
      <c r="M2" s="112"/>
      <c r="N2" s="112"/>
      <c r="O2" s="112"/>
      <c r="P2" s="112"/>
      <c r="Q2" s="112"/>
      <c r="R2" s="112"/>
      <c r="S2" s="112"/>
    </row>
    <row r="3" spans="1:27" x14ac:dyDescent="0.2">
      <c r="D3" s="113" t="s">
        <v>114</v>
      </c>
      <c r="E3" s="113" t="s">
        <v>115</v>
      </c>
      <c r="F3" s="113" t="s">
        <v>116</v>
      </c>
      <c r="G3" s="113" t="s">
        <v>117</v>
      </c>
      <c r="I3" s="113" t="s">
        <v>114</v>
      </c>
      <c r="J3" s="113" t="s">
        <v>115</v>
      </c>
      <c r="K3" s="113" t="s">
        <v>116</v>
      </c>
      <c r="L3" s="113" t="s">
        <v>117</v>
      </c>
      <c r="N3" s="114" t="s">
        <v>118</v>
      </c>
      <c r="P3" s="115" t="s">
        <v>119</v>
      </c>
      <c r="Q3" s="115" t="s">
        <v>120</v>
      </c>
      <c r="R3" s="115" t="s">
        <v>121</v>
      </c>
      <c r="S3" s="115" t="s">
        <v>122</v>
      </c>
      <c r="U3" s="115" t="s">
        <v>123</v>
      </c>
      <c r="V3" s="115" t="s">
        <v>124</v>
      </c>
      <c r="W3" s="115" t="s">
        <v>125</v>
      </c>
    </row>
    <row r="4" spans="1:27" x14ac:dyDescent="0.2">
      <c r="C4" s="116" t="s">
        <v>126</v>
      </c>
      <c r="D4" s="117" t="s">
        <v>13</v>
      </c>
      <c r="E4" s="118" t="s">
        <v>13</v>
      </c>
      <c r="F4" s="118" t="s">
        <v>13</v>
      </c>
      <c r="G4" s="118" t="s">
        <v>13</v>
      </c>
      <c r="I4" s="117" t="s">
        <v>13</v>
      </c>
      <c r="J4" s="118" t="s">
        <v>13</v>
      </c>
      <c r="K4" s="118" t="s">
        <v>13</v>
      </c>
      <c r="L4" s="118" t="s">
        <v>13</v>
      </c>
      <c r="N4" s="119"/>
      <c r="P4" s="117" t="s">
        <v>13</v>
      </c>
      <c r="Q4" s="117" t="s">
        <v>13</v>
      </c>
      <c r="R4" s="117" t="s">
        <v>13</v>
      </c>
      <c r="S4" s="117" t="s">
        <v>13</v>
      </c>
      <c r="U4" s="117"/>
      <c r="V4" s="117"/>
      <c r="W4" s="117"/>
    </row>
    <row r="5" spans="1:27" ht="13.5" thickBot="1" x14ac:dyDescent="0.25">
      <c r="C5" s="116" t="s">
        <v>127</v>
      </c>
      <c r="D5" s="117" t="s">
        <v>14</v>
      </c>
      <c r="E5" s="117" t="s">
        <v>14</v>
      </c>
      <c r="F5" s="117" t="s">
        <v>14</v>
      </c>
      <c r="G5" s="117" t="s">
        <v>14</v>
      </c>
      <c r="I5" s="117" t="s">
        <v>14</v>
      </c>
      <c r="J5" s="117" t="s">
        <v>14</v>
      </c>
      <c r="K5" s="117" t="s">
        <v>14</v>
      </c>
      <c r="L5" s="117" t="s">
        <v>14</v>
      </c>
      <c r="N5" s="119"/>
      <c r="P5" s="117" t="s">
        <v>14</v>
      </c>
      <c r="Q5" s="117" t="s">
        <v>14</v>
      </c>
      <c r="R5" s="117" t="s">
        <v>14</v>
      </c>
      <c r="S5" s="117" t="s">
        <v>14</v>
      </c>
      <c r="U5" s="117"/>
      <c r="V5" s="117"/>
      <c r="W5" s="117"/>
    </row>
    <row r="6" spans="1:27" s="125" customFormat="1" ht="26.25" thickBot="1" x14ac:dyDescent="0.25">
      <c r="A6" s="120" t="s">
        <v>128</v>
      </c>
      <c r="B6" s="121" t="s">
        <v>129</v>
      </c>
      <c r="C6" s="122" t="s">
        <v>130</v>
      </c>
      <c r="D6" s="123" t="s">
        <v>77</v>
      </c>
      <c r="E6" s="123" t="s">
        <v>80</v>
      </c>
      <c r="F6" s="123" t="s">
        <v>82</v>
      </c>
      <c r="G6" s="123" t="s">
        <v>84</v>
      </c>
      <c r="I6" s="123" t="s">
        <v>77</v>
      </c>
      <c r="J6" s="123" t="s">
        <v>80</v>
      </c>
      <c r="K6" s="123" t="s">
        <v>82</v>
      </c>
      <c r="L6" s="123" t="s">
        <v>84</v>
      </c>
      <c r="N6" s="126" t="s">
        <v>86</v>
      </c>
      <c r="P6" s="127" t="s">
        <v>15</v>
      </c>
      <c r="Q6" s="127" t="s">
        <v>16</v>
      </c>
      <c r="R6" s="127" t="s">
        <v>17</v>
      </c>
      <c r="S6" s="127" t="s">
        <v>18</v>
      </c>
      <c r="U6" s="195" t="s">
        <v>23</v>
      </c>
      <c r="V6" s="195" t="s">
        <v>48</v>
      </c>
      <c r="W6" s="195" t="s">
        <v>100</v>
      </c>
      <c r="X6" s="7"/>
      <c r="Y6" s="7"/>
      <c r="Z6" s="7"/>
      <c r="AA6" s="7"/>
    </row>
    <row r="7" spans="1:27" ht="130.5" customHeight="1" thickBot="1" x14ac:dyDescent="0.25">
      <c r="A7" s="129" t="s">
        <v>131</v>
      </c>
      <c r="B7" s="130" t="s">
        <v>132</v>
      </c>
      <c r="C7" s="131" t="s">
        <v>133</v>
      </c>
      <c r="D7" s="132" t="s">
        <v>49</v>
      </c>
      <c r="E7" s="133" t="s">
        <v>50</v>
      </c>
      <c r="F7" s="133" t="s">
        <v>51</v>
      </c>
      <c r="G7" s="133" t="s">
        <v>52</v>
      </c>
      <c r="I7" s="132" t="s">
        <v>88</v>
      </c>
      <c r="J7" s="133" t="s">
        <v>89</v>
      </c>
      <c r="K7" s="133" t="s">
        <v>90</v>
      </c>
      <c r="L7" s="133" t="s">
        <v>91</v>
      </c>
      <c r="N7" s="135" t="e">
        <f>+#REF!</f>
        <v>#REF!</v>
      </c>
      <c r="P7" s="136" t="s">
        <v>53</v>
      </c>
      <c r="Q7" s="136" t="s">
        <v>54</v>
      </c>
      <c r="R7" s="136" t="s">
        <v>55</v>
      </c>
      <c r="S7" s="136" t="s">
        <v>56</v>
      </c>
      <c r="U7" s="196" t="s">
        <v>97</v>
      </c>
      <c r="V7" s="196" t="s">
        <v>98</v>
      </c>
      <c r="W7" s="196" t="s">
        <v>101</v>
      </c>
      <c r="X7" s="79" t="s">
        <v>286</v>
      </c>
    </row>
    <row r="8" spans="1:27" x14ac:dyDescent="0.2">
      <c r="A8" s="138" t="str">
        <f t="shared" ref="A8:A13" si="0">B8&amp;RIGHT(C8,2)</f>
        <v>ANH12</v>
      </c>
      <c r="B8" s="19" t="s">
        <v>26</v>
      </c>
      <c r="C8" s="19" t="s">
        <v>64</v>
      </c>
      <c r="D8" s="139"/>
      <c r="E8" s="139"/>
      <c r="F8" s="139"/>
      <c r="G8" s="139"/>
      <c r="I8" s="139"/>
      <c r="J8" s="139"/>
      <c r="K8" s="139"/>
      <c r="L8" s="139"/>
      <c r="N8" s="139"/>
      <c r="P8" s="139"/>
      <c r="Q8" s="139"/>
      <c r="R8" s="139"/>
      <c r="S8" s="139"/>
      <c r="U8" s="139"/>
      <c r="V8" s="139"/>
      <c r="W8" s="139"/>
    </row>
    <row r="9" spans="1:27" x14ac:dyDescent="0.2">
      <c r="A9" s="138" t="str">
        <f t="shared" si="0"/>
        <v>ANH13</v>
      </c>
      <c r="B9" s="19" t="s">
        <v>26</v>
      </c>
      <c r="C9" s="19" t="s">
        <v>65</v>
      </c>
      <c r="D9" s="139"/>
      <c r="E9" s="139"/>
      <c r="F9" s="139"/>
      <c r="G9" s="139"/>
      <c r="I9" s="139"/>
      <c r="J9" s="139"/>
      <c r="K9" s="139"/>
      <c r="L9" s="139"/>
      <c r="N9" s="139"/>
      <c r="P9" s="139"/>
      <c r="Q9" s="139"/>
      <c r="R9" s="139"/>
      <c r="S9" s="139"/>
      <c r="U9" s="139"/>
      <c r="V9" s="139"/>
      <c r="W9" s="139"/>
    </row>
    <row r="10" spans="1:27" x14ac:dyDescent="0.2">
      <c r="A10" s="138" t="str">
        <f t="shared" si="0"/>
        <v>ANH14</v>
      </c>
      <c r="B10" s="19" t="s">
        <v>26</v>
      </c>
      <c r="C10" s="19" t="s">
        <v>66</v>
      </c>
      <c r="D10" s="139"/>
      <c r="E10" s="139"/>
      <c r="F10" s="139"/>
      <c r="G10" s="139"/>
      <c r="I10" s="139"/>
      <c r="J10" s="139"/>
      <c r="K10" s="139"/>
      <c r="L10" s="139"/>
      <c r="N10" s="139"/>
      <c r="P10" s="139"/>
      <c r="Q10" s="139"/>
      <c r="R10" s="139"/>
      <c r="S10" s="139"/>
      <c r="U10" s="139"/>
      <c r="V10" s="139"/>
      <c r="W10" s="139"/>
    </row>
    <row r="11" spans="1:27" x14ac:dyDescent="0.2">
      <c r="A11" s="138" t="str">
        <f t="shared" si="0"/>
        <v>ANH15</v>
      </c>
      <c r="B11" s="19" t="s">
        <v>26</v>
      </c>
      <c r="C11" s="19" t="s">
        <v>67</v>
      </c>
      <c r="D11" s="139"/>
      <c r="E11" s="139"/>
      <c r="F11" s="139"/>
      <c r="G11" s="139"/>
      <c r="I11" s="139"/>
      <c r="J11" s="139"/>
      <c r="K11" s="139"/>
      <c r="L11" s="139"/>
      <c r="N11" s="139"/>
      <c r="P11" s="139"/>
      <c r="Q11" s="139"/>
      <c r="R11" s="139"/>
      <c r="S11" s="139"/>
      <c r="U11" s="139"/>
      <c r="V11" s="139"/>
      <c r="W11" s="139"/>
    </row>
    <row r="12" spans="1:27" x14ac:dyDescent="0.2">
      <c r="A12" s="138" t="str">
        <f t="shared" si="0"/>
        <v>ANH16</v>
      </c>
      <c r="B12" s="19" t="s">
        <v>26</v>
      </c>
      <c r="C12" s="19" t="s">
        <v>68</v>
      </c>
      <c r="D12" s="139"/>
      <c r="E12" s="139"/>
      <c r="F12" s="139"/>
      <c r="G12" s="139"/>
      <c r="I12" s="139"/>
      <c r="J12" s="139"/>
      <c r="K12" s="139"/>
      <c r="L12" s="139"/>
      <c r="N12" s="139"/>
      <c r="P12" s="139"/>
      <c r="Q12" s="139"/>
      <c r="R12" s="139"/>
      <c r="S12" s="139"/>
      <c r="U12" s="139"/>
      <c r="V12" s="139"/>
      <c r="W12" s="139"/>
    </row>
    <row r="13" spans="1:27" x14ac:dyDescent="0.2">
      <c r="A13" s="138" t="str">
        <f t="shared" si="0"/>
        <v>ANH17</v>
      </c>
      <c r="B13" s="19" t="s">
        <v>26</v>
      </c>
      <c r="C13" s="19" t="s">
        <v>69</v>
      </c>
      <c r="D13" s="139"/>
      <c r="E13" s="139"/>
      <c r="F13" s="139"/>
      <c r="G13" s="139"/>
      <c r="I13" s="139"/>
      <c r="J13" s="139"/>
      <c r="K13" s="139"/>
      <c r="L13" s="139"/>
      <c r="N13" s="139"/>
      <c r="P13" s="139"/>
      <c r="Q13" s="139"/>
      <c r="R13" s="139"/>
      <c r="S13" s="139"/>
      <c r="U13" s="139"/>
      <c r="V13" s="139"/>
      <c r="W13" s="139"/>
    </row>
    <row r="14" spans="1:27" x14ac:dyDescent="0.2">
      <c r="A14" s="141" t="s">
        <v>134</v>
      </c>
      <c r="B14" s="142" t="s">
        <v>26</v>
      </c>
      <c r="C14" s="142" t="s">
        <v>70</v>
      </c>
      <c r="D14" s="139"/>
      <c r="E14" s="139"/>
      <c r="F14" s="139"/>
      <c r="G14" s="139"/>
      <c r="I14" s="139"/>
      <c r="J14" s="139"/>
      <c r="K14" s="139"/>
      <c r="L14" s="139"/>
      <c r="N14" s="139"/>
      <c r="P14" s="139"/>
      <c r="Q14" s="139"/>
      <c r="R14" s="139"/>
      <c r="S14" s="139"/>
      <c r="U14" s="139"/>
      <c r="V14" s="139"/>
      <c r="W14" s="139"/>
    </row>
    <row r="15" spans="1:27" x14ac:dyDescent="0.2">
      <c r="A15" s="141" t="s">
        <v>135</v>
      </c>
      <c r="B15" s="142" t="s">
        <v>26</v>
      </c>
      <c r="C15" s="142" t="s">
        <v>71</v>
      </c>
      <c r="D15" s="139"/>
      <c r="E15" s="139"/>
      <c r="F15" s="139"/>
      <c r="G15" s="139"/>
      <c r="I15" s="139"/>
      <c r="J15" s="139"/>
      <c r="K15" s="139"/>
      <c r="L15" s="139"/>
      <c r="N15" s="139"/>
      <c r="P15" s="139"/>
      <c r="Q15" s="139"/>
      <c r="R15" s="139"/>
      <c r="S15" s="139"/>
      <c r="U15" s="139"/>
      <c r="V15" s="139"/>
      <c r="W15" s="139"/>
    </row>
    <row r="16" spans="1:27" x14ac:dyDescent="0.2">
      <c r="A16" s="141" t="s">
        <v>136</v>
      </c>
      <c r="B16" s="142" t="s">
        <v>26</v>
      </c>
      <c r="C16" s="142" t="s">
        <v>72</v>
      </c>
      <c r="D16" s="139"/>
      <c r="E16" s="139"/>
      <c r="F16" s="139"/>
      <c r="G16" s="139"/>
      <c r="I16" s="139"/>
      <c r="J16" s="139"/>
      <c r="K16" s="139"/>
      <c r="L16" s="139"/>
      <c r="N16" s="139"/>
      <c r="P16" s="139"/>
      <c r="Q16" s="139"/>
      <c r="R16" s="139"/>
      <c r="S16" s="139"/>
      <c r="U16" s="139"/>
      <c r="V16" s="139"/>
      <c r="W16" s="139"/>
    </row>
    <row r="17" spans="1:24" x14ac:dyDescent="0.2">
      <c r="A17" s="141" t="s">
        <v>137</v>
      </c>
      <c r="B17" s="142" t="s">
        <v>26</v>
      </c>
      <c r="C17" s="142" t="s">
        <v>73</v>
      </c>
      <c r="D17" s="139"/>
      <c r="E17" s="441">
        <v>12.438452299405682</v>
      </c>
      <c r="F17" s="139"/>
      <c r="G17" s="274">
        <v>34.686573502436978</v>
      </c>
      <c r="I17" s="139"/>
      <c r="J17" s="139"/>
      <c r="K17" s="139"/>
      <c r="L17" s="139"/>
      <c r="N17" s="139"/>
      <c r="P17" s="139"/>
      <c r="Q17" s="139"/>
      <c r="R17" s="139"/>
      <c r="S17" s="139"/>
      <c r="U17" s="139"/>
      <c r="V17" s="139"/>
      <c r="W17" s="139"/>
      <c r="X17" s="7" t="s">
        <v>786</v>
      </c>
    </row>
    <row r="18" spans="1:24" x14ac:dyDescent="0.2">
      <c r="A18" s="141" t="s">
        <v>138</v>
      </c>
      <c r="B18" s="142" t="s">
        <v>26</v>
      </c>
      <c r="C18" s="142" t="s">
        <v>74</v>
      </c>
      <c r="D18" s="139"/>
      <c r="E18" s="441">
        <v>15.774708420703483</v>
      </c>
      <c r="F18" s="139"/>
      <c r="G18" s="274">
        <v>33.892515316799297</v>
      </c>
      <c r="I18" s="139"/>
      <c r="J18" s="139"/>
      <c r="K18" s="139"/>
      <c r="L18" s="139"/>
      <c r="N18" s="139"/>
      <c r="P18" s="139"/>
      <c r="Q18" s="139"/>
      <c r="R18" s="139"/>
      <c r="S18" s="139"/>
      <c r="U18" s="139"/>
      <c r="V18" s="139"/>
      <c r="W18" s="139"/>
      <c r="X18" s="7" t="s">
        <v>786</v>
      </c>
    </row>
    <row r="19" spans="1:24" x14ac:dyDescent="0.2">
      <c r="A19" s="141" t="s">
        <v>139</v>
      </c>
      <c r="B19" s="142" t="s">
        <v>26</v>
      </c>
      <c r="C19" s="142" t="s">
        <v>75</v>
      </c>
      <c r="D19" s="139"/>
      <c r="E19" s="441">
        <v>12.965033726755527</v>
      </c>
      <c r="F19" s="139"/>
      <c r="G19" s="274">
        <v>34.909085327522035</v>
      </c>
      <c r="I19" s="139"/>
      <c r="J19" s="139"/>
      <c r="K19" s="139"/>
      <c r="L19" s="139"/>
      <c r="N19" s="139"/>
      <c r="P19" s="139"/>
      <c r="Q19" s="139"/>
      <c r="R19" s="139"/>
      <c r="S19" s="139"/>
      <c r="U19" s="139"/>
      <c r="V19" s="139"/>
      <c r="W19" s="139"/>
      <c r="X19" s="7" t="s">
        <v>786</v>
      </c>
    </row>
    <row r="20" spans="1:24" x14ac:dyDescent="0.2">
      <c r="A20" s="141" t="s">
        <v>140</v>
      </c>
      <c r="B20" s="142" t="s">
        <v>26</v>
      </c>
      <c r="C20" s="142" t="s">
        <v>76</v>
      </c>
      <c r="D20" s="139"/>
      <c r="E20" s="441">
        <v>12.328055343472556</v>
      </c>
      <c r="F20" s="139"/>
      <c r="G20" s="274">
        <v>34.011746273884526</v>
      </c>
      <c r="I20" s="139"/>
      <c r="J20" s="139"/>
      <c r="K20" s="139"/>
      <c r="L20" s="139"/>
      <c r="N20" s="139"/>
      <c r="P20" s="139"/>
      <c r="Q20" s="139"/>
      <c r="R20" s="139"/>
      <c r="S20" s="139"/>
      <c r="U20" s="139"/>
      <c r="V20" s="139"/>
      <c r="W20" s="139"/>
      <c r="X20" s="7" t="s">
        <v>786</v>
      </c>
    </row>
    <row r="21" spans="1:24" x14ac:dyDescent="0.2">
      <c r="A21" s="141" t="s">
        <v>141</v>
      </c>
      <c r="B21" s="142" t="s">
        <v>26</v>
      </c>
      <c r="C21" s="142" t="s">
        <v>24</v>
      </c>
      <c r="D21" s="139"/>
      <c r="E21" s="441">
        <v>11.345413637733987</v>
      </c>
      <c r="F21" s="139"/>
      <c r="G21" s="274">
        <v>31.494375880399012</v>
      </c>
      <c r="I21" s="139"/>
      <c r="J21" s="139"/>
      <c r="K21" s="139"/>
      <c r="L21" s="139"/>
      <c r="N21" s="139"/>
      <c r="P21" s="139"/>
      <c r="Q21" s="139"/>
      <c r="R21" s="139"/>
      <c r="S21" s="139"/>
      <c r="U21" s="139"/>
      <c r="V21" s="139"/>
      <c r="W21" s="139"/>
      <c r="X21" s="7" t="s">
        <v>786</v>
      </c>
    </row>
    <row r="22" spans="1:24" x14ac:dyDescent="0.2">
      <c r="A22" s="138" t="str">
        <f t="shared" ref="A22" si="1">B22&amp;RIGHT(C22,2)</f>
        <v>NES12</v>
      </c>
      <c r="B22" s="19" t="s">
        <v>28</v>
      </c>
      <c r="C22" s="143" t="s">
        <v>64</v>
      </c>
      <c r="D22" s="139"/>
      <c r="E22" s="139"/>
      <c r="F22" s="139"/>
      <c r="G22" s="139"/>
      <c r="I22" s="139"/>
      <c r="J22" s="139"/>
      <c r="K22" s="139"/>
      <c r="L22" s="139"/>
      <c r="N22" s="139"/>
      <c r="P22" s="139"/>
      <c r="Q22" s="139"/>
      <c r="R22" s="139"/>
      <c r="S22" s="139"/>
      <c r="U22" s="139"/>
      <c r="V22" s="139"/>
      <c r="W22" s="139"/>
    </row>
    <row r="23" spans="1:24" x14ac:dyDescent="0.2">
      <c r="A23" s="138" t="str">
        <f>B23&amp;RIGHT(C23,2)</f>
        <v>NES13</v>
      </c>
      <c r="B23" s="19" t="s">
        <v>28</v>
      </c>
      <c r="C23" s="143" t="s">
        <v>65</v>
      </c>
      <c r="D23" s="139"/>
      <c r="E23" s="139"/>
      <c r="F23" s="139"/>
      <c r="G23" s="139"/>
      <c r="I23" s="139"/>
      <c r="J23" s="139"/>
      <c r="K23" s="139"/>
      <c r="L23" s="139"/>
      <c r="N23" s="139"/>
      <c r="P23" s="139"/>
      <c r="Q23" s="139"/>
      <c r="R23" s="139"/>
      <c r="S23" s="139"/>
      <c r="U23" s="139"/>
      <c r="V23" s="139"/>
      <c r="W23" s="139"/>
    </row>
    <row r="24" spans="1:24" x14ac:dyDescent="0.2">
      <c r="A24" s="138" t="str">
        <f>B24&amp;RIGHT(C24,2)</f>
        <v>NES14</v>
      </c>
      <c r="B24" s="19" t="s">
        <v>28</v>
      </c>
      <c r="C24" s="143" t="s">
        <v>66</v>
      </c>
      <c r="D24" s="139"/>
      <c r="E24" s="139"/>
      <c r="F24" s="139"/>
      <c r="G24" s="139"/>
      <c r="I24" s="139"/>
      <c r="J24" s="139"/>
      <c r="K24" s="139"/>
      <c r="L24" s="139"/>
      <c r="N24" s="139"/>
      <c r="P24" s="139"/>
      <c r="Q24" s="139"/>
      <c r="R24" s="139"/>
      <c r="S24" s="139"/>
      <c r="U24" s="139"/>
      <c r="V24" s="139"/>
      <c r="W24" s="139"/>
    </row>
    <row r="25" spans="1:24" x14ac:dyDescent="0.2">
      <c r="A25" s="138" t="str">
        <f>B25&amp;RIGHT(C25,2)</f>
        <v>NES15</v>
      </c>
      <c r="B25" s="19" t="s">
        <v>28</v>
      </c>
      <c r="C25" s="143" t="s">
        <v>67</v>
      </c>
      <c r="D25" s="139"/>
      <c r="E25" s="139"/>
      <c r="F25" s="139"/>
      <c r="G25" s="139"/>
      <c r="I25" s="139"/>
      <c r="J25" s="139"/>
      <c r="K25" s="139"/>
      <c r="L25" s="139"/>
      <c r="N25" s="139"/>
      <c r="P25" s="139"/>
      <c r="Q25" s="139"/>
      <c r="R25" s="139"/>
      <c r="S25" s="139"/>
      <c r="U25" s="139"/>
      <c r="V25" s="139"/>
      <c r="W25" s="139"/>
    </row>
    <row r="26" spans="1:24" x14ac:dyDescent="0.2">
      <c r="A26" s="138" t="str">
        <f>B26&amp;RIGHT(C26,2)</f>
        <v>NES16</v>
      </c>
      <c r="B26" s="19" t="s">
        <v>28</v>
      </c>
      <c r="C26" s="143" t="s">
        <v>68</v>
      </c>
      <c r="D26" s="139"/>
      <c r="E26" s="139"/>
      <c r="F26" s="139"/>
      <c r="G26" s="139"/>
      <c r="I26" s="139"/>
      <c r="J26" s="139"/>
      <c r="K26" s="139"/>
      <c r="L26" s="139"/>
      <c r="N26" s="139"/>
      <c r="P26" s="139"/>
      <c r="Q26" s="139"/>
      <c r="R26" s="139"/>
      <c r="S26" s="139"/>
      <c r="U26" s="139"/>
      <c r="V26" s="139"/>
      <c r="W26" s="139"/>
    </row>
    <row r="27" spans="1:24" x14ac:dyDescent="0.2">
      <c r="A27" s="138" t="str">
        <f>B27&amp;RIGHT(C27,2)</f>
        <v>NES17</v>
      </c>
      <c r="B27" s="19" t="s">
        <v>28</v>
      </c>
      <c r="C27" s="143" t="s">
        <v>69</v>
      </c>
      <c r="D27" s="139"/>
      <c r="E27" s="139"/>
      <c r="F27" s="139"/>
      <c r="G27" s="139"/>
      <c r="I27" s="139"/>
      <c r="J27" s="139"/>
      <c r="K27" s="139"/>
      <c r="L27" s="139"/>
      <c r="N27" s="139"/>
      <c r="P27" s="139"/>
      <c r="Q27" s="139"/>
      <c r="R27" s="139"/>
      <c r="S27" s="139"/>
      <c r="U27" s="139"/>
      <c r="V27" s="139"/>
      <c r="W27" s="139"/>
    </row>
    <row r="28" spans="1:24" x14ac:dyDescent="0.2">
      <c r="A28" s="141" t="s">
        <v>142</v>
      </c>
      <c r="B28" s="142" t="s">
        <v>28</v>
      </c>
      <c r="C28" s="142" t="s">
        <v>70</v>
      </c>
      <c r="D28" s="139"/>
      <c r="E28" s="139"/>
      <c r="F28" s="139"/>
      <c r="G28" s="139"/>
      <c r="I28" s="139"/>
      <c r="J28" s="139"/>
      <c r="K28" s="139"/>
      <c r="L28" s="139"/>
      <c r="N28" s="139"/>
      <c r="P28" s="139"/>
      <c r="Q28" s="139"/>
      <c r="R28" s="139"/>
      <c r="S28" s="139"/>
      <c r="U28" s="139"/>
      <c r="V28" s="139"/>
      <c r="W28" s="139"/>
    </row>
    <row r="29" spans="1:24" x14ac:dyDescent="0.2">
      <c r="A29" s="141" t="s">
        <v>143</v>
      </c>
      <c r="B29" s="142" t="s">
        <v>28</v>
      </c>
      <c r="C29" s="142" t="s">
        <v>71</v>
      </c>
      <c r="D29" s="139"/>
      <c r="E29" s="139"/>
      <c r="F29" s="139"/>
      <c r="G29" s="139"/>
      <c r="I29" s="139"/>
      <c r="J29" s="139"/>
      <c r="K29" s="139"/>
      <c r="L29" s="139"/>
      <c r="N29" s="139"/>
      <c r="P29" s="139"/>
      <c r="Q29" s="139"/>
      <c r="R29" s="139"/>
      <c r="S29" s="139"/>
      <c r="U29" s="139"/>
      <c r="V29" s="139"/>
      <c r="W29" s="139"/>
    </row>
    <row r="30" spans="1:24" x14ac:dyDescent="0.2">
      <c r="A30" s="141" t="s">
        <v>144</v>
      </c>
      <c r="B30" s="142" t="s">
        <v>28</v>
      </c>
      <c r="C30" s="142" t="s">
        <v>72</v>
      </c>
      <c r="D30" s="139"/>
      <c r="E30" s="139"/>
      <c r="F30" s="139"/>
      <c r="G30" s="139"/>
      <c r="I30" s="139"/>
      <c r="J30" s="139"/>
      <c r="K30" s="139"/>
      <c r="L30" s="139"/>
      <c r="N30" s="139"/>
      <c r="P30" s="139"/>
      <c r="Q30" s="139"/>
      <c r="R30" s="139"/>
      <c r="S30" s="139"/>
      <c r="U30" s="139"/>
      <c r="V30" s="139"/>
      <c r="W30" s="139"/>
    </row>
    <row r="31" spans="1:24" x14ac:dyDescent="0.2">
      <c r="A31" s="141" t="s">
        <v>145</v>
      </c>
      <c r="B31" s="142" t="s">
        <v>28</v>
      </c>
      <c r="C31" s="142" t="s">
        <v>73</v>
      </c>
      <c r="D31" s="139"/>
      <c r="E31" s="139"/>
      <c r="F31" s="139"/>
      <c r="G31" s="139"/>
      <c r="I31" s="139"/>
      <c r="J31" s="139"/>
      <c r="K31" s="139"/>
      <c r="L31" s="139"/>
      <c r="N31" s="139"/>
      <c r="P31" s="139"/>
      <c r="Q31" s="139"/>
      <c r="R31" s="139"/>
      <c r="S31" s="139"/>
      <c r="U31" s="139"/>
      <c r="V31" s="139"/>
      <c r="W31" s="139"/>
    </row>
    <row r="32" spans="1:24" x14ac:dyDescent="0.2">
      <c r="A32" s="141" t="s">
        <v>146</v>
      </c>
      <c r="B32" s="142" t="s">
        <v>28</v>
      </c>
      <c r="C32" s="142" t="s">
        <v>74</v>
      </c>
      <c r="D32" s="139"/>
      <c r="E32" s="139"/>
      <c r="F32" s="139"/>
      <c r="G32" s="139"/>
      <c r="I32" s="139"/>
      <c r="J32" s="139"/>
      <c r="K32" s="139"/>
      <c r="L32" s="139"/>
      <c r="N32" s="139"/>
      <c r="P32" s="139"/>
      <c r="Q32" s="139"/>
      <c r="R32" s="139"/>
      <c r="S32" s="139"/>
      <c r="U32" s="139"/>
      <c r="V32" s="139"/>
      <c r="W32" s="139"/>
    </row>
    <row r="33" spans="1:24" x14ac:dyDescent="0.2">
      <c r="A33" s="141" t="s">
        <v>147</v>
      </c>
      <c r="B33" s="142" t="s">
        <v>28</v>
      </c>
      <c r="C33" s="142" t="s">
        <v>75</v>
      </c>
      <c r="D33" s="139"/>
      <c r="E33" s="139"/>
      <c r="F33" s="139"/>
      <c r="G33" s="139"/>
      <c r="I33" s="139"/>
      <c r="J33" s="139"/>
      <c r="K33" s="139"/>
      <c r="L33" s="139"/>
      <c r="N33" s="139"/>
      <c r="P33" s="139"/>
      <c r="Q33" s="139"/>
      <c r="R33" s="139"/>
      <c r="S33" s="139"/>
      <c r="U33" s="139"/>
      <c r="V33" s="139"/>
      <c r="W33" s="139"/>
    </row>
    <row r="34" spans="1:24" x14ac:dyDescent="0.2">
      <c r="A34" s="141" t="s">
        <v>148</v>
      </c>
      <c r="B34" s="142" t="s">
        <v>28</v>
      </c>
      <c r="C34" s="142" t="s">
        <v>76</v>
      </c>
      <c r="D34" s="139"/>
      <c r="E34" s="139"/>
      <c r="F34" s="139"/>
      <c r="G34" s="139"/>
      <c r="I34" s="139"/>
      <c r="J34" s="139"/>
      <c r="K34" s="139"/>
      <c r="L34" s="139"/>
      <c r="N34" s="139"/>
      <c r="P34" s="139"/>
      <c r="Q34" s="139"/>
      <c r="R34" s="139"/>
      <c r="S34" s="139"/>
      <c r="U34" s="139"/>
      <c r="V34" s="139"/>
      <c r="W34" s="139"/>
    </row>
    <row r="35" spans="1:24" x14ac:dyDescent="0.2">
      <c r="A35" s="141" t="s">
        <v>149</v>
      </c>
      <c r="B35" s="142" t="s">
        <v>28</v>
      </c>
      <c r="C35" s="142" t="s">
        <v>24</v>
      </c>
      <c r="D35" s="139"/>
      <c r="E35" s="139"/>
      <c r="F35" s="139"/>
      <c r="G35" s="139"/>
      <c r="I35" s="139"/>
      <c r="J35" s="139"/>
      <c r="K35" s="139"/>
      <c r="L35" s="139"/>
      <c r="N35" s="139"/>
      <c r="P35" s="139"/>
      <c r="Q35" s="139"/>
      <c r="R35" s="139"/>
      <c r="S35" s="139"/>
      <c r="U35" s="139"/>
      <c r="V35" s="139"/>
      <c r="W35" s="139"/>
    </row>
    <row r="36" spans="1:24" x14ac:dyDescent="0.2">
      <c r="A36" s="138" t="str">
        <f t="shared" ref="A36" si="2">B36&amp;RIGHT(C36,2)</f>
        <v>NWT12</v>
      </c>
      <c r="B36" s="19" t="s">
        <v>32</v>
      </c>
      <c r="C36" s="143" t="s">
        <v>64</v>
      </c>
      <c r="D36" s="139"/>
      <c r="E36" s="139"/>
      <c r="F36" s="139"/>
      <c r="G36" s="139"/>
      <c r="I36" s="139"/>
      <c r="J36" s="139"/>
      <c r="K36" s="139"/>
      <c r="L36" s="139"/>
      <c r="N36" s="139"/>
      <c r="P36" s="139"/>
      <c r="Q36" s="139"/>
      <c r="R36" s="139"/>
      <c r="S36" s="139"/>
      <c r="U36" s="139"/>
      <c r="V36" s="139"/>
      <c r="W36" s="139"/>
    </row>
    <row r="37" spans="1:24" x14ac:dyDescent="0.2">
      <c r="A37" s="138" t="str">
        <f>B37&amp;RIGHT(C37,2)</f>
        <v>NWT13</v>
      </c>
      <c r="B37" s="19" t="s">
        <v>32</v>
      </c>
      <c r="C37" s="143" t="s">
        <v>65</v>
      </c>
      <c r="D37" s="139"/>
      <c r="E37" s="139"/>
      <c r="F37" s="139"/>
      <c r="G37" s="139"/>
      <c r="I37" s="139"/>
      <c r="J37" s="139"/>
      <c r="K37" s="139"/>
      <c r="L37" s="139"/>
      <c r="N37" s="139"/>
      <c r="P37" s="139"/>
      <c r="Q37" s="139"/>
      <c r="R37" s="139"/>
      <c r="S37" s="139"/>
      <c r="U37" s="139"/>
      <c r="V37" s="139"/>
      <c r="W37" s="139"/>
    </row>
    <row r="38" spans="1:24" x14ac:dyDescent="0.2">
      <c r="A38" s="138" t="str">
        <f>B38&amp;RIGHT(C38,2)</f>
        <v>NWT14</v>
      </c>
      <c r="B38" s="19" t="s">
        <v>32</v>
      </c>
      <c r="C38" s="143" t="s">
        <v>66</v>
      </c>
      <c r="D38" s="139"/>
      <c r="E38" s="139"/>
      <c r="F38" s="139"/>
      <c r="G38" s="139"/>
      <c r="I38" s="139"/>
      <c r="J38" s="139"/>
      <c r="K38" s="139"/>
      <c r="L38" s="139"/>
      <c r="N38" s="139"/>
      <c r="P38" s="139"/>
      <c r="Q38" s="139"/>
      <c r="R38" s="139"/>
      <c r="S38" s="139"/>
      <c r="U38" s="139"/>
      <c r="V38" s="139"/>
      <c r="W38" s="139"/>
    </row>
    <row r="39" spans="1:24" x14ac:dyDescent="0.2">
      <c r="A39" s="138" t="str">
        <f>B39&amp;RIGHT(C39,2)</f>
        <v>NWT15</v>
      </c>
      <c r="B39" s="19" t="s">
        <v>32</v>
      </c>
      <c r="C39" s="143" t="s">
        <v>67</v>
      </c>
      <c r="D39" s="139"/>
      <c r="E39" s="139"/>
      <c r="F39" s="139"/>
      <c r="G39" s="139"/>
      <c r="I39" s="139"/>
      <c r="J39" s="139"/>
      <c r="K39" s="139"/>
      <c r="L39" s="139"/>
      <c r="N39" s="139"/>
      <c r="P39" s="139"/>
      <c r="Q39" s="139"/>
      <c r="R39" s="139"/>
      <c r="S39" s="139"/>
      <c r="U39" s="139"/>
      <c r="V39" s="139"/>
      <c r="W39" s="139"/>
    </row>
    <row r="40" spans="1:24" x14ac:dyDescent="0.2">
      <c r="A40" s="138" t="str">
        <f>B40&amp;RIGHT(C40,2)</f>
        <v>NWT16</v>
      </c>
      <c r="B40" s="19" t="s">
        <v>32</v>
      </c>
      <c r="C40" s="143" t="s">
        <v>68</v>
      </c>
      <c r="D40" s="139"/>
      <c r="E40" s="139"/>
      <c r="F40" s="139"/>
      <c r="G40" s="139"/>
      <c r="I40" s="139"/>
      <c r="J40" s="139"/>
      <c r="K40" s="139"/>
      <c r="L40" s="139"/>
      <c r="N40" s="139"/>
      <c r="P40" s="139"/>
      <c r="Q40" s="139"/>
      <c r="R40" s="139"/>
      <c r="S40" s="139"/>
      <c r="U40" s="139"/>
      <c r="V40" s="139"/>
      <c r="W40" s="139"/>
    </row>
    <row r="41" spans="1:24" x14ac:dyDescent="0.2">
      <c r="A41" s="138" t="str">
        <f>B41&amp;RIGHT(C41,2)</f>
        <v>NWT17</v>
      </c>
      <c r="B41" s="19" t="s">
        <v>32</v>
      </c>
      <c r="C41" s="143" t="s">
        <v>69</v>
      </c>
      <c r="D41" s="139"/>
      <c r="E41" s="139"/>
      <c r="F41" s="139"/>
      <c r="G41" s="139"/>
      <c r="I41" s="139"/>
      <c r="J41" s="139"/>
      <c r="K41" s="139"/>
      <c r="L41" s="139"/>
      <c r="N41" s="139"/>
      <c r="P41" s="139"/>
      <c r="Q41" s="139"/>
      <c r="R41" s="139"/>
      <c r="S41" s="139"/>
      <c r="U41" s="139"/>
      <c r="V41" s="139"/>
      <c r="W41" s="139"/>
    </row>
    <row r="42" spans="1:24" x14ac:dyDescent="0.2">
      <c r="A42" s="141" t="s">
        <v>150</v>
      </c>
      <c r="B42" s="142" t="s">
        <v>32</v>
      </c>
      <c r="C42" s="142" t="s">
        <v>70</v>
      </c>
      <c r="D42" s="139"/>
      <c r="E42" s="139"/>
      <c r="F42" s="139"/>
      <c r="G42" s="139"/>
      <c r="I42" s="139"/>
      <c r="J42" s="139"/>
      <c r="K42" s="139"/>
      <c r="L42" s="139"/>
      <c r="N42" s="139"/>
      <c r="P42" s="139"/>
      <c r="Q42" s="139"/>
      <c r="R42" s="139"/>
      <c r="S42" s="139"/>
      <c r="U42" s="139"/>
      <c r="V42" s="139"/>
      <c r="W42" s="139"/>
    </row>
    <row r="43" spans="1:24" x14ac:dyDescent="0.2">
      <c r="A43" s="141" t="s">
        <v>151</v>
      </c>
      <c r="B43" s="142" t="s">
        <v>32</v>
      </c>
      <c r="C43" s="142" t="s">
        <v>71</v>
      </c>
      <c r="D43" s="139"/>
      <c r="E43" s="139"/>
      <c r="F43" s="139"/>
      <c r="G43" s="139"/>
      <c r="I43" s="139"/>
      <c r="J43" s="139"/>
      <c r="K43" s="139"/>
      <c r="L43" s="139"/>
      <c r="N43" s="139"/>
      <c r="P43" s="139"/>
      <c r="Q43" s="139"/>
      <c r="R43" s="139"/>
      <c r="S43" s="139"/>
      <c r="U43" s="139"/>
      <c r="V43" s="139"/>
      <c r="W43" s="139"/>
    </row>
    <row r="44" spans="1:24" x14ac:dyDescent="0.2">
      <c r="A44" s="141" t="s">
        <v>152</v>
      </c>
      <c r="B44" s="142" t="s">
        <v>32</v>
      </c>
      <c r="C44" s="142" t="s">
        <v>72</v>
      </c>
      <c r="D44" s="139"/>
      <c r="E44" s="139"/>
      <c r="F44" s="139"/>
      <c r="G44" s="139"/>
      <c r="I44" s="274"/>
      <c r="J44" s="139"/>
      <c r="K44" s="139"/>
      <c r="L44" s="139"/>
      <c r="N44" s="139"/>
      <c r="P44" s="139"/>
      <c r="Q44" s="139"/>
      <c r="R44" s="139"/>
      <c r="S44" s="139"/>
      <c r="U44" s="139"/>
      <c r="V44" s="139"/>
      <c r="W44" s="139"/>
    </row>
    <row r="45" spans="1:24" x14ac:dyDescent="0.2">
      <c r="A45" s="141" t="s">
        <v>153</v>
      </c>
      <c r="B45" s="142" t="s">
        <v>32</v>
      </c>
      <c r="C45" s="142" t="s">
        <v>73</v>
      </c>
      <c r="D45" s="139"/>
      <c r="E45" s="139"/>
      <c r="F45" s="139"/>
      <c r="G45" s="139"/>
      <c r="I45" s="274">
        <v>2.5999999999999999E-2</v>
      </c>
      <c r="J45" s="139"/>
      <c r="K45" s="139"/>
      <c r="L45" s="139"/>
      <c r="N45" s="139"/>
      <c r="P45" s="139"/>
      <c r="Q45" s="139"/>
      <c r="R45" s="139"/>
      <c r="S45" s="139"/>
      <c r="U45" s="139"/>
      <c r="V45" s="139"/>
      <c r="W45" s="139"/>
      <c r="X45" s="7" t="s">
        <v>787</v>
      </c>
    </row>
    <row r="46" spans="1:24" x14ac:dyDescent="0.2">
      <c r="A46" s="141" t="s">
        <v>154</v>
      </c>
      <c r="B46" s="142" t="s">
        <v>32</v>
      </c>
      <c r="C46" s="142" t="s">
        <v>74</v>
      </c>
      <c r="D46" s="139"/>
      <c r="E46" s="139"/>
      <c r="F46" s="139"/>
      <c r="G46" s="139"/>
      <c r="I46" s="274">
        <v>2.7E-2</v>
      </c>
      <c r="J46" s="139"/>
      <c r="K46" s="139"/>
      <c r="L46" s="139"/>
      <c r="N46" s="139"/>
      <c r="P46" s="139"/>
      <c r="Q46" s="139"/>
      <c r="R46" s="139"/>
      <c r="S46" s="139"/>
      <c r="U46" s="139"/>
      <c r="V46" s="139"/>
      <c r="W46" s="139"/>
      <c r="X46" s="7" t="s">
        <v>787</v>
      </c>
    </row>
    <row r="47" spans="1:24" x14ac:dyDescent="0.2">
      <c r="A47" s="141" t="s">
        <v>155</v>
      </c>
      <c r="B47" s="142" t="s">
        <v>32</v>
      </c>
      <c r="C47" s="142" t="s">
        <v>75</v>
      </c>
      <c r="D47" s="139"/>
      <c r="E47" s="139"/>
      <c r="F47" s="139"/>
      <c r="G47" s="139"/>
      <c r="I47" s="274">
        <v>3.3000000000000002E-2</v>
      </c>
      <c r="J47" s="139"/>
      <c r="K47" s="139"/>
      <c r="L47" s="139"/>
      <c r="N47" s="139"/>
      <c r="P47" s="139"/>
      <c r="Q47" s="139"/>
      <c r="R47" s="139"/>
      <c r="S47" s="139"/>
      <c r="U47" s="139"/>
      <c r="V47" s="139"/>
      <c r="W47" s="139"/>
      <c r="X47" s="7" t="s">
        <v>787</v>
      </c>
    </row>
    <row r="48" spans="1:24" x14ac:dyDescent="0.2">
      <c r="A48" s="141" t="s">
        <v>156</v>
      </c>
      <c r="B48" s="142" t="s">
        <v>32</v>
      </c>
      <c r="C48" s="142" t="s">
        <v>76</v>
      </c>
      <c r="D48" s="139"/>
      <c r="E48" s="139"/>
      <c r="F48" s="139"/>
      <c r="G48" s="139"/>
      <c r="I48" s="274">
        <v>3.9E-2</v>
      </c>
      <c r="J48" s="139"/>
      <c r="K48" s="139"/>
      <c r="L48" s="139"/>
      <c r="N48" s="139"/>
      <c r="P48" s="139"/>
      <c r="Q48" s="139"/>
      <c r="R48" s="139"/>
      <c r="S48" s="139"/>
      <c r="U48" s="139"/>
      <c r="V48" s="139"/>
      <c r="W48" s="139"/>
      <c r="X48" s="7" t="s">
        <v>787</v>
      </c>
    </row>
    <row r="49" spans="1:24" x14ac:dyDescent="0.2">
      <c r="A49" s="141" t="s">
        <v>157</v>
      </c>
      <c r="B49" s="142" t="s">
        <v>32</v>
      </c>
      <c r="C49" s="142" t="s">
        <v>24</v>
      </c>
      <c r="D49" s="139"/>
      <c r="E49" s="139"/>
      <c r="F49" s="139"/>
      <c r="G49" s="139"/>
      <c r="I49" s="274">
        <v>4.5999999999999999E-2</v>
      </c>
      <c r="J49" s="139"/>
      <c r="K49" s="139"/>
      <c r="L49" s="139"/>
      <c r="N49" s="139"/>
      <c r="P49" s="139"/>
      <c r="Q49" s="139"/>
      <c r="R49" s="139"/>
      <c r="S49" s="139"/>
      <c r="U49" s="139"/>
      <c r="V49" s="139"/>
      <c r="W49" s="139"/>
      <c r="X49" s="7" t="s">
        <v>787</v>
      </c>
    </row>
    <row r="50" spans="1:24" x14ac:dyDescent="0.2">
      <c r="A50" s="138" t="str">
        <f t="shared" ref="A50" si="3">B50&amp;RIGHT(C50,2)</f>
        <v>SRN12</v>
      </c>
      <c r="B50" s="19" t="s">
        <v>30</v>
      </c>
      <c r="C50" s="143" t="s">
        <v>64</v>
      </c>
      <c r="D50" s="139"/>
      <c r="E50" s="139"/>
      <c r="F50" s="139"/>
      <c r="G50" s="139"/>
      <c r="I50" s="139"/>
      <c r="J50" s="139"/>
      <c r="K50" s="139"/>
      <c r="L50" s="139"/>
      <c r="N50" s="139"/>
      <c r="P50" s="139"/>
      <c r="Q50" s="139"/>
      <c r="R50" s="139"/>
      <c r="S50" s="139"/>
      <c r="U50" s="139"/>
      <c r="V50" s="139"/>
      <c r="W50" s="139"/>
    </row>
    <row r="51" spans="1:24" x14ac:dyDescent="0.2">
      <c r="A51" s="138" t="str">
        <f>B51&amp;RIGHT(C51,2)</f>
        <v>SRN13</v>
      </c>
      <c r="B51" s="19" t="s">
        <v>30</v>
      </c>
      <c r="C51" s="143" t="s">
        <v>65</v>
      </c>
      <c r="D51" s="139"/>
      <c r="E51" s="139"/>
      <c r="F51" s="139"/>
      <c r="G51" s="139"/>
      <c r="I51" s="139"/>
      <c r="J51" s="139"/>
      <c r="K51" s="139"/>
      <c r="L51" s="139"/>
      <c r="N51" s="139"/>
      <c r="P51" s="139"/>
      <c r="Q51" s="139"/>
      <c r="R51" s="139"/>
      <c r="S51" s="139"/>
      <c r="U51" s="139"/>
      <c r="V51" s="139"/>
      <c r="W51" s="139"/>
    </row>
    <row r="52" spans="1:24" x14ac:dyDescent="0.2">
      <c r="A52" s="138" t="str">
        <f>B52&amp;RIGHT(C52,2)</f>
        <v>SRN14</v>
      </c>
      <c r="B52" s="19" t="s">
        <v>30</v>
      </c>
      <c r="C52" s="143" t="s">
        <v>66</v>
      </c>
      <c r="D52" s="139"/>
      <c r="E52" s="139"/>
      <c r="F52" s="139"/>
      <c r="G52" s="139"/>
      <c r="I52" s="139"/>
      <c r="J52" s="139"/>
      <c r="K52" s="139"/>
      <c r="L52" s="139"/>
      <c r="N52" s="139"/>
      <c r="P52" s="139"/>
      <c r="Q52" s="139"/>
      <c r="R52" s="139"/>
      <c r="S52" s="139"/>
      <c r="U52" s="139"/>
      <c r="V52" s="139"/>
      <c r="W52" s="139"/>
    </row>
    <row r="53" spans="1:24" x14ac:dyDescent="0.2">
      <c r="A53" s="138" t="str">
        <f>B53&amp;RIGHT(C53,2)</f>
        <v>SRN15</v>
      </c>
      <c r="B53" s="19" t="s">
        <v>30</v>
      </c>
      <c r="C53" s="143" t="s">
        <v>67</v>
      </c>
      <c r="D53" s="139"/>
      <c r="E53" s="139"/>
      <c r="F53" s="139"/>
      <c r="G53" s="139"/>
      <c r="I53" s="139"/>
      <c r="J53" s="139"/>
      <c r="K53" s="139"/>
      <c r="L53" s="139"/>
      <c r="N53" s="139"/>
      <c r="P53" s="139"/>
      <c r="Q53" s="139"/>
      <c r="R53" s="139"/>
      <c r="S53" s="139"/>
      <c r="U53" s="139"/>
      <c r="V53" s="139"/>
      <c r="W53" s="139"/>
    </row>
    <row r="54" spans="1:24" x14ac:dyDescent="0.2">
      <c r="A54" s="138" t="str">
        <f>B54&amp;RIGHT(C54,2)</f>
        <v>SRN16</v>
      </c>
      <c r="B54" s="19" t="s">
        <v>30</v>
      </c>
      <c r="C54" s="143" t="s">
        <v>68</v>
      </c>
      <c r="D54" s="139"/>
      <c r="E54" s="139"/>
      <c r="F54" s="139"/>
      <c r="G54" s="139"/>
      <c r="I54" s="139"/>
      <c r="J54" s="139"/>
      <c r="K54" s="139"/>
      <c r="L54" s="139"/>
      <c r="N54" s="139"/>
      <c r="P54" s="139"/>
      <c r="Q54" s="139"/>
      <c r="R54" s="139"/>
      <c r="S54" s="139"/>
      <c r="U54" s="139"/>
      <c r="V54" s="139"/>
      <c r="W54" s="139"/>
    </row>
    <row r="55" spans="1:24" x14ac:dyDescent="0.2">
      <c r="A55" s="138" t="str">
        <f t="shared" ref="A55" si="4">B55&amp;RIGHT(C55,2)</f>
        <v>SRN17</v>
      </c>
      <c r="B55" s="19" t="s">
        <v>30</v>
      </c>
      <c r="C55" s="143" t="s">
        <v>69</v>
      </c>
      <c r="D55" s="139"/>
      <c r="E55" s="139"/>
      <c r="F55" s="139"/>
      <c r="G55" s="139"/>
      <c r="I55" s="139"/>
      <c r="J55" s="139"/>
      <c r="K55" s="139"/>
      <c r="L55" s="139"/>
      <c r="N55" s="139"/>
      <c r="P55" s="139"/>
      <c r="Q55" s="139"/>
      <c r="R55" s="139"/>
      <c r="S55" s="139"/>
      <c r="U55" s="139"/>
      <c r="V55" s="139"/>
      <c r="W55" s="139"/>
    </row>
    <row r="56" spans="1:24" x14ac:dyDescent="0.2">
      <c r="A56" s="141" t="s">
        <v>158</v>
      </c>
      <c r="B56" s="142" t="s">
        <v>30</v>
      </c>
      <c r="C56" s="142" t="s">
        <v>70</v>
      </c>
      <c r="D56" s="139"/>
      <c r="E56" s="139"/>
      <c r="F56" s="139"/>
      <c r="G56" s="139"/>
      <c r="I56" s="139"/>
      <c r="J56" s="139"/>
      <c r="K56" s="139"/>
      <c r="L56" s="139"/>
      <c r="N56" s="139"/>
      <c r="P56" s="139"/>
      <c r="Q56" s="139"/>
      <c r="R56" s="139"/>
      <c r="S56" s="139"/>
      <c r="U56" s="139"/>
      <c r="V56" s="139"/>
      <c r="W56" s="139"/>
    </row>
    <row r="57" spans="1:24" x14ac:dyDescent="0.2">
      <c r="A57" s="141" t="s">
        <v>159</v>
      </c>
      <c r="B57" s="142" t="s">
        <v>30</v>
      </c>
      <c r="C57" s="142" t="s">
        <v>71</v>
      </c>
      <c r="D57" s="139"/>
      <c r="E57" s="139"/>
      <c r="F57" s="139"/>
      <c r="G57" s="139"/>
      <c r="I57" s="139"/>
      <c r="J57" s="139"/>
      <c r="K57" s="139"/>
      <c r="L57" s="139"/>
      <c r="N57" s="139"/>
      <c r="P57" s="139"/>
      <c r="Q57" s="139"/>
      <c r="R57" s="139"/>
      <c r="S57" s="139"/>
      <c r="U57" s="139"/>
      <c r="V57" s="139"/>
      <c r="W57" s="139"/>
    </row>
    <row r="58" spans="1:24" x14ac:dyDescent="0.2">
      <c r="A58" s="141" t="s">
        <v>160</v>
      </c>
      <c r="B58" s="142" t="s">
        <v>30</v>
      </c>
      <c r="C58" s="142" t="s">
        <v>72</v>
      </c>
      <c r="D58" s="139"/>
      <c r="E58" s="139"/>
      <c r="F58" s="139"/>
      <c r="G58" s="139"/>
      <c r="I58" s="139"/>
      <c r="J58" s="139"/>
      <c r="K58" s="139"/>
      <c r="L58" s="139"/>
      <c r="N58" s="139"/>
      <c r="P58" s="139"/>
      <c r="Q58" s="139"/>
      <c r="R58" s="139"/>
      <c r="S58" s="139"/>
      <c r="U58" s="139"/>
      <c r="V58" s="139"/>
      <c r="W58" s="139"/>
    </row>
    <row r="59" spans="1:24" x14ac:dyDescent="0.2">
      <c r="A59" s="141" t="s">
        <v>161</v>
      </c>
      <c r="B59" s="142" t="s">
        <v>30</v>
      </c>
      <c r="C59" s="142" t="s">
        <v>73</v>
      </c>
      <c r="D59" s="139"/>
      <c r="E59" s="139"/>
      <c r="F59" s="139"/>
      <c r="G59" s="139"/>
      <c r="I59" s="139"/>
      <c r="J59" s="139"/>
      <c r="K59" s="139"/>
      <c r="L59" s="139"/>
      <c r="N59" s="139"/>
      <c r="P59" s="139"/>
      <c r="Q59" s="139"/>
      <c r="R59" s="139"/>
      <c r="S59" s="139"/>
      <c r="U59" s="139"/>
      <c r="V59" s="139"/>
      <c r="W59" s="139"/>
    </row>
    <row r="60" spans="1:24" x14ac:dyDescent="0.2">
      <c r="A60" s="141" t="s">
        <v>162</v>
      </c>
      <c r="B60" s="142" t="s">
        <v>30</v>
      </c>
      <c r="C60" s="142" t="s">
        <v>74</v>
      </c>
      <c r="D60" s="139"/>
      <c r="E60" s="139"/>
      <c r="F60" s="139"/>
      <c r="G60" s="139"/>
      <c r="I60" s="139"/>
      <c r="J60" s="139"/>
      <c r="K60" s="139"/>
      <c r="L60" s="139"/>
      <c r="N60" s="139"/>
      <c r="P60" s="139"/>
      <c r="Q60" s="139"/>
      <c r="R60" s="139"/>
      <c r="S60" s="139"/>
      <c r="U60" s="139"/>
      <c r="V60" s="139"/>
      <c r="W60" s="139"/>
    </row>
    <row r="61" spans="1:24" x14ac:dyDescent="0.2">
      <c r="A61" s="141" t="s">
        <v>163</v>
      </c>
      <c r="B61" s="142" t="s">
        <v>30</v>
      </c>
      <c r="C61" s="142" t="s">
        <v>75</v>
      </c>
      <c r="D61" s="139"/>
      <c r="E61" s="139"/>
      <c r="F61" s="139"/>
      <c r="G61" s="139"/>
      <c r="I61" s="139"/>
      <c r="J61" s="139"/>
      <c r="K61" s="139"/>
      <c r="L61" s="139"/>
      <c r="N61" s="139"/>
      <c r="P61" s="139"/>
      <c r="Q61" s="139"/>
      <c r="R61" s="139"/>
      <c r="S61" s="139"/>
      <c r="U61" s="139"/>
      <c r="V61" s="139"/>
      <c r="W61" s="139"/>
    </row>
    <row r="62" spans="1:24" x14ac:dyDescent="0.2">
      <c r="A62" s="141" t="s">
        <v>164</v>
      </c>
      <c r="B62" s="142" t="s">
        <v>30</v>
      </c>
      <c r="C62" s="142" t="s">
        <v>76</v>
      </c>
      <c r="D62" s="139"/>
      <c r="E62" s="139"/>
      <c r="F62" s="139"/>
      <c r="G62" s="139"/>
      <c r="I62" s="139"/>
      <c r="J62" s="139"/>
      <c r="K62" s="139"/>
      <c r="L62" s="139"/>
      <c r="N62" s="139"/>
      <c r="P62" s="139"/>
      <c r="Q62" s="139"/>
      <c r="R62" s="139"/>
      <c r="S62" s="139"/>
      <c r="U62" s="139"/>
      <c r="V62" s="139"/>
      <c r="W62" s="139"/>
    </row>
    <row r="63" spans="1:24" x14ac:dyDescent="0.2">
      <c r="A63" s="141" t="s">
        <v>165</v>
      </c>
      <c r="B63" s="142" t="s">
        <v>30</v>
      </c>
      <c r="C63" s="142" t="s">
        <v>24</v>
      </c>
      <c r="D63" s="139"/>
      <c r="E63" s="139"/>
      <c r="F63" s="139"/>
      <c r="G63" s="139"/>
      <c r="I63" s="139"/>
      <c r="J63" s="139"/>
      <c r="K63" s="139"/>
      <c r="L63" s="139"/>
      <c r="N63" s="139"/>
      <c r="P63" s="139"/>
      <c r="Q63" s="139"/>
      <c r="R63" s="139"/>
      <c r="S63" s="139"/>
      <c r="U63" s="139"/>
      <c r="V63" s="139"/>
      <c r="W63" s="139"/>
    </row>
    <row r="64" spans="1:24" x14ac:dyDescent="0.2">
      <c r="A64" s="138" t="str">
        <f t="shared" ref="A64" si="5">B64&amp;RIGHT(C64,2)</f>
        <v>SVT12</v>
      </c>
      <c r="B64" s="19" t="s">
        <v>107</v>
      </c>
      <c r="C64" s="143" t="s">
        <v>64</v>
      </c>
      <c r="D64" s="139"/>
      <c r="E64" s="139"/>
      <c r="F64" s="139"/>
      <c r="G64" s="139"/>
      <c r="I64" s="139"/>
      <c r="J64" s="139"/>
      <c r="K64" s="139"/>
      <c r="L64" s="139"/>
      <c r="N64" s="139"/>
      <c r="P64" s="139"/>
      <c r="Q64" s="139"/>
      <c r="R64" s="139"/>
      <c r="S64" s="139"/>
      <c r="U64" s="139"/>
      <c r="V64" s="139"/>
      <c r="W64" s="139"/>
    </row>
    <row r="65" spans="1:23" x14ac:dyDescent="0.2">
      <c r="A65" s="138" t="str">
        <f>B65&amp;RIGHT(C65,2)</f>
        <v>SVT13</v>
      </c>
      <c r="B65" s="19" t="s">
        <v>107</v>
      </c>
      <c r="C65" s="143" t="s">
        <v>65</v>
      </c>
      <c r="D65" s="139"/>
      <c r="E65" s="139"/>
      <c r="F65" s="139"/>
      <c r="G65" s="139"/>
      <c r="I65" s="139"/>
      <c r="J65" s="139"/>
      <c r="K65" s="139"/>
      <c r="L65" s="139"/>
      <c r="N65" s="139"/>
      <c r="P65" s="139"/>
      <c r="Q65" s="139"/>
      <c r="R65" s="139"/>
      <c r="S65" s="139"/>
      <c r="U65" s="139"/>
      <c r="V65" s="139"/>
      <c r="W65" s="139"/>
    </row>
    <row r="66" spans="1:23" x14ac:dyDescent="0.2">
      <c r="A66" s="138" t="str">
        <f>B66&amp;RIGHT(C66,2)</f>
        <v>SVT14</v>
      </c>
      <c r="B66" s="19" t="s">
        <v>107</v>
      </c>
      <c r="C66" s="143" t="s">
        <v>66</v>
      </c>
      <c r="D66" s="139"/>
      <c r="E66" s="139"/>
      <c r="F66" s="139"/>
      <c r="G66" s="139"/>
      <c r="I66" s="139"/>
      <c r="J66" s="139"/>
      <c r="K66" s="139"/>
      <c r="L66" s="139"/>
      <c r="N66" s="139"/>
      <c r="P66" s="139"/>
      <c r="Q66" s="139"/>
      <c r="R66" s="139"/>
      <c r="S66" s="139"/>
      <c r="U66" s="139"/>
      <c r="V66" s="139"/>
      <c r="W66" s="139"/>
    </row>
    <row r="67" spans="1:23" x14ac:dyDescent="0.2">
      <c r="A67" s="138" t="str">
        <f>B67&amp;RIGHT(C67,2)</f>
        <v>SVT15</v>
      </c>
      <c r="B67" s="19" t="s">
        <v>107</v>
      </c>
      <c r="C67" s="143" t="s">
        <v>67</v>
      </c>
      <c r="D67" s="139"/>
      <c r="E67" s="139"/>
      <c r="F67" s="139"/>
      <c r="G67" s="139"/>
      <c r="I67" s="139"/>
      <c r="J67" s="139"/>
      <c r="K67" s="139"/>
      <c r="L67" s="139"/>
      <c r="N67" s="139"/>
      <c r="P67" s="139"/>
      <c r="Q67" s="139"/>
      <c r="R67" s="139"/>
      <c r="S67" s="139"/>
      <c r="U67" s="139"/>
      <c r="V67" s="139"/>
      <c r="W67" s="139"/>
    </row>
    <row r="68" spans="1:23" x14ac:dyDescent="0.2">
      <c r="A68" s="138" t="str">
        <f>B68&amp;RIGHT(C68,2)</f>
        <v>SVT16</v>
      </c>
      <c r="B68" s="19" t="s">
        <v>107</v>
      </c>
      <c r="C68" s="143" t="s">
        <v>68</v>
      </c>
      <c r="D68" s="139"/>
      <c r="E68" s="139"/>
      <c r="F68" s="139"/>
      <c r="G68" s="139"/>
      <c r="I68" s="139"/>
      <c r="J68" s="139"/>
      <c r="K68" s="139"/>
      <c r="L68" s="139"/>
      <c r="N68" s="139"/>
      <c r="P68" s="139"/>
      <c r="Q68" s="139"/>
      <c r="R68" s="139"/>
      <c r="S68" s="139"/>
      <c r="U68" s="139"/>
      <c r="V68" s="139"/>
      <c r="W68" s="139"/>
    </row>
    <row r="69" spans="1:23" x14ac:dyDescent="0.2">
      <c r="A69" s="138" t="str">
        <f t="shared" ref="A69" si="6">B69&amp;RIGHT(C69,2)</f>
        <v>SVT17</v>
      </c>
      <c r="B69" s="19" t="s">
        <v>107</v>
      </c>
      <c r="C69" s="143" t="s">
        <v>69</v>
      </c>
      <c r="D69" s="139"/>
      <c r="E69" s="139"/>
      <c r="F69" s="139"/>
      <c r="G69" s="139"/>
      <c r="I69" s="139"/>
      <c r="J69" s="139"/>
      <c r="K69" s="139"/>
      <c r="L69" s="139"/>
      <c r="N69" s="139"/>
      <c r="P69" s="139"/>
      <c r="Q69" s="139"/>
      <c r="R69" s="139"/>
      <c r="S69" s="139"/>
      <c r="U69" s="139"/>
      <c r="V69" s="139"/>
      <c r="W69" s="139"/>
    </row>
    <row r="70" spans="1:23" x14ac:dyDescent="0.2">
      <c r="A70" s="141" t="s">
        <v>166</v>
      </c>
      <c r="B70" s="142" t="s">
        <v>107</v>
      </c>
      <c r="C70" s="142" t="s">
        <v>70</v>
      </c>
      <c r="D70" s="139"/>
      <c r="E70" s="139"/>
      <c r="F70" s="139"/>
      <c r="G70" s="139"/>
      <c r="I70" s="139"/>
      <c r="J70" s="139"/>
      <c r="K70" s="139"/>
      <c r="L70" s="139"/>
      <c r="N70" s="139"/>
      <c r="P70" s="139"/>
      <c r="Q70" s="139"/>
      <c r="R70" s="139"/>
      <c r="S70" s="139"/>
      <c r="U70" s="139"/>
      <c r="V70" s="139"/>
      <c r="W70" s="139"/>
    </row>
    <row r="71" spans="1:23" x14ac:dyDescent="0.2">
      <c r="A71" s="141" t="s">
        <v>167</v>
      </c>
      <c r="B71" s="142" t="s">
        <v>107</v>
      </c>
      <c r="C71" s="142" t="s">
        <v>71</v>
      </c>
      <c r="D71" s="139"/>
      <c r="E71" s="139"/>
      <c r="F71" s="139"/>
      <c r="G71" s="139"/>
      <c r="I71" s="139"/>
      <c r="J71" s="139"/>
      <c r="K71" s="139"/>
      <c r="L71" s="139"/>
      <c r="N71" s="139"/>
      <c r="P71" s="139"/>
      <c r="Q71" s="139"/>
      <c r="R71" s="139"/>
      <c r="S71" s="139"/>
      <c r="U71" s="139"/>
      <c r="V71" s="139"/>
      <c r="W71" s="139"/>
    </row>
    <row r="72" spans="1:23" x14ac:dyDescent="0.2">
      <c r="A72" s="141" t="s">
        <v>168</v>
      </c>
      <c r="B72" s="142" t="s">
        <v>107</v>
      </c>
      <c r="C72" s="142" t="s">
        <v>72</v>
      </c>
      <c r="D72" s="139"/>
      <c r="E72" s="139"/>
      <c r="F72" s="139"/>
      <c r="G72" s="139"/>
      <c r="I72" s="139"/>
      <c r="J72" s="139"/>
      <c r="K72" s="139"/>
      <c r="L72" s="139"/>
      <c r="N72" s="139"/>
      <c r="P72" s="139"/>
      <c r="Q72" s="139"/>
      <c r="R72" s="139"/>
      <c r="S72" s="139"/>
      <c r="U72" s="139"/>
      <c r="V72" s="139"/>
      <c r="W72" s="139"/>
    </row>
    <row r="73" spans="1:23" x14ac:dyDescent="0.2">
      <c r="A73" s="141" t="s">
        <v>169</v>
      </c>
      <c r="B73" s="142" t="s">
        <v>107</v>
      </c>
      <c r="C73" s="142" t="s">
        <v>73</v>
      </c>
      <c r="D73" s="139"/>
      <c r="E73" s="139"/>
      <c r="F73" s="139"/>
      <c r="G73" s="139"/>
      <c r="I73" s="139"/>
      <c r="J73" s="139"/>
      <c r="K73" s="139"/>
      <c r="L73" s="139"/>
      <c r="N73" s="139"/>
      <c r="P73" s="139"/>
      <c r="Q73" s="139"/>
      <c r="R73" s="139"/>
      <c r="S73" s="139"/>
      <c r="U73" s="139"/>
      <c r="V73" s="139"/>
      <c r="W73" s="139"/>
    </row>
    <row r="74" spans="1:23" x14ac:dyDescent="0.2">
      <c r="A74" s="141" t="s">
        <v>170</v>
      </c>
      <c r="B74" s="142" t="s">
        <v>107</v>
      </c>
      <c r="C74" s="142" t="s">
        <v>74</v>
      </c>
      <c r="D74" s="139"/>
      <c r="E74" s="139"/>
      <c r="F74" s="139"/>
      <c r="G74" s="139"/>
      <c r="I74" s="139"/>
      <c r="J74" s="139"/>
      <c r="K74" s="139"/>
      <c r="L74" s="139"/>
      <c r="N74" s="139"/>
      <c r="P74" s="139"/>
      <c r="Q74" s="139"/>
      <c r="R74" s="139"/>
      <c r="S74" s="139"/>
      <c r="U74" s="139"/>
      <c r="V74" s="139"/>
      <c r="W74" s="139"/>
    </row>
    <row r="75" spans="1:23" x14ac:dyDescent="0.2">
      <c r="A75" s="141" t="s">
        <v>171</v>
      </c>
      <c r="B75" s="142" t="s">
        <v>107</v>
      </c>
      <c r="C75" s="142" t="s">
        <v>75</v>
      </c>
      <c r="D75" s="139"/>
      <c r="E75" s="139"/>
      <c r="F75" s="139"/>
      <c r="G75" s="139"/>
      <c r="I75" s="139"/>
      <c r="J75" s="139"/>
      <c r="K75" s="139"/>
      <c r="L75" s="139"/>
      <c r="N75" s="139"/>
      <c r="P75" s="139"/>
      <c r="Q75" s="139"/>
      <c r="R75" s="139"/>
      <c r="S75" s="139"/>
      <c r="U75" s="139"/>
      <c r="V75" s="139"/>
      <c r="W75" s="139"/>
    </row>
    <row r="76" spans="1:23" x14ac:dyDescent="0.2">
      <c r="A76" s="141" t="s">
        <v>172</v>
      </c>
      <c r="B76" s="142" t="s">
        <v>107</v>
      </c>
      <c r="C76" s="142" t="s">
        <v>76</v>
      </c>
      <c r="D76" s="139"/>
      <c r="E76" s="139"/>
      <c r="F76" s="139"/>
      <c r="G76" s="139"/>
      <c r="I76" s="139"/>
      <c r="J76" s="139"/>
      <c r="K76" s="139"/>
      <c r="L76" s="139"/>
      <c r="N76" s="139"/>
      <c r="P76" s="139"/>
      <c r="Q76" s="139"/>
      <c r="R76" s="139"/>
      <c r="S76" s="139"/>
      <c r="U76" s="139"/>
      <c r="V76" s="139"/>
      <c r="W76" s="139"/>
    </row>
    <row r="77" spans="1:23" x14ac:dyDescent="0.2">
      <c r="A77" s="141" t="s">
        <v>173</v>
      </c>
      <c r="B77" s="142" t="s">
        <v>107</v>
      </c>
      <c r="C77" s="142" t="s">
        <v>24</v>
      </c>
      <c r="D77" s="139"/>
      <c r="E77" s="139"/>
      <c r="F77" s="139"/>
      <c r="G77" s="139"/>
      <c r="I77" s="139"/>
      <c r="J77" s="139"/>
      <c r="K77" s="139"/>
      <c r="L77" s="139"/>
      <c r="N77" s="139"/>
      <c r="P77" s="139"/>
      <c r="Q77" s="139"/>
      <c r="R77" s="139"/>
      <c r="S77" s="139"/>
      <c r="U77" s="139"/>
      <c r="V77" s="139"/>
      <c r="W77" s="139"/>
    </row>
    <row r="78" spans="1:23" x14ac:dyDescent="0.2">
      <c r="A78" s="138" t="str">
        <f t="shared" ref="A78:A83" si="7">B78&amp;RIGHT(C78,2)</f>
        <v>SWT12</v>
      </c>
      <c r="B78" s="19" t="s">
        <v>109</v>
      </c>
      <c r="C78" s="143" t="s">
        <v>64</v>
      </c>
      <c r="D78" s="139"/>
      <c r="E78" s="139"/>
      <c r="F78" s="139"/>
      <c r="G78" s="139"/>
      <c r="I78" s="139"/>
      <c r="J78" s="139"/>
      <c r="K78" s="139"/>
      <c r="L78" s="139"/>
      <c r="N78" s="139"/>
      <c r="P78" s="139"/>
      <c r="Q78" s="139"/>
      <c r="R78" s="139"/>
      <c r="S78" s="139"/>
      <c r="U78" s="139"/>
      <c r="V78" s="139"/>
      <c r="W78" s="139"/>
    </row>
    <row r="79" spans="1:23" x14ac:dyDescent="0.2">
      <c r="A79" s="138" t="str">
        <f t="shared" si="7"/>
        <v>SWT13</v>
      </c>
      <c r="B79" s="19" t="s">
        <v>109</v>
      </c>
      <c r="C79" s="143" t="s">
        <v>65</v>
      </c>
      <c r="D79" s="139"/>
      <c r="E79" s="139"/>
      <c r="F79" s="139"/>
      <c r="G79" s="139"/>
      <c r="I79" s="139"/>
      <c r="J79" s="139"/>
      <c r="K79" s="139"/>
      <c r="L79" s="139"/>
      <c r="N79" s="139"/>
      <c r="P79" s="139"/>
      <c r="Q79" s="139"/>
      <c r="R79" s="139"/>
      <c r="S79" s="139"/>
      <c r="U79" s="139"/>
      <c r="V79" s="139"/>
      <c r="W79" s="139"/>
    </row>
    <row r="80" spans="1:23" x14ac:dyDescent="0.2">
      <c r="A80" s="138" t="str">
        <f t="shared" si="7"/>
        <v>SWT14</v>
      </c>
      <c r="B80" s="19" t="s">
        <v>109</v>
      </c>
      <c r="C80" s="143" t="s">
        <v>66</v>
      </c>
      <c r="D80" s="139"/>
      <c r="E80" s="139"/>
      <c r="F80" s="139"/>
      <c r="G80" s="139"/>
      <c r="I80" s="139"/>
      <c r="J80" s="139"/>
      <c r="K80" s="139"/>
      <c r="L80" s="139"/>
      <c r="N80" s="139"/>
      <c r="P80" s="139"/>
      <c r="Q80" s="139"/>
      <c r="R80" s="139"/>
      <c r="S80" s="139"/>
      <c r="U80" s="139"/>
      <c r="V80" s="139"/>
      <c r="W80" s="139"/>
    </row>
    <row r="81" spans="1:23" x14ac:dyDescent="0.2">
      <c r="A81" s="138" t="str">
        <f t="shared" si="7"/>
        <v>SWT15</v>
      </c>
      <c r="B81" s="19" t="s">
        <v>109</v>
      </c>
      <c r="C81" s="143" t="s">
        <v>67</v>
      </c>
      <c r="D81" s="139"/>
      <c r="E81" s="139"/>
      <c r="F81" s="139"/>
      <c r="G81" s="139"/>
      <c r="I81" s="139"/>
      <c r="J81" s="139"/>
      <c r="K81" s="139"/>
      <c r="L81" s="139"/>
      <c r="N81" s="139"/>
      <c r="P81" s="139"/>
      <c r="Q81" s="139"/>
      <c r="R81" s="139"/>
      <c r="S81" s="139"/>
      <c r="U81" s="139"/>
      <c r="V81" s="139"/>
      <c r="W81" s="139"/>
    </row>
    <row r="82" spans="1:23" x14ac:dyDescent="0.2">
      <c r="A82" s="138" t="str">
        <f t="shared" si="7"/>
        <v>SWT16</v>
      </c>
      <c r="B82" s="19" t="s">
        <v>109</v>
      </c>
      <c r="C82" s="143" t="s">
        <v>68</v>
      </c>
      <c r="D82" s="139"/>
      <c r="E82" s="139"/>
      <c r="F82" s="139"/>
      <c r="G82" s="139"/>
      <c r="I82" s="139"/>
      <c r="J82" s="139"/>
      <c r="K82" s="139"/>
      <c r="L82" s="139"/>
      <c r="N82" s="139"/>
      <c r="P82" s="139"/>
      <c r="Q82" s="139"/>
      <c r="R82" s="139"/>
      <c r="S82" s="139"/>
      <c r="U82" s="139"/>
      <c r="V82" s="139"/>
      <c r="W82" s="139"/>
    </row>
    <row r="83" spans="1:23" x14ac:dyDescent="0.2">
      <c r="A83" s="138" t="str">
        <f t="shared" si="7"/>
        <v>SWT17</v>
      </c>
      <c r="B83" s="19" t="s">
        <v>109</v>
      </c>
      <c r="C83" s="143" t="s">
        <v>69</v>
      </c>
      <c r="D83" s="139"/>
      <c r="E83" s="139"/>
      <c r="F83" s="139"/>
      <c r="G83" s="139"/>
      <c r="I83" s="139"/>
      <c r="J83" s="139"/>
      <c r="K83" s="139"/>
      <c r="L83" s="139"/>
      <c r="N83" s="139"/>
      <c r="P83" s="139"/>
      <c r="Q83" s="139"/>
      <c r="R83" s="139"/>
      <c r="S83" s="139"/>
      <c r="U83" s="139"/>
      <c r="V83" s="139"/>
      <c r="W83" s="139"/>
    </row>
    <row r="84" spans="1:23" x14ac:dyDescent="0.2">
      <c r="A84" s="141" t="s">
        <v>174</v>
      </c>
      <c r="B84" s="142" t="s">
        <v>109</v>
      </c>
      <c r="C84" s="142" t="s">
        <v>70</v>
      </c>
      <c r="D84" s="139"/>
      <c r="E84" s="139"/>
      <c r="F84" s="139"/>
      <c r="G84" s="139"/>
      <c r="I84" s="139"/>
      <c r="J84" s="139"/>
      <c r="K84" s="139"/>
      <c r="L84" s="139"/>
      <c r="N84" s="139"/>
      <c r="P84" s="139"/>
      <c r="Q84" s="139"/>
      <c r="R84" s="139"/>
      <c r="S84" s="139"/>
      <c r="U84" s="139"/>
      <c r="V84" s="139"/>
      <c r="W84" s="139"/>
    </row>
    <row r="85" spans="1:23" x14ac:dyDescent="0.2">
      <c r="A85" s="141" t="s">
        <v>175</v>
      </c>
      <c r="B85" s="142" t="s">
        <v>109</v>
      </c>
      <c r="C85" s="142" t="s">
        <v>71</v>
      </c>
      <c r="D85" s="139"/>
      <c r="E85" s="139"/>
      <c r="F85" s="139"/>
      <c r="G85" s="139"/>
      <c r="I85" s="139"/>
      <c r="J85" s="139"/>
      <c r="K85" s="139"/>
      <c r="L85" s="139"/>
      <c r="N85" s="139"/>
      <c r="P85" s="139"/>
      <c r="Q85" s="139"/>
      <c r="R85" s="139"/>
      <c r="S85" s="139"/>
      <c r="U85" s="139"/>
      <c r="V85" s="139"/>
      <c r="W85" s="139"/>
    </row>
    <row r="86" spans="1:23" x14ac:dyDescent="0.2">
      <c r="A86" s="141" t="s">
        <v>176</v>
      </c>
      <c r="B86" s="142" t="s">
        <v>109</v>
      </c>
      <c r="C86" s="142" t="s">
        <v>72</v>
      </c>
      <c r="D86" s="139"/>
      <c r="E86" s="139"/>
      <c r="F86" s="139"/>
      <c r="G86" s="139"/>
      <c r="I86" s="139"/>
      <c r="J86" s="139"/>
      <c r="K86" s="139"/>
      <c r="L86" s="139"/>
      <c r="N86" s="139"/>
      <c r="P86" s="139"/>
      <c r="Q86" s="139"/>
      <c r="R86" s="139"/>
      <c r="S86" s="139"/>
      <c r="U86" s="139"/>
      <c r="V86" s="139"/>
      <c r="W86" s="139"/>
    </row>
    <row r="87" spans="1:23" x14ac:dyDescent="0.2">
      <c r="A87" s="141" t="s">
        <v>177</v>
      </c>
      <c r="B87" s="142" t="s">
        <v>109</v>
      </c>
      <c r="C87" s="142" t="s">
        <v>73</v>
      </c>
      <c r="D87" s="139"/>
      <c r="E87" s="139"/>
      <c r="F87" s="139"/>
      <c r="G87" s="139"/>
      <c r="I87" s="139"/>
      <c r="J87" s="139"/>
      <c r="K87" s="139"/>
      <c r="L87" s="139"/>
      <c r="N87" s="139"/>
      <c r="P87" s="139"/>
      <c r="Q87" s="139"/>
      <c r="R87" s="139"/>
      <c r="S87" s="139"/>
      <c r="U87" s="139"/>
      <c r="V87" s="139"/>
      <c r="W87" s="139"/>
    </row>
    <row r="88" spans="1:23" x14ac:dyDescent="0.2">
      <c r="A88" s="141" t="s">
        <v>178</v>
      </c>
      <c r="B88" s="142" t="s">
        <v>109</v>
      </c>
      <c r="C88" s="142" t="s">
        <v>74</v>
      </c>
      <c r="D88" s="139"/>
      <c r="E88" s="139"/>
      <c r="F88" s="139"/>
      <c r="G88" s="139"/>
      <c r="I88" s="139"/>
      <c r="J88" s="139"/>
      <c r="K88" s="139"/>
      <c r="L88" s="139"/>
      <c r="N88" s="139"/>
      <c r="P88" s="139"/>
      <c r="Q88" s="139"/>
      <c r="R88" s="139"/>
      <c r="S88" s="139"/>
      <c r="U88" s="139"/>
      <c r="V88" s="139"/>
      <c r="W88" s="139"/>
    </row>
    <row r="89" spans="1:23" x14ac:dyDescent="0.2">
      <c r="A89" s="141" t="s">
        <v>179</v>
      </c>
      <c r="B89" s="142" t="s">
        <v>109</v>
      </c>
      <c r="C89" s="142" t="s">
        <v>75</v>
      </c>
      <c r="D89" s="139"/>
      <c r="E89" s="139"/>
      <c r="F89" s="139"/>
      <c r="G89" s="139"/>
      <c r="I89" s="139"/>
      <c r="J89" s="139"/>
      <c r="K89" s="139"/>
      <c r="L89" s="139"/>
      <c r="N89" s="139"/>
      <c r="P89" s="139"/>
      <c r="Q89" s="139"/>
      <c r="R89" s="139"/>
      <c r="S89" s="139"/>
      <c r="U89" s="139"/>
      <c r="V89" s="139"/>
      <c r="W89" s="139"/>
    </row>
    <row r="90" spans="1:23" x14ac:dyDescent="0.2">
      <c r="A90" s="141" t="s">
        <v>180</v>
      </c>
      <c r="B90" s="142" t="s">
        <v>109</v>
      </c>
      <c r="C90" s="142" t="s">
        <v>76</v>
      </c>
      <c r="D90" s="139"/>
      <c r="E90" s="139"/>
      <c r="F90" s="139"/>
      <c r="G90" s="139"/>
      <c r="I90" s="139"/>
      <c r="J90" s="139"/>
      <c r="K90" s="139"/>
      <c r="L90" s="139"/>
      <c r="N90" s="139"/>
      <c r="P90" s="139"/>
      <c r="Q90" s="139"/>
      <c r="R90" s="139"/>
      <c r="S90" s="139"/>
      <c r="U90" s="139"/>
      <c r="V90" s="139"/>
      <c r="W90" s="139"/>
    </row>
    <row r="91" spans="1:23" x14ac:dyDescent="0.2">
      <c r="A91" s="141" t="s">
        <v>181</v>
      </c>
      <c r="B91" s="142" t="s">
        <v>109</v>
      </c>
      <c r="C91" s="142" t="s">
        <v>24</v>
      </c>
      <c r="D91" s="139"/>
      <c r="E91" s="139"/>
      <c r="F91" s="139"/>
      <c r="G91" s="139"/>
      <c r="I91" s="139"/>
      <c r="J91" s="139"/>
      <c r="K91" s="139"/>
      <c r="L91" s="139"/>
      <c r="N91" s="139"/>
      <c r="P91" s="139"/>
      <c r="Q91" s="139"/>
      <c r="R91" s="139"/>
      <c r="S91" s="139"/>
      <c r="U91" s="139"/>
      <c r="V91" s="139"/>
      <c r="W91" s="139"/>
    </row>
    <row r="92" spans="1:23" x14ac:dyDescent="0.2">
      <c r="A92" s="138" t="str">
        <f t="shared" ref="A92" si="8">B92&amp;RIGHT(C92,2)</f>
        <v>SWB17</v>
      </c>
      <c r="B92" s="19" t="s">
        <v>108</v>
      </c>
      <c r="C92" s="143" t="s">
        <v>69</v>
      </c>
      <c r="D92" s="139"/>
      <c r="E92" s="139"/>
      <c r="F92" s="139"/>
      <c r="G92" s="139"/>
      <c r="I92" s="139"/>
      <c r="J92" s="139"/>
      <c r="K92" s="139"/>
      <c r="L92" s="139"/>
      <c r="N92" s="139"/>
      <c r="P92" s="139"/>
      <c r="Q92" s="139"/>
      <c r="R92" s="139"/>
      <c r="S92" s="139"/>
      <c r="U92" s="139"/>
      <c r="V92" s="139"/>
      <c r="W92" s="139"/>
    </row>
    <row r="93" spans="1:23" x14ac:dyDescent="0.2">
      <c r="A93" s="141" t="s">
        <v>182</v>
      </c>
      <c r="B93" s="142" t="s">
        <v>108</v>
      </c>
      <c r="C93" s="142" t="s">
        <v>70</v>
      </c>
      <c r="D93" s="139"/>
      <c r="E93" s="139"/>
      <c r="F93" s="139"/>
      <c r="G93" s="139"/>
      <c r="I93" s="139"/>
      <c r="J93" s="139"/>
      <c r="K93" s="139"/>
      <c r="L93" s="139"/>
      <c r="N93" s="139"/>
      <c r="P93" s="139"/>
      <c r="Q93" s="139"/>
      <c r="R93" s="139"/>
      <c r="S93" s="139"/>
      <c r="U93" s="139"/>
      <c r="V93" s="139"/>
      <c r="W93" s="139"/>
    </row>
    <row r="94" spans="1:23" x14ac:dyDescent="0.2">
      <c r="A94" s="141" t="s">
        <v>183</v>
      </c>
      <c r="B94" s="142" t="s">
        <v>108</v>
      </c>
      <c r="C94" s="142" t="s">
        <v>71</v>
      </c>
      <c r="D94" s="139"/>
      <c r="E94" s="139"/>
      <c r="F94" s="139"/>
      <c r="G94" s="139"/>
      <c r="I94" s="139"/>
      <c r="J94" s="139"/>
      <c r="K94" s="139"/>
      <c r="L94" s="139"/>
      <c r="N94" s="139"/>
      <c r="P94" s="139"/>
      <c r="Q94" s="139"/>
      <c r="R94" s="139"/>
      <c r="S94" s="139"/>
      <c r="U94" s="139"/>
      <c r="V94" s="139"/>
      <c r="W94" s="139"/>
    </row>
    <row r="95" spans="1:23" x14ac:dyDescent="0.2">
      <c r="A95" s="141" t="s">
        <v>184</v>
      </c>
      <c r="B95" s="142" t="s">
        <v>108</v>
      </c>
      <c r="C95" s="142" t="s">
        <v>72</v>
      </c>
      <c r="D95" s="139"/>
      <c r="E95" s="139"/>
      <c r="F95" s="139"/>
      <c r="G95" s="139"/>
      <c r="I95" s="139"/>
      <c r="J95" s="139"/>
      <c r="K95" s="139"/>
      <c r="L95" s="139"/>
      <c r="N95" s="139"/>
      <c r="P95" s="139"/>
      <c r="Q95" s="139"/>
      <c r="R95" s="139"/>
      <c r="S95" s="139"/>
      <c r="U95" s="139"/>
      <c r="V95" s="139"/>
      <c r="W95" s="139"/>
    </row>
    <row r="96" spans="1:23" x14ac:dyDescent="0.2">
      <c r="A96" s="141" t="s">
        <v>185</v>
      </c>
      <c r="B96" s="142" t="s">
        <v>108</v>
      </c>
      <c r="C96" s="142" t="s">
        <v>73</v>
      </c>
      <c r="D96" s="139"/>
      <c r="E96" s="139"/>
      <c r="F96" s="139"/>
      <c r="G96" s="139"/>
      <c r="I96" s="139"/>
      <c r="J96" s="139"/>
      <c r="K96" s="139"/>
      <c r="L96" s="139"/>
      <c r="N96" s="139"/>
      <c r="P96" s="139"/>
      <c r="Q96" s="139"/>
      <c r="R96" s="139"/>
      <c r="S96" s="139"/>
      <c r="U96" s="139"/>
      <c r="V96" s="139"/>
      <c r="W96" s="139"/>
    </row>
    <row r="97" spans="1:24" x14ac:dyDescent="0.2">
      <c r="A97" s="141" t="s">
        <v>186</v>
      </c>
      <c r="B97" s="142" t="s">
        <v>108</v>
      </c>
      <c r="C97" s="142" t="s">
        <v>74</v>
      </c>
      <c r="D97" s="139"/>
      <c r="E97" s="139"/>
      <c r="F97" s="139"/>
      <c r="G97" s="139"/>
      <c r="I97" s="139"/>
      <c r="J97" s="139"/>
      <c r="K97" s="139"/>
      <c r="L97" s="139"/>
      <c r="N97" s="139"/>
      <c r="P97" s="139"/>
      <c r="Q97" s="139"/>
      <c r="R97" s="139"/>
      <c r="S97" s="139"/>
      <c r="U97" s="139"/>
      <c r="V97" s="139"/>
      <c r="W97" s="139"/>
    </row>
    <row r="98" spans="1:24" x14ac:dyDescent="0.2">
      <c r="A98" s="141" t="s">
        <v>187</v>
      </c>
      <c r="B98" s="142" t="s">
        <v>108</v>
      </c>
      <c r="C98" s="142" t="s">
        <v>75</v>
      </c>
      <c r="D98" s="139"/>
      <c r="E98" s="139"/>
      <c r="F98" s="139"/>
      <c r="G98" s="139"/>
      <c r="I98" s="139"/>
      <c r="J98" s="139"/>
      <c r="K98" s="139"/>
      <c r="L98" s="139"/>
      <c r="N98" s="139"/>
      <c r="P98" s="139"/>
      <c r="Q98" s="139"/>
      <c r="R98" s="139"/>
      <c r="S98" s="139"/>
      <c r="U98" s="139"/>
      <c r="V98" s="139"/>
      <c r="W98" s="139"/>
    </row>
    <row r="99" spans="1:24" x14ac:dyDescent="0.2">
      <c r="A99" s="141" t="s">
        <v>188</v>
      </c>
      <c r="B99" s="142" t="s">
        <v>108</v>
      </c>
      <c r="C99" s="142" t="s">
        <v>76</v>
      </c>
      <c r="D99" s="139"/>
      <c r="E99" s="139"/>
      <c r="F99" s="139"/>
      <c r="G99" s="139"/>
      <c r="I99" s="139"/>
      <c r="J99" s="139"/>
      <c r="K99" s="139"/>
      <c r="L99" s="139"/>
      <c r="N99" s="139"/>
      <c r="P99" s="139"/>
      <c r="Q99" s="139"/>
      <c r="R99" s="139"/>
      <c r="S99" s="139"/>
      <c r="U99" s="139"/>
      <c r="V99" s="139"/>
      <c r="W99" s="139"/>
    </row>
    <row r="100" spans="1:24" x14ac:dyDescent="0.2">
      <c r="A100" s="141" t="s">
        <v>189</v>
      </c>
      <c r="B100" s="142" t="s">
        <v>108</v>
      </c>
      <c r="C100" s="142" t="s">
        <v>24</v>
      </c>
      <c r="D100" s="139"/>
      <c r="E100" s="139"/>
      <c r="F100" s="139"/>
      <c r="G100" s="139"/>
      <c r="I100" s="139"/>
      <c r="J100" s="139"/>
      <c r="K100" s="139"/>
      <c r="L100" s="139"/>
      <c r="N100" s="139"/>
      <c r="P100" s="139"/>
      <c r="Q100" s="139"/>
      <c r="R100" s="139"/>
      <c r="S100" s="139"/>
      <c r="U100" s="139"/>
      <c r="V100" s="139"/>
      <c r="W100" s="139"/>
    </row>
    <row r="101" spans="1:24" x14ac:dyDescent="0.2">
      <c r="A101" s="138" t="str">
        <f t="shared" ref="A101" si="9">B101&amp;RIGHT(C101,2)</f>
        <v>TMS12</v>
      </c>
      <c r="B101" s="19" t="s">
        <v>31</v>
      </c>
      <c r="C101" s="143" t="s">
        <v>64</v>
      </c>
      <c r="D101" s="139"/>
      <c r="E101" s="139"/>
      <c r="F101" s="139"/>
      <c r="G101" s="139"/>
      <c r="I101" s="139"/>
      <c r="J101" s="139"/>
      <c r="K101" s="139"/>
      <c r="L101" s="139"/>
      <c r="N101" s="139"/>
      <c r="P101" s="139"/>
      <c r="Q101" s="139"/>
      <c r="R101" s="139"/>
      <c r="S101" s="139"/>
      <c r="U101" s="139"/>
      <c r="V101" s="139"/>
      <c r="W101" s="139"/>
    </row>
    <row r="102" spans="1:24" x14ac:dyDescent="0.2">
      <c r="A102" s="138" t="str">
        <f>B102&amp;RIGHT(C102,2)</f>
        <v>TMS13</v>
      </c>
      <c r="B102" s="19" t="s">
        <v>31</v>
      </c>
      <c r="C102" s="143" t="s">
        <v>65</v>
      </c>
      <c r="D102" s="139"/>
      <c r="E102" s="139"/>
      <c r="F102" s="139"/>
      <c r="G102" s="139"/>
      <c r="I102" s="139"/>
      <c r="J102" s="139"/>
      <c r="K102" s="139"/>
      <c r="L102" s="139"/>
      <c r="N102" s="139"/>
      <c r="P102" s="139"/>
      <c r="Q102" s="139"/>
      <c r="R102" s="139"/>
      <c r="S102" s="139"/>
      <c r="U102" s="139"/>
      <c r="V102" s="139"/>
      <c r="W102" s="139"/>
    </row>
    <row r="103" spans="1:24" x14ac:dyDescent="0.2">
      <c r="A103" s="138" t="str">
        <f>B103&amp;RIGHT(C103,2)</f>
        <v>TMS14</v>
      </c>
      <c r="B103" s="19" t="s">
        <v>31</v>
      </c>
      <c r="C103" s="143" t="s">
        <v>66</v>
      </c>
      <c r="D103" s="139"/>
      <c r="E103" s="139"/>
      <c r="F103" s="139"/>
      <c r="G103" s="139"/>
      <c r="I103" s="139"/>
      <c r="J103" s="139"/>
      <c r="K103" s="139"/>
      <c r="L103" s="139"/>
      <c r="N103" s="139"/>
      <c r="O103" s="144"/>
      <c r="P103" s="139"/>
      <c r="Q103" s="139"/>
      <c r="R103" s="139"/>
      <c r="S103" s="139"/>
      <c r="U103" s="139"/>
      <c r="V103" s="139"/>
      <c r="W103" s="139"/>
    </row>
    <row r="104" spans="1:24" x14ac:dyDescent="0.2">
      <c r="A104" s="138" t="str">
        <f>B104&amp;RIGHT(C104,2)</f>
        <v>TMS15</v>
      </c>
      <c r="B104" s="19" t="s">
        <v>31</v>
      </c>
      <c r="C104" s="143" t="s">
        <v>67</v>
      </c>
      <c r="D104" s="139"/>
      <c r="E104" s="139"/>
      <c r="F104" s="139"/>
      <c r="G104" s="139"/>
      <c r="I104" s="139"/>
      <c r="J104" s="139"/>
      <c r="K104" s="139"/>
      <c r="L104" s="139"/>
      <c r="N104" s="139"/>
      <c r="O104" s="144"/>
      <c r="P104" s="139"/>
      <c r="Q104" s="139"/>
      <c r="R104" s="139"/>
      <c r="S104" s="139"/>
      <c r="U104" s="139"/>
      <c r="V104" s="139"/>
      <c r="W104" s="139"/>
    </row>
    <row r="105" spans="1:24" x14ac:dyDescent="0.2">
      <c r="A105" s="138" t="str">
        <f>B105&amp;RIGHT(C105,2)</f>
        <v>TMS16</v>
      </c>
      <c r="B105" s="19" t="s">
        <v>31</v>
      </c>
      <c r="C105" s="143" t="s">
        <v>68</v>
      </c>
      <c r="D105" s="139"/>
      <c r="E105" s="139"/>
      <c r="F105" s="139"/>
      <c r="G105" s="139"/>
      <c r="I105" s="139"/>
      <c r="J105" s="139"/>
      <c r="K105" s="139"/>
      <c r="L105" s="139"/>
      <c r="N105" s="139"/>
      <c r="O105" s="144"/>
      <c r="P105" s="139"/>
      <c r="Q105" s="139"/>
      <c r="R105" s="139"/>
      <c r="S105" s="139"/>
      <c r="U105" s="139"/>
      <c r="V105" s="139"/>
      <c r="W105" s="139"/>
    </row>
    <row r="106" spans="1:24" x14ac:dyDescent="0.2">
      <c r="A106" s="138" t="str">
        <f>B106&amp;RIGHT(C106,2)</f>
        <v>TMS17</v>
      </c>
      <c r="B106" s="19" t="s">
        <v>31</v>
      </c>
      <c r="C106" s="143" t="s">
        <v>69</v>
      </c>
      <c r="D106" s="139"/>
      <c r="E106" s="139"/>
      <c r="F106" s="139"/>
      <c r="G106" s="139"/>
      <c r="I106" s="139"/>
      <c r="J106" s="139"/>
      <c r="K106" s="139"/>
      <c r="L106" s="139"/>
      <c r="N106" s="139"/>
      <c r="O106" s="144"/>
      <c r="P106" s="139"/>
      <c r="Q106" s="139"/>
      <c r="R106" s="139"/>
      <c r="S106" s="139"/>
      <c r="U106" s="139"/>
      <c r="V106" s="139"/>
      <c r="W106" s="139"/>
    </row>
    <row r="107" spans="1:24" x14ac:dyDescent="0.2">
      <c r="A107" s="141" t="s">
        <v>190</v>
      </c>
      <c r="B107" s="142" t="s">
        <v>31</v>
      </c>
      <c r="C107" s="142" t="s">
        <v>70</v>
      </c>
      <c r="D107" s="139"/>
      <c r="E107" s="139"/>
      <c r="F107" s="139"/>
      <c r="G107" s="139"/>
      <c r="I107" s="139"/>
      <c r="J107" s="139"/>
      <c r="K107" s="139"/>
      <c r="L107" s="139"/>
      <c r="N107" s="139"/>
      <c r="O107" s="144"/>
      <c r="P107" s="139"/>
      <c r="Q107" s="139"/>
      <c r="R107" s="139"/>
      <c r="S107" s="139"/>
      <c r="U107" s="139"/>
      <c r="V107" s="139"/>
      <c r="W107" s="139"/>
    </row>
    <row r="108" spans="1:24" x14ac:dyDescent="0.2">
      <c r="A108" s="141" t="s">
        <v>191</v>
      </c>
      <c r="B108" s="142" t="s">
        <v>31</v>
      </c>
      <c r="C108" s="142" t="s">
        <v>71</v>
      </c>
      <c r="D108" s="139"/>
      <c r="E108" s="139"/>
      <c r="F108" s="139"/>
      <c r="G108" s="139"/>
      <c r="I108" s="139"/>
      <c r="J108" s="139"/>
      <c r="K108" s="139"/>
      <c r="L108" s="139"/>
      <c r="N108" s="139"/>
      <c r="O108" s="144"/>
      <c r="P108" s="139"/>
      <c r="Q108" s="139"/>
      <c r="R108" s="139"/>
      <c r="S108" s="139"/>
      <c r="U108" s="139"/>
      <c r="V108" s="139"/>
      <c r="W108" s="139"/>
    </row>
    <row r="109" spans="1:24" x14ac:dyDescent="0.2">
      <c r="A109" s="141" t="s">
        <v>192</v>
      </c>
      <c r="B109" s="142" t="s">
        <v>31</v>
      </c>
      <c r="C109" s="142" t="s">
        <v>72</v>
      </c>
      <c r="D109" s="139"/>
      <c r="E109" s="139"/>
      <c r="F109" s="139"/>
      <c r="G109" s="139"/>
      <c r="I109" s="139"/>
      <c r="J109" s="139"/>
      <c r="K109" s="139"/>
      <c r="L109" s="139"/>
      <c r="N109" s="139"/>
      <c r="O109" s="144"/>
      <c r="P109" s="139"/>
      <c r="Q109" s="139"/>
      <c r="R109" s="139"/>
      <c r="S109" s="139"/>
      <c r="U109" s="139"/>
      <c r="V109" s="139"/>
      <c r="W109" s="139"/>
    </row>
    <row r="110" spans="1:24" x14ac:dyDescent="0.2">
      <c r="A110" s="141" t="s">
        <v>193</v>
      </c>
      <c r="B110" s="142" t="s">
        <v>31</v>
      </c>
      <c r="C110" s="142" t="s">
        <v>73</v>
      </c>
      <c r="D110" s="139"/>
      <c r="E110" s="274">
        <v>0.1421656499</v>
      </c>
      <c r="F110" s="139"/>
      <c r="G110" s="139"/>
      <c r="I110" s="139"/>
      <c r="J110" s="139"/>
      <c r="K110" s="139"/>
      <c r="L110" s="139"/>
      <c r="N110" s="139"/>
      <c r="O110" s="144"/>
      <c r="P110" s="139"/>
      <c r="Q110" s="139"/>
      <c r="R110" s="139"/>
      <c r="S110" s="139"/>
      <c r="U110" s="139"/>
      <c r="V110" s="139"/>
      <c r="W110" s="139"/>
      <c r="X110" s="7" t="s">
        <v>824</v>
      </c>
    </row>
    <row r="111" spans="1:24" x14ac:dyDescent="0.2">
      <c r="A111" s="141" t="s">
        <v>194</v>
      </c>
      <c r="B111" s="142" t="s">
        <v>31</v>
      </c>
      <c r="C111" s="142" t="s">
        <v>74</v>
      </c>
      <c r="D111" s="139"/>
      <c r="E111" s="274">
        <v>2.8540393028</v>
      </c>
      <c r="F111" s="139"/>
      <c r="G111" s="139"/>
      <c r="I111" s="139"/>
      <c r="J111" s="139"/>
      <c r="K111" s="139"/>
      <c r="L111" s="139"/>
      <c r="N111" s="139"/>
      <c r="O111" s="144"/>
      <c r="P111" s="139"/>
      <c r="Q111" s="139"/>
      <c r="R111" s="139"/>
      <c r="S111" s="139"/>
      <c r="U111" s="139"/>
      <c r="V111" s="139"/>
      <c r="W111" s="139"/>
      <c r="X111" s="7" t="s">
        <v>824</v>
      </c>
    </row>
    <row r="112" spans="1:24" x14ac:dyDescent="0.2">
      <c r="A112" s="141" t="s">
        <v>195</v>
      </c>
      <c r="B112" s="142" t="s">
        <v>31</v>
      </c>
      <c r="C112" s="142" t="s">
        <v>75</v>
      </c>
      <c r="D112" s="139"/>
      <c r="E112" s="274">
        <v>12.2789301427</v>
      </c>
      <c r="F112" s="139"/>
      <c r="G112" s="139"/>
      <c r="I112" s="139"/>
      <c r="J112" s="139"/>
      <c r="K112" s="139"/>
      <c r="L112" s="139"/>
      <c r="N112" s="139"/>
      <c r="O112" s="144"/>
      <c r="P112" s="139"/>
      <c r="Q112" s="139"/>
      <c r="R112" s="139"/>
      <c r="S112" s="139"/>
      <c r="U112" s="139"/>
      <c r="V112" s="139"/>
      <c r="W112" s="139"/>
      <c r="X112" s="7" t="s">
        <v>824</v>
      </c>
    </row>
    <row r="113" spans="1:24" x14ac:dyDescent="0.2">
      <c r="A113" s="141" t="s">
        <v>196</v>
      </c>
      <c r="B113" s="142" t="s">
        <v>31</v>
      </c>
      <c r="C113" s="142" t="s">
        <v>76</v>
      </c>
      <c r="D113" s="139"/>
      <c r="E113" s="274">
        <v>11.297931478400001</v>
      </c>
      <c r="F113" s="139"/>
      <c r="G113" s="139"/>
      <c r="I113" s="139"/>
      <c r="J113" s="139"/>
      <c r="K113" s="139"/>
      <c r="L113" s="139"/>
      <c r="N113" s="139"/>
      <c r="O113" s="144"/>
      <c r="P113" s="139"/>
      <c r="Q113" s="139"/>
      <c r="R113" s="139"/>
      <c r="S113" s="139"/>
      <c r="U113" s="139"/>
      <c r="V113" s="139"/>
      <c r="W113" s="139"/>
      <c r="X113" s="7" t="s">
        <v>824</v>
      </c>
    </row>
    <row r="114" spans="1:24" x14ac:dyDescent="0.2">
      <c r="A114" s="141" t="s">
        <v>197</v>
      </c>
      <c r="B114" s="142" t="s">
        <v>31</v>
      </c>
      <c r="C114" s="142" t="s">
        <v>24</v>
      </c>
      <c r="D114" s="139"/>
      <c r="E114" s="274">
        <v>9.9155806562999995</v>
      </c>
      <c r="F114" s="139"/>
      <c r="G114" s="139"/>
      <c r="I114" s="139"/>
      <c r="J114" s="139"/>
      <c r="K114" s="139"/>
      <c r="L114" s="139"/>
      <c r="N114" s="139"/>
      <c r="O114" s="144"/>
      <c r="P114" s="139"/>
      <c r="Q114" s="139"/>
      <c r="R114" s="139"/>
      <c r="S114" s="139"/>
      <c r="U114" s="139"/>
      <c r="V114" s="139"/>
      <c r="W114" s="139"/>
      <c r="X114" s="7" t="s">
        <v>824</v>
      </c>
    </row>
    <row r="115" spans="1:24" x14ac:dyDescent="0.2">
      <c r="A115" s="138" t="str">
        <f t="shared" ref="A115" si="10">B115&amp;RIGHT(C115,2)</f>
        <v>WSH12</v>
      </c>
      <c r="B115" s="19" t="s">
        <v>27</v>
      </c>
      <c r="C115" s="143" t="s">
        <v>64</v>
      </c>
      <c r="D115" s="139"/>
      <c r="E115" s="139"/>
      <c r="F115" s="139"/>
      <c r="G115" s="139"/>
      <c r="I115" s="139"/>
      <c r="J115" s="139"/>
      <c r="K115" s="139"/>
      <c r="L115" s="139"/>
      <c r="N115" s="139"/>
      <c r="O115" s="144"/>
      <c r="P115" s="139"/>
      <c r="Q115" s="139"/>
      <c r="R115" s="139"/>
      <c r="S115" s="139"/>
      <c r="U115" s="139"/>
      <c r="V115" s="139"/>
      <c r="W115" s="139"/>
    </row>
    <row r="116" spans="1:24" x14ac:dyDescent="0.2">
      <c r="A116" s="138" t="str">
        <f>B116&amp;RIGHT(C116,2)</f>
        <v>WSH13</v>
      </c>
      <c r="B116" s="19" t="s">
        <v>27</v>
      </c>
      <c r="C116" s="143" t="s">
        <v>65</v>
      </c>
      <c r="D116" s="139"/>
      <c r="E116" s="139"/>
      <c r="F116" s="139"/>
      <c r="G116" s="139"/>
      <c r="I116" s="139"/>
      <c r="J116" s="139"/>
      <c r="K116" s="139"/>
      <c r="L116" s="139"/>
      <c r="N116" s="139"/>
      <c r="O116" s="144"/>
      <c r="P116" s="139"/>
      <c r="Q116" s="139"/>
      <c r="R116" s="139"/>
      <c r="S116" s="139"/>
      <c r="U116" s="139"/>
      <c r="V116" s="139"/>
      <c r="W116" s="139"/>
    </row>
    <row r="117" spans="1:24" x14ac:dyDescent="0.2">
      <c r="A117" s="138" t="str">
        <f>B117&amp;RIGHT(C117,2)</f>
        <v>WSH14</v>
      </c>
      <c r="B117" s="19" t="s">
        <v>27</v>
      </c>
      <c r="C117" s="143" t="s">
        <v>66</v>
      </c>
      <c r="D117" s="139"/>
      <c r="E117" s="139"/>
      <c r="F117" s="139"/>
      <c r="G117" s="139"/>
      <c r="I117" s="139"/>
      <c r="J117" s="139"/>
      <c r="K117" s="139"/>
      <c r="L117" s="139"/>
      <c r="N117" s="139"/>
      <c r="O117" s="144"/>
      <c r="P117" s="139"/>
      <c r="Q117" s="139"/>
      <c r="R117" s="139"/>
      <c r="S117" s="139"/>
      <c r="U117" s="139"/>
      <c r="V117" s="139"/>
      <c r="W117" s="139"/>
    </row>
    <row r="118" spans="1:24" x14ac:dyDescent="0.2">
      <c r="A118" s="138" t="str">
        <f>B118&amp;RIGHT(C118,2)</f>
        <v>WSH15</v>
      </c>
      <c r="B118" s="19" t="s">
        <v>27</v>
      </c>
      <c r="C118" s="143" t="s">
        <v>67</v>
      </c>
      <c r="D118" s="139"/>
      <c r="E118" s="139"/>
      <c r="F118" s="139"/>
      <c r="G118" s="139"/>
      <c r="I118" s="139"/>
      <c r="J118" s="139"/>
      <c r="K118" s="139"/>
      <c r="L118" s="139"/>
      <c r="N118" s="139"/>
      <c r="O118" s="144"/>
      <c r="P118" s="139"/>
      <c r="Q118" s="139"/>
      <c r="R118" s="139"/>
      <c r="S118" s="139"/>
      <c r="U118" s="139"/>
      <c r="V118" s="139"/>
      <c r="W118" s="139"/>
    </row>
    <row r="119" spans="1:24" x14ac:dyDescent="0.2">
      <c r="A119" s="138" t="str">
        <f>B119&amp;RIGHT(C119,2)</f>
        <v>WSH16</v>
      </c>
      <c r="B119" s="19" t="s">
        <v>27</v>
      </c>
      <c r="C119" s="143" t="s">
        <v>68</v>
      </c>
      <c r="D119" s="139"/>
      <c r="E119" s="139"/>
      <c r="F119" s="139"/>
      <c r="G119" s="139"/>
      <c r="I119" s="139"/>
      <c r="J119" s="139"/>
      <c r="K119" s="139"/>
      <c r="L119" s="139"/>
      <c r="N119" s="139"/>
      <c r="O119" s="144"/>
      <c r="P119" s="139"/>
      <c r="Q119" s="139"/>
      <c r="R119" s="139"/>
      <c r="S119" s="139"/>
      <c r="U119" s="139"/>
      <c r="V119" s="139"/>
      <c r="W119" s="139"/>
    </row>
    <row r="120" spans="1:24" x14ac:dyDescent="0.2">
      <c r="A120" s="138" t="str">
        <f>B120&amp;RIGHT(C120,2)</f>
        <v>WSH17</v>
      </c>
      <c r="B120" s="19" t="s">
        <v>27</v>
      </c>
      <c r="C120" s="143" t="s">
        <v>69</v>
      </c>
      <c r="D120" s="139"/>
      <c r="E120" s="139"/>
      <c r="F120" s="139"/>
      <c r="G120" s="139"/>
      <c r="I120" s="139"/>
      <c r="J120" s="139"/>
      <c r="K120" s="139"/>
      <c r="L120" s="139"/>
      <c r="N120" s="139"/>
      <c r="O120" s="144"/>
      <c r="P120" s="139"/>
      <c r="Q120" s="139"/>
      <c r="R120" s="139"/>
      <c r="S120" s="139"/>
      <c r="U120" s="139"/>
      <c r="V120" s="139"/>
      <c r="W120" s="139"/>
    </row>
    <row r="121" spans="1:24" x14ac:dyDescent="0.2">
      <c r="A121" s="141" t="s">
        <v>198</v>
      </c>
      <c r="B121" s="142" t="s">
        <v>27</v>
      </c>
      <c r="C121" s="142" t="s">
        <v>70</v>
      </c>
      <c r="D121" s="139"/>
      <c r="E121" s="139"/>
      <c r="F121" s="139"/>
      <c r="G121" s="139"/>
      <c r="I121" s="139"/>
      <c r="J121" s="139"/>
      <c r="K121" s="139"/>
      <c r="L121" s="139"/>
      <c r="N121" s="139"/>
      <c r="O121" s="144"/>
      <c r="P121" s="139"/>
      <c r="Q121" s="139"/>
      <c r="R121" s="139"/>
      <c r="S121" s="139"/>
      <c r="U121" s="139"/>
      <c r="V121" s="139"/>
      <c r="W121" s="139"/>
    </row>
    <row r="122" spans="1:24" x14ac:dyDescent="0.2">
      <c r="A122" s="141" t="s">
        <v>199</v>
      </c>
      <c r="B122" s="142" t="s">
        <v>27</v>
      </c>
      <c r="C122" s="142" t="s">
        <v>71</v>
      </c>
      <c r="D122" s="139"/>
      <c r="E122" s="139"/>
      <c r="F122" s="139"/>
      <c r="G122" s="139"/>
      <c r="I122" s="139"/>
      <c r="J122" s="139"/>
      <c r="K122" s="139"/>
      <c r="L122" s="139"/>
      <c r="N122" s="139"/>
      <c r="O122" s="144"/>
      <c r="P122" s="139"/>
      <c r="Q122" s="139"/>
      <c r="R122" s="139"/>
      <c r="S122" s="139"/>
      <c r="U122" s="139"/>
      <c r="V122" s="139"/>
      <c r="W122" s="139"/>
    </row>
    <row r="123" spans="1:24" x14ac:dyDescent="0.2">
      <c r="A123" s="141" t="s">
        <v>200</v>
      </c>
      <c r="B123" s="142" t="s">
        <v>27</v>
      </c>
      <c r="C123" s="142" t="s">
        <v>72</v>
      </c>
      <c r="D123" s="139"/>
      <c r="E123" s="139"/>
      <c r="F123" s="139"/>
      <c r="G123" s="139"/>
      <c r="I123" s="139"/>
      <c r="J123" s="139"/>
      <c r="K123" s="139"/>
      <c r="L123" s="139"/>
      <c r="N123" s="139"/>
      <c r="O123" s="144"/>
      <c r="P123" s="139"/>
      <c r="Q123" s="139"/>
      <c r="R123" s="139"/>
      <c r="S123" s="139"/>
      <c r="U123" s="139"/>
      <c r="V123" s="139"/>
      <c r="W123" s="139"/>
    </row>
    <row r="124" spans="1:24" x14ac:dyDescent="0.2">
      <c r="A124" s="141" t="s">
        <v>201</v>
      </c>
      <c r="B124" s="142" t="s">
        <v>27</v>
      </c>
      <c r="C124" s="142" t="s">
        <v>73</v>
      </c>
      <c r="D124" s="139"/>
      <c r="E124" s="139"/>
      <c r="F124" s="139"/>
      <c r="G124" s="139"/>
      <c r="I124" s="139"/>
      <c r="J124" s="139"/>
      <c r="K124" s="139"/>
      <c r="L124" s="139"/>
      <c r="N124" s="139"/>
      <c r="O124" s="144"/>
      <c r="P124" s="139"/>
      <c r="Q124" s="139"/>
      <c r="R124" s="139"/>
      <c r="S124" s="139"/>
      <c r="U124" s="139"/>
      <c r="V124" s="139"/>
      <c r="W124" s="139"/>
    </row>
    <row r="125" spans="1:24" x14ac:dyDescent="0.2">
      <c r="A125" s="141" t="s">
        <v>202</v>
      </c>
      <c r="B125" s="142" t="s">
        <v>27</v>
      </c>
      <c r="C125" s="142" t="s">
        <v>74</v>
      </c>
      <c r="D125" s="139"/>
      <c r="E125" s="139"/>
      <c r="F125" s="139"/>
      <c r="G125" s="139"/>
      <c r="I125" s="139"/>
      <c r="J125" s="139"/>
      <c r="K125" s="139"/>
      <c r="L125" s="139"/>
      <c r="N125" s="139"/>
      <c r="O125" s="144"/>
      <c r="P125" s="139"/>
      <c r="Q125" s="139"/>
      <c r="R125" s="139"/>
      <c r="S125" s="139"/>
      <c r="U125" s="139"/>
      <c r="V125" s="139"/>
      <c r="W125" s="139"/>
    </row>
    <row r="126" spans="1:24" x14ac:dyDescent="0.2">
      <c r="A126" s="141" t="s">
        <v>203</v>
      </c>
      <c r="B126" s="142" t="s">
        <v>27</v>
      </c>
      <c r="C126" s="142" t="s">
        <v>75</v>
      </c>
      <c r="D126" s="139"/>
      <c r="E126" s="139"/>
      <c r="F126" s="139"/>
      <c r="G126" s="139"/>
      <c r="I126" s="139"/>
      <c r="J126" s="139"/>
      <c r="K126" s="139"/>
      <c r="L126" s="139"/>
      <c r="N126" s="139"/>
      <c r="O126" s="144"/>
      <c r="P126" s="139"/>
      <c r="Q126" s="139"/>
      <c r="R126" s="139"/>
      <c r="S126" s="139"/>
      <c r="U126" s="139"/>
      <c r="V126" s="139"/>
      <c r="W126" s="139"/>
    </row>
    <row r="127" spans="1:24" x14ac:dyDescent="0.2">
      <c r="A127" s="141" t="s">
        <v>204</v>
      </c>
      <c r="B127" s="142" t="s">
        <v>27</v>
      </c>
      <c r="C127" s="142" t="s">
        <v>76</v>
      </c>
      <c r="D127" s="139"/>
      <c r="E127" s="139"/>
      <c r="F127" s="139"/>
      <c r="G127" s="139"/>
      <c r="I127" s="139"/>
      <c r="J127" s="139"/>
      <c r="K127" s="139"/>
      <c r="L127" s="139"/>
      <c r="N127" s="139"/>
      <c r="O127" s="144"/>
      <c r="P127" s="139"/>
      <c r="Q127" s="139"/>
      <c r="R127" s="139"/>
      <c r="S127" s="139"/>
      <c r="U127" s="139"/>
      <c r="V127" s="139"/>
      <c r="W127" s="139"/>
    </row>
    <row r="128" spans="1:24" x14ac:dyDescent="0.2">
      <c r="A128" s="141" t="s">
        <v>205</v>
      </c>
      <c r="B128" s="142" t="s">
        <v>27</v>
      </c>
      <c r="C128" s="142" t="s">
        <v>24</v>
      </c>
      <c r="D128" s="139"/>
      <c r="E128" s="139"/>
      <c r="F128" s="139"/>
      <c r="G128" s="139"/>
      <c r="I128" s="139"/>
      <c r="J128" s="139"/>
      <c r="K128" s="139"/>
      <c r="L128" s="139"/>
      <c r="N128" s="139"/>
      <c r="O128" s="144"/>
      <c r="P128" s="139"/>
      <c r="Q128" s="139"/>
      <c r="R128" s="139"/>
      <c r="S128" s="139"/>
      <c r="U128" s="139"/>
      <c r="V128" s="139"/>
      <c r="W128" s="139"/>
    </row>
    <row r="129" spans="1:23" x14ac:dyDescent="0.2">
      <c r="A129" s="138" t="str">
        <f t="shared" ref="A129" si="11">B129&amp;RIGHT(C129,2)</f>
        <v>WSX12</v>
      </c>
      <c r="B129" s="19" t="s">
        <v>33</v>
      </c>
      <c r="C129" s="143" t="s">
        <v>64</v>
      </c>
      <c r="D129" s="139"/>
      <c r="E129" s="139"/>
      <c r="F129" s="139"/>
      <c r="G129" s="139"/>
      <c r="I129" s="139"/>
      <c r="J129" s="139"/>
      <c r="K129" s="139"/>
      <c r="L129" s="139"/>
      <c r="N129" s="139"/>
      <c r="O129" s="144"/>
      <c r="P129" s="139"/>
      <c r="Q129" s="139"/>
      <c r="R129" s="139"/>
      <c r="S129" s="139"/>
      <c r="U129" s="139"/>
      <c r="V129" s="139"/>
      <c r="W129" s="139"/>
    </row>
    <row r="130" spans="1:23" x14ac:dyDescent="0.2">
      <c r="A130" s="138" t="str">
        <f>B130&amp;RIGHT(C130,2)</f>
        <v>WSX13</v>
      </c>
      <c r="B130" s="19" t="s">
        <v>33</v>
      </c>
      <c r="C130" s="143" t="s">
        <v>65</v>
      </c>
      <c r="D130" s="139"/>
      <c r="E130" s="139"/>
      <c r="F130" s="139"/>
      <c r="G130" s="139"/>
      <c r="I130" s="139"/>
      <c r="J130" s="139"/>
      <c r="K130" s="139"/>
      <c r="L130" s="139"/>
      <c r="N130" s="139"/>
      <c r="O130" s="144"/>
      <c r="P130" s="139"/>
      <c r="Q130" s="139"/>
      <c r="R130" s="139"/>
      <c r="S130" s="139"/>
      <c r="U130" s="139"/>
      <c r="V130" s="139"/>
      <c r="W130" s="139"/>
    </row>
    <row r="131" spans="1:23" x14ac:dyDescent="0.2">
      <c r="A131" s="138" t="str">
        <f>B131&amp;RIGHT(C131,2)</f>
        <v>WSX14</v>
      </c>
      <c r="B131" s="19" t="s">
        <v>33</v>
      </c>
      <c r="C131" s="143" t="s">
        <v>66</v>
      </c>
      <c r="D131" s="139"/>
      <c r="E131" s="139"/>
      <c r="F131" s="139"/>
      <c r="G131" s="139"/>
      <c r="I131" s="139"/>
      <c r="J131" s="139"/>
      <c r="K131" s="139"/>
      <c r="L131" s="139"/>
      <c r="N131" s="139"/>
      <c r="O131" s="144"/>
      <c r="P131" s="139"/>
      <c r="Q131" s="139"/>
      <c r="R131" s="139"/>
      <c r="S131" s="139"/>
      <c r="U131" s="139"/>
      <c r="V131" s="139"/>
      <c r="W131" s="139"/>
    </row>
    <row r="132" spans="1:23" x14ac:dyDescent="0.2">
      <c r="A132" s="138" t="str">
        <f>B132&amp;RIGHT(C132,2)</f>
        <v>WSX15</v>
      </c>
      <c r="B132" s="19" t="s">
        <v>33</v>
      </c>
      <c r="C132" s="143" t="s">
        <v>67</v>
      </c>
      <c r="D132" s="139"/>
      <c r="E132" s="139"/>
      <c r="F132" s="139"/>
      <c r="G132" s="139"/>
      <c r="I132" s="139"/>
      <c r="J132" s="139"/>
      <c r="K132" s="139"/>
      <c r="L132" s="139"/>
      <c r="N132" s="139"/>
      <c r="O132" s="144"/>
      <c r="P132" s="139"/>
      <c r="Q132" s="139"/>
      <c r="R132" s="139"/>
      <c r="S132" s="139"/>
      <c r="U132" s="139"/>
      <c r="V132" s="139"/>
      <c r="W132" s="139"/>
    </row>
    <row r="133" spans="1:23" x14ac:dyDescent="0.2">
      <c r="A133" s="138" t="str">
        <f>B133&amp;RIGHT(C133,2)</f>
        <v>WSX16</v>
      </c>
      <c r="B133" s="19" t="s">
        <v>33</v>
      </c>
      <c r="C133" s="143" t="s">
        <v>68</v>
      </c>
      <c r="D133" s="139"/>
      <c r="E133" s="139"/>
      <c r="F133" s="139"/>
      <c r="G133" s="139"/>
      <c r="I133" s="139"/>
      <c r="J133" s="139"/>
      <c r="K133" s="139"/>
      <c r="L133" s="139"/>
      <c r="N133" s="139"/>
      <c r="O133" s="144"/>
      <c r="P133" s="139"/>
      <c r="Q133" s="139"/>
      <c r="R133" s="139"/>
      <c r="S133" s="139"/>
      <c r="U133" s="139"/>
      <c r="V133" s="139"/>
      <c r="W133" s="139"/>
    </row>
    <row r="134" spans="1:23" x14ac:dyDescent="0.2">
      <c r="A134" s="138" t="str">
        <f>B134&amp;RIGHT(C134,2)</f>
        <v>WSX17</v>
      </c>
      <c r="B134" s="19" t="s">
        <v>33</v>
      </c>
      <c r="C134" s="143" t="s">
        <v>69</v>
      </c>
      <c r="D134" s="139"/>
      <c r="E134" s="139"/>
      <c r="F134" s="139"/>
      <c r="G134" s="139"/>
      <c r="I134" s="139"/>
      <c r="J134" s="139"/>
      <c r="K134" s="139"/>
      <c r="L134" s="139"/>
      <c r="N134" s="139"/>
      <c r="O134" s="144"/>
      <c r="P134" s="139"/>
      <c r="Q134" s="139"/>
      <c r="R134" s="139"/>
      <c r="S134" s="139"/>
      <c r="U134" s="139"/>
      <c r="V134" s="139"/>
      <c r="W134" s="139"/>
    </row>
    <row r="135" spans="1:23" x14ac:dyDescent="0.2">
      <c r="A135" s="141" t="s">
        <v>206</v>
      </c>
      <c r="B135" s="142" t="s">
        <v>33</v>
      </c>
      <c r="C135" s="142" t="s">
        <v>70</v>
      </c>
      <c r="D135" s="139"/>
      <c r="E135" s="139"/>
      <c r="F135" s="139"/>
      <c r="G135" s="139"/>
      <c r="I135" s="139"/>
      <c r="J135" s="139"/>
      <c r="K135" s="139"/>
      <c r="L135" s="139"/>
      <c r="N135" s="139"/>
      <c r="O135" s="144"/>
      <c r="P135" s="139"/>
      <c r="Q135" s="139"/>
      <c r="R135" s="139"/>
      <c r="S135" s="139"/>
      <c r="U135" s="139"/>
      <c r="V135" s="139"/>
      <c r="W135" s="139"/>
    </row>
    <row r="136" spans="1:23" x14ac:dyDescent="0.2">
      <c r="A136" s="141" t="s">
        <v>207</v>
      </c>
      <c r="B136" s="142" t="s">
        <v>33</v>
      </c>
      <c r="C136" s="142" t="s">
        <v>71</v>
      </c>
      <c r="D136" s="139"/>
      <c r="E136" s="139"/>
      <c r="F136" s="139"/>
      <c r="G136" s="139"/>
      <c r="I136" s="139"/>
      <c r="J136" s="139"/>
      <c r="K136" s="139"/>
      <c r="L136" s="139"/>
      <c r="N136" s="139"/>
      <c r="O136" s="144"/>
      <c r="P136" s="139"/>
      <c r="Q136" s="139"/>
      <c r="R136" s="139"/>
      <c r="S136" s="139"/>
      <c r="U136" s="139"/>
      <c r="V136" s="139"/>
      <c r="W136" s="139"/>
    </row>
    <row r="137" spans="1:23" x14ac:dyDescent="0.2">
      <c r="A137" s="141" t="s">
        <v>208</v>
      </c>
      <c r="B137" s="142" t="s">
        <v>33</v>
      </c>
      <c r="C137" s="142" t="s">
        <v>72</v>
      </c>
      <c r="D137" s="139"/>
      <c r="E137" s="139"/>
      <c r="F137" s="139"/>
      <c r="G137" s="139"/>
      <c r="I137" s="139"/>
      <c r="J137" s="139"/>
      <c r="K137" s="139"/>
      <c r="L137" s="139"/>
      <c r="N137" s="139"/>
      <c r="O137" s="144"/>
      <c r="P137" s="139"/>
      <c r="Q137" s="139"/>
      <c r="R137" s="139"/>
      <c r="S137" s="139"/>
      <c r="U137" s="139"/>
      <c r="V137" s="139"/>
      <c r="W137" s="139"/>
    </row>
    <row r="138" spans="1:23" x14ac:dyDescent="0.2">
      <c r="A138" s="141" t="s">
        <v>209</v>
      </c>
      <c r="B138" s="142" t="s">
        <v>33</v>
      </c>
      <c r="C138" s="142" t="s">
        <v>73</v>
      </c>
      <c r="D138" s="139"/>
      <c r="E138" s="139"/>
      <c r="F138" s="139"/>
      <c r="G138" s="139"/>
      <c r="I138" s="139"/>
      <c r="J138" s="139"/>
      <c r="K138" s="139"/>
      <c r="L138" s="139"/>
      <c r="N138" s="139"/>
      <c r="O138" s="144"/>
      <c r="P138" s="139"/>
      <c r="Q138" s="139"/>
      <c r="R138" s="139"/>
      <c r="S138" s="139"/>
      <c r="U138" s="139"/>
      <c r="V138" s="139"/>
      <c r="W138" s="139"/>
    </row>
    <row r="139" spans="1:23" x14ac:dyDescent="0.2">
      <c r="A139" s="141" t="s">
        <v>210</v>
      </c>
      <c r="B139" s="142" t="s">
        <v>33</v>
      </c>
      <c r="C139" s="142" t="s">
        <v>74</v>
      </c>
      <c r="D139" s="139"/>
      <c r="E139" s="139"/>
      <c r="F139" s="139"/>
      <c r="G139" s="139"/>
      <c r="I139" s="139"/>
      <c r="J139" s="139"/>
      <c r="K139" s="139"/>
      <c r="L139" s="139"/>
      <c r="N139" s="139"/>
      <c r="O139" s="144"/>
      <c r="P139" s="139"/>
      <c r="Q139" s="139"/>
      <c r="R139" s="139"/>
      <c r="S139" s="139"/>
      <c r="U139" s="139"/>
      <c r="V139" s="139"/>
      <c r="W139" s="139"/>
    </row>
    <row r="140" spans="1:23" x14ac:dyDescent="0.2">
      <c r="A140" s="141" t="s">
        <v>211</v>
      </c>
      <c r="B140" s="142" t="s">
        <v>33</v>
      </c>
      <c r="C140" s="142" t="s">
        <v>75</v>
      </c>
      <c r="D140" s="139"/>
      <c r="E140" s="139"/>
      <c r="F140" s="139"/>
      <c r="G140" s="139"/>
      <c r="I140" s="139"/>
      <c r="J140" s="139"/>
      <c r="K140" s="139"/>
      <c r="L140" s="139"/>
      <c r="N140" s="139"/>
      <c r="O140" s="144"/>
      <c r="P140" s="139"/>
      <c r="Q140" s="139"/>
      <c r="R140" s="139"/>
      <c r="S140" s="139"/>
      <c r="U140" s="139"/>
      <c r="V140" s="139"/>
      <c r="W140" s="139"/>
    </row>
    <row r="141" spans="1:23" x14ac:dyDescent="0.2">
      <c r="A141" s="141" t="s">
        <v>212</v>
      </c>
      <c r="B141" s="142" t="s">
        <v>33</v>
      </c>
      <c r="C141" s="142" t="s">
        <v>76</v>
      </c>
      <c r="D141" s="139"/>
      <c r="E141" s="139"/>
      <c r="F141" s="139"/>
      <c r="G141" s="139"/>
      <c r="I141" s="139"/>
      <c r="J141" s="139"/>
      <c r="K141" s="139"/>
      <c r="L141" s="139"/>
      <c r="N141" s="139"/>
      <c r="O141" s="144"/>
      <c r="P141" s="139"/>
      <c r="Q141" s="139"/>
      <c r="R141" s="139"/>
      <c r="S141" s="139"/>
      <c r="U141" s="139"/>
      <c r="V141" s="139"/>
      <c r="W141" s="139"/>
    </row>
    <row r="142" spans="1:23" x14ac:dyDescent="0.2">
      <c r="A142" s="141" t="s">
        <v>213</v>
      </c>
      <c r="B142" s="142" t="s">
        <v>33</v>
      </c>
      <c r="C142" s="142" t="s">
        <v>24</v>
      </c>
      <c r="D142" s="139"/>
      <c r="E142" s="139"/>
      <c r="F142" s="139"/>
      <c r="G142" s="139"/>
      <c r="I142" s="139"/>
      <c r="J142" s="139"/>
      <c r="K142" s="139"/>
      <c r="L142" s="139"/>
      <c r="N142" s="139"/>
      <c r="O142" s="144"/>
      <c r="P142" s="139"/>
      <c r="Q142" s="139"/>
      <c r="R142" s="139"/>
      <c r="S142" s="139"/>
      <c r="U142" s="139"/>
      <c r="V142" s="139"/>
      <c r="W142" s="139"/>
    </row>
    <row r="143" spans="1:23" x14ac:dyDescent="0.2">
      <c r="A143" s="138" t="str">
        <f t="shared" ref="A143" si="12">B143&amp;RIGHT(C143,2)</f>
        <v>YKY12</v>
      </c>
      <c r="B143" s="19" t="s">
        <v>34</v>
      </c>
      <c r="C143" s="143" t="s">
        <v>64</v>
      </c>
      <c r="D143" s="139"/>
      <c r="E143" s="139"/>
      <c r="F143" s="139"/>
      <c r="G143" s="139"/>
      <c r="I143" s="139"/>
      <c r="J143" s="139"/>
      <c r="K143" s="139"/>
      <c r="L143" s="139"/>
      <c r="N143" s="139"/>
      <c r="O143" s="144"/>
      <c r="P143" s="139"/>
      <c r="Q143" s="139"/>
      <c r="R143" s="139"/>
      <c r="S143" s="139"/>
      <c r="U143" s="139"/>
      <c r="V143" s="139"/>
      <c r="W143" s="139"/>
    </row>
    <row r="144" spans="1:23" x14ac:dyDescent="0.2">
      <c r="A144" s="138" t="str">
        <f>B144&amp;RIGHT(C144,2)</f>
        <v>YKY13</v>
      </c>
      <c r="B144" s="19" t="s">
        <v>34</v>
      </c>
      <c r="C144" s="143" t="s">
        <v>65</v>
      </c>
      <c r="D144" s="139"/>
      <c r="E144" s="139"/>
      <c r="F144" s="139"/>
      <c r="G144" s="139"/>
      <c r="I144" s="139"/>
      <c r="J144" s="139"/>
      <c r="K144" s="139"/>
      <c r="L144" s="139"/>
      <c r="N144" s="139"/>
      <c r="O144" s="144"/>
      <c r="P144" s="139"/>
      <c r="Q144" s="139"/>
      <c r="R144" s="139"/>
      <c r="S144" s="139"/>
      <c r="U144" s="139"/>
      <c r="V144" s="139"/>
      <c r="W144" s="139"/>
    </row>
    <row r="145" spans="1:23" x14ac:dyDescent="0.2">
      <c r="A145" s="138" t="str">
        <f>B145&amp;RIGHT(C145,2)</f>
        <v>YKY14</v>
      </c>
      <c r="B145" s="19" t="s">
        <v>34</v>
      </c>
      <c r="C145" s="143" t="s">
        <v>66</v>
      </c>
      <c r="D145" s="139"/>
      <c r="E145" s="139"/>
      <c r="F145" s="139"/>
      <c r="G145" s="139"/>
      <c r="I145" s="139"/>
      <c r="J145" s="139"/>
      <c r="K145" s="139"/>
      <c r="L145" s="139"/>
      <c r="N145" s="139"/>
      <c r="O145" s="144"/>
      <c r="P145" s="139"/>
      <c r="Q145" s="139"/>
      <c r="R145" s="139"/>
      <c r="S145" s="139"/>
      <c r="U145" s="139"/>
      <c r="V145" s="139"/>
      <c r="W145" s="139"/>
    </row>
    <row r="146" spans="1:23" x14ac:dyDescent="0.2">
      <c r="A146" s="138" t="str">
        <f>B146&amp;RIGHT(C146,2)</f>
        <v>YKY15</v>
      </c>
      <c r="B146" s="19" t="s">
        <v>34</v>
      </c>
      <c r="C146" s="143" t="s">
        <v>67</v>
      </c>
      <c r="D146" s="139"/>
      <c r="E146" s="139"/>
      <c r="F146" s="139"/>
      <c r="G146" s="139"/>
      <c r="I146" s="139"/>
      <c r="J146" s="139"/>
      <c r="K146" s="139"/>
      <c r="L146" s="139"/>
      <c r="N146" s="139"/>
      <c r="O146" s="144"/>
      <c r="P146" s="139"/>
      <c r="Q146" s="139"/>
      <c r="R146" s="139"/>
      <c r="S146" s="139"/>
      <c r="U146" s="139"/>
      <c r="V146" s="139"/>
      <c r="W146" s="139"/>
    </row>
    <row r="147" spans="1:23" x14ac:dyDescent="0.2">
      <c r="A147" s="138" t="str">
        <f>B147&amp;RIGHT(C147,2)</f>
        <v>YKY16</v>
      </c>
      <c r="B147" s="19" t="s">
        <v>34</v>
      </c>
      <c r="C147" s="143" t="s">
        <v>68</v>
      </c>
      <c r="D147" s="139"/>
      <c r="E147" s="139"/>
      <c r="F147" s="139"/>
      <c r="G147" s="139"/>
      <c r="I147" s="139"/>
      <c r="J147" s="139"/>
      <c r="K147" s="139"/>
      <c r="L147" s="139"/>
      <c r="N147" s="139"/>
      <c r="O147" s="144"/>
      <c r="P147" s="139"/>
      <c r="Q147" s="139"/>
      <c r="R147" s="139"/>
      <c r="S147" s="139"/>
      <c r="U147" s="139"/>
      <c r="V147" s="139"/>
      <c r="W147" s="139"/>
    </row>
    <row r="148" spans="1:23" x14ac:dyDescent="0.2">
      <c r="A148" s="138" t="str">
        <f>B148&amp;RIGHT(C148,2)</f>
        <v>YKY17</v>
      </c>
      <c r="B148" s="19" t="s">
        <v>34</v>
      </c>
      <c r="C148" s="143" t="s">
        <v>69</v>
      </c>
      <c r="D148" s="139"/>
      <c r="E148" s="139"/>
      <c r="F148" s="139"/>
      <c r="G148" s="139"/>
      <c r="I148" s="139"/>
      <c r="J148" s="139"/>
      <c r="K148" s="139"/>
      <c r="L148" s="139"/>
      <c r="N148" s="139"/>
      <c r="O148" s="144"/>
      <c r="P148" s="139"/>
      <c r="Q148" s="139"/>
      <c r="R148" s="139"/>
      <c r="S148" s="139"/>
      <c r="U148" s="139"/>
      <c r="V148" s="139"/>
      <c r="W148" s="139"/>
    </row>
    <row r="149" spans="1:23" x14ac:dyDescent="0.2">
      <c r="A149" s="141" t="s">
        <v>214</v>
      </c>
      <c r="B149" s="142" t="s">
        <v>34</v>
      </c>
      <c r="C149" s="142" t="s">
        <v>70</v>
      </c>
      <c r="D149" s="139"/>
      <c r="E149" s="139"/>
      <c r="F149" s="139"/>
      <c r="G149" s="139"/>
      <c r="I149" s="139"/>
      <c r="J149" s="139"/>
      <c r="K149" s="139"/>
      <c r="L149" s="139"/>
      <c r="N149" s="139"/>
      <c r="O149" s="144"/>
      <c r="P149" s="139"/>
      <c r="Q149" s="139"/>
      <c r="R149" s="139"/>
      <c r="S149" s="139"/>
      <c r="U149" s="139"/>
      <c r="V149" s="139"/>
      <c r="W149" s="139"/>
    </row>
    <row r="150" spans="1:23" x14ac:dyDescent="0.2">
      <c r="A150" s="141" t="s">
        <v>215</v>
      </c>
      <c r="B150" s="142" t="s">
        <v>34</v>
      </c>
      <c r="C150" s="142" t="s">
        <v>71</v>
      </c>
      <c r="D150" s="139"/>
      <c r="E150" s="139"/>
      <c r="F150" s="139"/>
      <c r="G150" s="139"/>
      <c r="I150" s="139"/>
      <c r="J150" s="139"/>
      <c r="K150" s="139"/>
      <c r="L150" s="139"/>
      <c r="N150" s="139"/>
      <c r="O150" s="144"/>
      <c r="P150" s="139"/>
      <c r="Q150" s="139"/>
      <c r="R150" s="139"/>
      <c r="S150" s="139"/>
      <c r="U150" s="139"/>
      <c r="V150" s="139"/>
      <c r="W150" s="139"/>
    </row>
    <row r="151" spans="1:23" x14ac:dyDescent="0.2">
      <c r="A151" s="141" t="s">
        <v>216</v>
      </c>
      <c r="B151" s="142" t="s">
        <v>34</v>
      </c>
      <c r="C151" s="142" t="s">
        <v>72</v>
      </c>
      <c r="D151" s="139"/>
      <c r="E151" s="139"/>
      <c r="F151" s="139"/>
      <c r="G151" s="139"/>
      <c r="I151" s="139"/>
      <c r="J151" s="139"/>
      <c r="K151" s="139"/>
      <c r="L151" s="139"/>
      <c r="N151" s="139"/>
      <c r="O151" s="144"/>
      <c r="P151" s="139"/>
      <c r="Q151" s="139"/>
      <c r="R151" s="139"/>
      <c r="S151" s="139"/>
      <c r="U151" s="139"/>
      <c r="V151" s="139"/>
      <c r="W151" s="139"/>
    </row>
    <row r="152" spans="1:23" x14ac:dyDescent="0.2">
      <c r="A152" s="141" t="s">
        <v>217</v>
      </c>
      <c r="B152" s="142" t="s">
        <v>34</v>
      </c>
      <c r="C152" s="142" t="s">
        <v>73</v>
      </c>
      <c r="D152" s="139"/>
      <c r="E152" s="139"/>
      <c r="F152" s="139"/>
      <c r="G152" s="139"/>
      <c r="I152" s="139"/>
      <c r="J152" s="139"/>
      <c r="K152" s="139"/>
      <c r="L152" s="139"/>
      <c r="N152" s="139"/>
      <c r="O152" s="144"/>
      <c r="P152" s="139"/>
      <c r="Q152" s="139"/>
      <c r="R152" s="139"/>
      <c r="S152" s="139"/>
      <c r="U152" s="139"/>
      <c r="V152" s="139"/>
      <c r="W152" s="139"/>
    </row>
    <row r="153" spans="1:23" x14ac:dyDescent="0.2">
      <c r="A153" s="141" t="s">
        <v>218</v>
      </c>
      <c r="B153" s="142" t="s">
        <v>34</v>
      </c>
      <c r="C153" s="142" t="s">
        <v>74</v>
      </c>
      <c r="D153" s="139"/>
      <c r="E153" s="139"/>
      <c r="F153" s="139"/>
      <c r="G153" s="139"/>
      <c r="I153" s="139"/>
      <c r="J153" s="139"/>
      <c r="K153" s="139"/>
      <c r="L153" s="139"/>
      <c r="N153" s="139"/>
      <c r="O153" s="144"/>
      <c r="P153" s="139"/>
      <c r="Q153" s="139"/>
      <c r="R153" s="139"/>
      <c r="S153" s="139"/>
      <c r="U153" s="139"/>
      <c r="V153" s="139"/>
      <c r="W153" s="139"/>
    </row>
    <row r="154" spans="1:23" x14ac:dyDescent="0.2">
      <c r="A154" s="141" t="s">
        <v>219</v>
      </c>
      <c r="B154" s="142" t="s">
        <v>34</v>
      </c>
      <c r="C154" s="142" t="s">
        <v>75</v>
      </c>
      <c r="D154" s="139"/>
      <c r="E154" s="139"/>
      <c r="F154" s="139"/>
      <c r="G154" s="139"/>
      <c r="I154" s="139"/>
      <c r="J154" s="139"/>
      <c r="K154" s="139"/>
      <c r="L154" s="139"/>
      <c r="N154" s="139"/>
      <c r="O154" s="144"/>
      <c r="P154" s="139"/>
      <c r="Q154" s="139"/>
      <c r="R154" s="139"/>
      <c r="S154" s="139"/>
      <c r="U154" s="139"/>
      <c r="V154" s="139"/>
      <c r="W154" s="139"/>
    </row>
    <row r="155" spans="1:23" x14ac:dyDescent="0.2">
      <c r="A155" s="141" t="s">
        <v>220</v>
      </c>
      <c r="B155" s="142" t="s">
        <v>34</v>
      </c>
      <c r="C155" s="142" t="s">
        <v>76</v>
      </c>
      <c r="D155" s="139"/>
      <c r="E155" s="139"/>
      <c r="F155" s="139"/>
      <c r="G155" s="139"/>
      <c r="I155" s="139"/>
      <c r="J155" s="139"/>
      <c r="K155" s="139"/>
      <c r="L155" s="139"/>
      <c r="N155" s="139"/>
      <c r="O155" s="144"/>
      <c r="P155" s="139"/>
      <c r="Q155" s="139"/>
      <c r="R155" s="139"/>
      <c r="S155" s="139"/>
      <c r="U155" s="139"/>
      <c r="V155" s="139"/>
      <c r="W155" s="139"/>
    </row>
    <row r="156" spans="1:23" x14ac:dyDescent="0.2">
      <c r="A156" s="141" t="s">
        <v>221</v>
      </c>
      <c r="B156" s="142" t="s">
        <v>34</v>
      </c>
      <c r="C156" s="142" t="s">
        <v>24</v>
      </c>
      <c r="D156" s="139"/>
      <c r="E156" s="139"/>
      <c r="F156" s="139"/>
      <c r="G156" s="139"/>
      <c r="I156" s="139"/>
      <c r="J156" s="139"/>
      <c r="K156" s="139"/>
      <c r="L156" s="139"/>
      <c r="N156" s="139"/>
      <c r="O156" s="144"/>
      <c r="P156" s="139"/>
      <c r="Q156" s="139"/>
      <c r="R156" s="139"/>
      <c r="S156" s="139"/>
      <c r="U156" s="139"/>
      <c r="V156" s="139"/>
      <c r="W156" s="139"/>
    </row>
    <row r="157" spans="1:23" x14ac:dyDescent="0.2">
      <c r="A157" s="138" t="str">
        <f t="shared" ref="A157" si="13">B157&amp;RIGHT(C157,2)</f>
        <v>AFW12</v>
      </c>
      <c r="B157" s="19" t="s">
        <v>35</v>
      </c>
      <c r="C157" s="143" t="s">
        <v>64</v>
      </c>
      <c r="D157" s="139"/>
      <c r="E157" s="139"/>
      <c r="F157" s="139"/>
      <c r="G157" s="139"/>
      <c r="I157" s="139"/>
      <c r="J157" s="139"/>
      <c r="K157" s="139"/>
      <c r="L157" s="139"/>
      <c r="N157" s="139"/>
      <c r="O157" s="144"/>
      <c r="P157" s="139"/>
      <c r="Q157" s="139"/>
      <c r="R157" s="139"/>
      <c r="S157" s="139"/>
      <c r="U157" s="139"/>
      <c r="V157" s="139"/>
      <c r="W157" s="139"/>
    </row>
    <row r="158" spans="1:23" x14ac:dyDescent="0.2">
      <c r="A158" s="138" t="str">
        <f>B158&amp;RIGHT(C158,2)</f>
        <v>AFW13</v>
      </c>
      <c r="B158" s="19" t="s">
        <v>35</v>
      </c>
      <c r="C158" s="143" t="s">
        <v>65</v>
      </c>
      <c r="D158" s="139"/>
      <c r="E158" s="139"/>
      <c r="F158" s="139"/>
      <c r="G158" s="139"/>
      <c r="I158" s="139"/>
      <c r="J158" s="139"/>
      <c r="K158" s="139"/>
      <c r="L158" s="139"/>
      <c r="N158" s="139"/>
      <c r="O158" s="144"/>
      <c r="P158" s="139"/>
      <c r="Q158" s="139"/>
      <c r="R158" s="139"/>
      <c r="S158" s="139"/>
      <c r="U158" s="139"/>
      <c r="V158" s="139"/>
      <c r="W158" s="139"/>
    </row>
    <row r="159" spans="1:23" x14ac:dyDescent="0.2">
      <c r="A159" s="138" t="str">
        <f>B159&amp;RIGHT(C159,2)</f>
        <v>AFW14</v>
      </c>
      <c r="B159" s="19" t="s">
        <v>35</v>
      </c>
      <c r="C159" s="143" t="s">
        <v>66</v>
      </c>
      <c r="D159" s="139"/>
      <c r="E159" s="139"/>
      <c r="F159" s="139"/>
      <c r="G159" s="139"/>
      <c r="I159" s="139"/>
      <c r="J159" s="139"/>
      <c r="K159" s="139"/>
      <c r="L159" s="139"/>
      <c r="N159" s="139"/>
      <c r="O159" s="144"/>
      <c r="P159" s="139"/>
      <c r="Q159" s="139"/>
      <c r="R159" s="139"/>
      <c r="S159" s="139"/>
      <c r="U159" s="139"/>
      <c r="V159" s="139"/>
      <c r="W159" s="139"/>
    </row>
    <row r="160" spans="1:23" x14ac:dyDescent="0.2">
      <c r="A160" s="138" t="str">
        <f>B160&amp;RIGHT(C160,2)</f>
        <v>AFW15</v>
      </c>
      <c r="B160" s="19" t="s">
        <v>35</v>
      </c>
      <c r="C160" s="143" t="s">
        <v>67</v>
      </c>
      <c r="D160" s="139"/>
      <c r="E160" s="139"/>
      <c r="F160" s="139"/>
      <c r="G160" s="139"/>
      <c r="I160" s="139"/>
      <c r="J160" s="139"/>
      <c r="K160" s="139"/>
      <c r="L160" s="139"/>
      <c r="N160" s="139"/>
      <c r="O160" s="144"/>
      <c r="P160" s="139"/>
      <c r="Q160" s="139"/>
      <c r="R160" s="139"/>
      <c r="S160" s="139"/>
      <c r="U160" s="139"/>
      <c r="V160" s="139"/>
      <c r="W160" s="139"/>
    </row>
    <row r="161" spans="1:24" x14ac:dyDescent="0.2">
      <c r="A161" s="138" t="str">
        <f>B161&amp;RIGHT(C161,2)</f>
        <v>AFW16</v>
      </c>
      <c r="B161" s="19" t="s">
        <v>35</v>
      </c>
      <c r="C161" s="143" t="s">
        <v>68</v>
      </c>
      <c r="D161" s="139"/>
      <c r="E161" s="139"/>
      <c r="F161" s="139"/>
      <c r="G161" s="139"/>
      <c r="I161" s="139"/>
      <c r="J161" s="139"/>
      <c r="K161" s="139"/>
      <c r="L161" s="139"/>
      <c r="N161" s="139"/>
      <c r="O161" s="144"/>
      <c r="P161" s="139"/>
      <c r="Q161" s="139"/>
      <c r="R161" s="139"/>
      <c r="S161" s="139"/>
      <c r="U161" s="139"/>
      <c r="V161" s="139"/>
      <c r="W161" s="139"/>
    </row>
    <row r="162" spans="1:24" x14ac:dyDescent="0.2">
      <c r="A162" s="138" t="str">
        <f>B162&amp;RIGHT(C162,2)</f>
        <v>AFW17</v>
      </c>
      <c r="B162" s="19" t="s">
        <v>35</v>
      </c>
      <c r="C162" s="143" t="s">
        <v>69</v>
      </c>
      <c r="D162" s="139"/>
      <c r="E162" s="139"/>
      <c r="F162" s="139"/>
      <c r="G162" s="139"/>
      <c r="I162" s="139"/>
      <c r="J162" s="139"/>
      <c r="K162" s="139"/>
      <c r="L162" s="139"/>
      <c r="N162" s="139"/>
      <c r="O162" s="144"/>
      <c r="P162" s="139"/>
      <c r="Q162" s="139"/>
      <c r="R162" s="139"/>
      <c r="S162" s="139"/>
      <c r="U162" s="139"/>
      <c r="V162" s="139"/>
      <c r="W162" s="139"/>
    </row>
    <row r="163" spans="1:24" x14ac:dyDescent="0.2">
      <c r="A163" s="141" t="s">
        <v>222</v>
      </c>
      <c r="B163" s="142" t="s">
        <v>35</v>
      </c>
      <c r="C163" s="142" t="s">
        <v>70</v>
      </c>
      <c r="D163" s="139"/>
      <c r="E163" s="139"/>
      <c r="F163" s="139"/>
      <c r="G163" s="139"/>
      <c r="I163" s="139"/>
      <c r="J163" s="139"/>
      <c r="K163" s="139"/>
      <c r="L163" s="139"/>
      <c r="N163" s="139"/>
      <c r="O163" s="144"/>
      <c r="P163" s="139"/>
      <c r="Q163" s="139"/>
      <c r="R163" s="139"/>
      <c r="S163" s="139"/>
      <c r="U163" s="139"/>
      <c r="V163" s="139"/>
      <c r="W163" s="139"/>
    </row>
    <row r="164" spans="1:24" x14ac:dyDescent="0.2">
      <c r="A164" s="141" t="s">
        <v>223</v>
      </c>
      <c r="B164" s="142" t="s">
        <v>35</v>
      </c>
      <c r="C164" s="142" t="s">
        <v>71</v>
      </c>
      <c r="D164" s="139"/>
      <c r="E164" s="139"/>
      <c r="F164" s="139"/>
      <c r="G164" s="139"/>
      <c r="I164" s="139"/>
      <c r="J164" s="139"/>
      <c r="K164" s="139"/>
      <c r="L164" s="139"/>
      <c r="N164" s="139"/>
      <c r="O164" s="144"/>
      <c r="P164" s="139"/>
      <c r="Q164" s="139"/>
      <c r="R164" s="139"/>
      <c r="S164" s="139"/>
      <c r="U164" s="139"/>
      <c r="V164" s="139"/>
      <c r="W164" s="139"/>
    </row>
    <row r="165" spans="1:24" x14ac:dyDescent="0.2">
      <c r="A165" s="141" t="s">
        <v>224</v>
      </c>
      <c r="B165" s="142" t="s">
        <v>35</v>
      </c>
      <c r="C165" s="142" t="s">
        <v>72</v>
      </c>
      <c r="D165" s="139"/>
      <c r="E165" s="139"/>
      <c r="F165" s="139"/>
      <c r="G165" s="139"/>
      <c r="I165" s="139"/>
      <c r="J165" s="139"/>
      <c r="K165" s="139"/>
      <c r="L165" s="139"/>
      <c r="N165" s="139"/>
      <c r="O165" s="144"/>
      <c r="P165" s="139"/>
      <c r="Q165" s="139"/>
      <c r="R165" s="139"/>
      <c r="S165" s="139"/>
      <c r="U165" s="139">
        <v>162.19999999999999</v>
      </c>
      <c r="V165" s="139"/>
      <c r="W165" s="139"/>
      <c r="X165" s="7" t="s">
        <v>287</v>
      </c>
    </row>
    <row r="166" spans="1:24" x14ac:dyDescent="0.2">
      <c r="A166" s="141" t="s">
        <v>225</v>
      </c>
      <c r="B166" s="142" t="s">
        <v>35</v>
      </c>
      <c r="C166" s="142" t="s">
        <v>73</v>
      </c>
      <c r="D166" s="139"/>
      <c r="E166" s="139"/>
      <c r="F166" s="139"/>
      <c r="G166" s="139"/>
      <c r="I166" s="139"/>
      <c r="J166" s="139"/>
      <c r="K166" s="139"/>
      <c r="L166" s="139"/>
      <c r="N166" s="139"/>
      <c r="O166" s="144"/>
      <c r="P166" s="139"/>
      <c r="Q166" s="139"/>
      <c r="R166" s="139"/>
      <c r="S166" s="139"/>
      <c r="U166" s="139">
        <v>156.19999999999999</v>
      </c>
      <c r="V166" s="139"/>
      <c r="W166" s="139"/>
      <c r="X166" s="7" t="s">
        <v>287</v>
      </c>
    </row>
    <row r="167" spans="1:24" x14ac:dyDescent="0.2">
      <c r="A167" s="141" t="s">
        <v>226</v>
      </c>
      <c r="B167" s="142" t="s">
        <v>35</v>
      </c>
      <c r="C167" s="142" t="s">
        <v>74</v>
      </c>
      <c r="D167" s="139"/>
      <c r="E167" s="139"/>
      <c r="F167" s="139"/>
      <c r="G167" s="139"/>
      <c r="I167" s="139"/>
      <c r="J167" s="139"/>
      <c r="K167" s="139"/>
      <c r="L167" s="139"/>
      <c r="N167" s="139"/>
      <c r="O167" s="144"/>
      <c r="P167" s="139"/>
      <c r="Q167" s="139"/>
      <c r="R167" s="139"/>
      <c r="S167" s="139"/>
      <c r="U167" s="139">
        <v>150.19999999999999</v>
      </c>
      <c r="V167" s="139"/>
      <c r="W167" s="139"/>
      <c r="X167" s="7" t="s">
        <v>287</v>
      </c>
    </row>
    <row r="168" spans="1:24" x14ac:dyDescent="0.2">
      <c r="A168" s="141" t="s">
        <v>227</v>
      </c>
      <c r="B168" s="142" t="s">
        <v>35</v>
      </c>
      <c r="C168" s="142" t="s">
        <v>75</v>
      </c>
      <c r="D168" s="139"/>
      <c r="E168" s="139"/>
      <c r="F168" s="139"/>
      <c r="G168" s="139"/>
      <c r="I168" s="139"/>
      <c r="J168" s="139"/>
      <c r="K168" s="139"/>
      <c r="L168" s="139"/>
      <c r="N168" s="139"/>
      <c r="O168" s="144"/>
      <c r="P168" s="139"/>
      <c r="Q168" s="139"/>
      <c r="R168" s="139"/>
      <c r="S168" s="139"/>
      <c r="U168" s="139">
        <v>144.19999999999999</v>
      </c>
      <c r="V168" s="139"/>
      <c r="W168" s="139"/>
      <c r="X168" s="7" t="s">
        <v>287</v>
      </c>
    </row>
    <row r="169" spans="1:24" x14ac:dyDescent="0.2">
      <c r="A169" s="141" t="s">
        <v>228</v>
      </c>
      <c r="B169" s="142" t="s">
        <v>35</v>
      </c>
      <c r="C169" s="142" t="s">
        <v>76</v>
      </c>
      <c r="D169" s="139"/>
      <c r="E169" s="139"/>
      <c r="F169" s="139"/>
      <c r="G169" s="139"/>
      <c r="I169" s="139"/>
      <c r="J169" s="139"/>
      <c r="K169" s="139"/>
      <c r="L169" s="139"/>
      <c r="N169" s="139"/>
      <c r="O169" s="144"/>
      <c r="P169" s="139"/>
      <c r="Q169" s="139"/>
      <c r="R169" s="139"/>
      <c r="S169" s="139"/>
      <c r="U169" s="139">
        <v>138.19999999999999</v>
      </c>
      <c r="V169" s="139"/>
      <c r="W169" s="139"/>
      <c r="X169" s="7" t="s">
        <v>287</v>
      </c>
    </row>
    <row r="170" spans="1:24" x14ac:dyDescent="0.2">
      <c r="A170" s="141" t="s">
        <v>229</v>
      </c>
      <c r="B170" s="142" t="s">
        <v>35</v>
      </c>
      <c r="C170" s="142" t="s">
        <v>24</v>
      </c>
      <c r="D170" s="139"/>
      <c r="E170" s="139"/>
      <c r="F170" s="139"/>
      <c r="G170" s="139"/>
      <c r="I170" s="139"/>
      <c r="J170" s="139"/>
      <c r="K170" s="139"/>
      <c r="L170" s="139"/>
      <c r="N170" s="139"/>
      <c r="O170" s="144"/>
      <c r="P170" s="139"/>
      <c r="Q170" s="139"/>
      <c r="R170" s="139"/>
      <c r="S170" s="139"/>
      <c r="U170" s="139">
        <v>132.19999999999999</v>
      </c>
      <c r="V170" s="139"/>
      <c r="W170" s="139"/>
      <c r="X170" s="7" t="s">
        <v>287</v>
      </c>
    </row>
    <row r="171" spans="1:24" x14ac:dyDescent="0.2">
      <c r="A171" s="138" t="str">
        <f t="shared" ref="A171" si="14">B171&amp;RIGHT(C171,2)</f>
        <v>BRL12</v>
      </c>
      <c r="B171" s="19" t="s">
        <v>36</v>
      </c>
      <c r="C171" s="143" t="s">
        <v>64</v>
      </c>
      <c r="D171" s="139"/>
      <c r="E171" s="139"/>
      <c r="F171" s="139"/>
      <c r="G171" s="139"/>
      <c r="I171" s="139"/>
      <c r="J171" s="139"/>
      <c r="K171" s="139"/>
      <c r="L171" s="139"/>
      <c r="N171" s="139"/>
      <c r="O171" s="144"/>
      <c r="P171" s="139"/>
      <c r="Q171" s="139"/>
      <c r="R171" s="139"/>
      <c r="S171" s="139"/>
      <c r="U171" s="139"/>
      <c r="V171" s="139"/>
      <c r="W171" s="139"/>
    </row>
    <row r="172" spans="1:24" x14ac:dyDescent="0.2">
      <c r="A172" s="138" t="str">
        <f>B172&amp;RIGHT(C172,2)</f>
        <v>BRL13</v>
      </c>
      <c r="B172" s="19" t="s">
        <v>36</v>
      </c>
      <c r="C172" s="143" t="s">
        <v>65</v>
      </c>
      <c r="D172" s="139"/>
      <c r="E172" s="139"/>
      <c r="F172" s="139"/>
      <c r="G172" s="139"/>
      <c r="I172" s="139"/>
      <c r="J172" s="139"/>
      <c r="K172" s="139"/>
      <c r="L172" s="139"/>
      <c r="N172" s="139"/>
      <c r="O172" s="144"/>
      <c r="P172" s="139"/>
      <c r="Q172" s="139"/>
      <c r="R172" s="139"/>
      <c r="S172" s="139"/>
      <c r="U172" s="139"/>
      <c r="V172" s="139"/>
      <c r="W172" s="139"/>
    </row>
    <row r="173" spans="1:24" x14ac:dyDescent="0.2">
      <c r="A173" s="138" t="str">
        <f>B173&amp;RIGHT(C173,2)</f>
        <v>BRL14</v>
      </c>
      <c r="B173" s="19" t="s">
        <v>36</v>
      </c>
      <c r="C173" s="143" t="s">
        <v>66</v>
      </c>
      <c r="D173" s="139"/>
      <c r="E173" s="139"/>
      <c r="F173" s="139"/>
      <c r="G173" s="139"/>
      <c r="I173" s="139"/>
      <c r="J173" s="139"/>
      <c r="K173" s="139"/>
      <c r="L173" s="139"/>
      <c r="N173" s="139"/>
      <c r="O173" s="144"/>
      <c r="P173" s="139"/>
      <c r="Q173" s="139"/>
      <c r="R173" s="139"/>
      <c r="S173" s="139"/>
      <c r="U173" s="139"/>
      <c r="V173" s="139"/>
      <c r="W173" s="139"/>
    </row>
    <row r="174" spans="1:24" x14ac:dyDescent="0.2">
      <c r="A174" s="138" t="str">
        <f>B174&amp;RIGHT(C174,2)</f>
        <v>BRL15</v>
      </c>
      <c r="B174" s="19" t="s">
        <v>36</v>
      </c>
      <c r="C174" s="143" t="s">
        <v>67</v>
      </c>
      <c r="D174" s="139"/>
      <c r="E174" s="139"/>
      <c r="F174" s="139"/>
      <c r="G174" s="139"/>
      <c r="I174" s="139"/>
      <c r="J174" s="139"/>
      <c r="K174" s="139"/>
      <c r="L174" s="139"/>
      <c r="N174" s="139"/>
      <c r="O174" s="144"/>
      <c r="P174" s="139"/>
      <c r="Q174" s="139"/>
      <c r="R174" s="139"/>
      <c r="S174" s="139"/>
      <c r="U174" s="139"/>
      <c r="V174" s="139"/>
      <c r="W174" s="139"/>
    </row>
    <row r="175" spans="1:24" x14ac:dyDescent="0.2">
      <c r="A175" s="138" t="str">
        <f>B175&amp;RIGHT(C175,2)</f>
        <v>BRL16</v>
      </c>
      <c r="B175" s="19" t="s">
        <v>36</v>
      </c>
      <c r="C175" s="143" t="s">
        <v>68</v>
      </c>
      <c r="D175" s="139"/>
      <c r="E175" s="139"/>
      <c r="F175" s="139"/>
      <c r="G175" s="139"/>
      <c r="I175" s="139"/>
      <c r="J175" s="139"/>
      <c r="K175" s="139"/>
      <c r="L175" s="139"/>
      <c r="N175" s="139"/>
      <c r="O175" s="144"/>
      <c r="P175" s="139"/>
      <c r="Q175" s="139"/>
      <c r="R175" s="139"/>
      <c r="S175" s="139"/>
      <c r="U175" s="139"/>
      <c r="V175" s="139"/>
      <c r="W175" s="139"/>
    </row>
    <row r="176" spans="1:24" x14ac:dyDescent="0.2">
      <c r="A176" s="138" t="str">
        <f>B176&amp;RIGHT(C176,2)</f>
        <v>BRL17</v>
      </c>
      <c r="B176" s="19" t="s">
        <v>36</v>
      </c>
      <c r="C176" s="143" t="s">
        <v>69</v>
      </c>
      <c r="D176" s="139"/>
      <c r="E176" s="139"/>
      <c r="F176" s="139"/>
      <c r="G176" s="139"/>
      <c r="I176" s="139"/>
      <c r="J176" s="139"/>
      <c r="K176" s="139"/>
      <c r="L176" s="139"/>
      <c r="N176" s="139"/>
      <c r="O176" s="144"/>
      <c r="P176" s="139"/>
      <c r="Q176" s="139"/>
      <c r="R176" s="139"/>
      <c r="S176" s="139"/>
      <c r="U176" s="139"/>
      <c r="V176" s="139"/>
      <c r="W176" s="139"/>
    </row>
    <row r="177" spans="1:23" x14ac:dyDescent="0.2">
      <c r="A177" s="141" t="s">
        <v>230</v>
      </c>
      <c r="B177" s="142" t="s">
        <v>36</v>
      </c>
      <c r="C177" s="142" t="s">
        <v>70</v>
      </c>
      <c r="D177" s="139"/>
      <c r="E177" s="139"/>
      <c r="F177" s="139"/>
      <c r="G177" s="139"/>
      <c r="I177" s="139"/>
      <c r="J177" s="139"/>
      <c r="K177" s="139"/>
      <c r="L177" s="139"/>
      <c r="N177" s="139"/>
      <c r="O177" s="144"/>
      <c r="P177" s="139"/>
      <c r="Q177" s="139"/>
      <c r="R177" s="139"/>
      <c r="S177" s="139"/>
      <c r="U177" s="139"/>
      <c r="V177" s="139"/>
      <c r="W177" s="139"/>
    </row>
    <row r="178" spans="1:23" x14ac:dyDescent="0.2">
      <c r="A178" s="141" t="s">
        <v>231</v>
      </c>
      <c r="B178" s="142" t="s">
        <v>36</v>
      </c>
      <c r="C178" s="142" t="s">
        <v>71</v>
      </c>
      <c r="D178" s="139"/>
      <c r="E178" s="139"/>
      <c r="F178" s="139"/>
      <c r="G178" s="139"/>
      <c r="I178" s="139"/>
      <c r="J178" s="139"/>
      <c r="K178" s="139"/>
      <c r="L178" s="139"/>
      <c r="N178" s="139"/>
      <c r="O178" s="144"/>
      <c r="P178" s="139"/>
      <c r="Q178" s="139"/>
      <c r="R178" s="139"/>
      <c r="S178" s="139"/>
      <c r="U178" s="139"/>
      <c r="V178" s="139"/>
      <c r="W178" s="139"/>
    </row>
    <row r="179" spans="1:23" x14ac:dyDescent="0.2">
      <c r="A179" s="141" t="s">
        <v>232</v>
      </c>
      <c r="B179" s="142" t="s">
        <v>36</v>
      </c>
      <c r="C179" s="142" t="s">
        <v>72</v>
      </c>
      <c r="D179" s="139"/>
      <c r="E179" s="139"/>
      <c r="F179" s="139"/>
      <c r="G179" s="139"/>
      <c r="I179" s="139"/>
      <c r="J179" s="139"/>
      <c r="K179" s="139"/>
      <c r="L179" s="139"/>
      <c r="N179" s="139"/>
      <c r="O179" s="144"/>
      <c r="P179" s="139"/>
      <c r="Q179" s="139"/>
      <c r="R179" s="139"/>
      <c r="S179" s="139"/>
      <c r="U179" s="139"/>
      <c r="V179" s="139"/>
      <c r="W179" s="139"/>
    </row>
    <row r="180" spans="1:23" x14ac:dyDescent="0.2">
      <c r="A180" s="141" t="s">
        <v>233</v>
      </c>
      <c r="B180" s="142" t="s">
        <v>36</v>
      </c>
      <c r="C180" s="142" t="s">
        <v>73</v>
      </c>
      <c r="D180" s="139"/>
      <c r="E180" s="139"/>
      <c r="F180" s="139"/>
      <c r="G180" s="139"/>
      <c r="I180" s="139"/>
      <c r="J180" s="139"/>
      <c r="K180" s="139"/>
      <c r="L180" s="139"/>
      <c r="N180" s="139"/>
      <c r="O180" s="144"/>
      <c r="P180" s="139"/>
      <c r="Q180" s="139"/>
      <c r="R180" s="139"/>
      <c r="S180" s="139"/>
      <c r="U180" s="139"/>
      <c r="V180" s="139"/>
      <c r="W180" s="139"/>
    </row>
    <row r="181" spans="1:23" x14ac:dyDescent="0.2">
      <c r="A181" s="141" t="s">
        <v>234</v>
      </c>
      <c r="B181" s="142" t="s">
        <v>36</v>
      </c>
      <c r="C181" s="142" t="s">
        <v>74</v>
      </c>
      <c r="D181" s="139"/>
      <c r="E181" s="139"/>
      <c r="F181" s="139"/>
      <c r="G181" s="139"/>
      <c r="I181" s="139"/>
      <c r="J181" s="139"/>
      <c r="K181" s="139"/>
      <c r="L181" s="139"/>
      <c r="N181" s="139"/>
      <c r="O181" s="144"/>
      <c r="P181" s="139"/>
      <c r="Q181" s="139"/>
      <c r="R181" s="139"/>
      <c r="S181" s="139"/>
      <c r="U181" s="139"/>
      <c r="V181" s="139"/>
      <c r="W181" s="139"/>
    </row>
    <row r="182" spans="1:23" x14ac:dyDescent="0.2">
      <c r="A182" s="141" t="s">
        <v>235</v>
      </c>
      <c r="B182" s="142" t="s">
        <v>36</v>
      </c>
      <c r="C182" s="142" t="s">
        <v>75</v>
      </c>
      <c r="D182" s="139"/>
      <c r="E182" s="139"/>
      <c r="F182" s="139"/>
      <c r="G182" s="139"/>
      <c r="I182" s="139"/>
      <c r="J182" s="139"/>
      <c r="K182" s="139"/>
      <c r="L182" s="139"/>
      <c r="N182" s="139"/>
      <c r="O182" s="144"/>
      <c r="P182" s="139"/>
      <c r="Q182" s="139"/>
      <c r="R182" s="139"/>
      <c r="S182" s="139"/>
      <c r="U182" s="139"/>
      <c r="V182" s="139"/>
      <c r="W182" s="139"/>
    </row>
    <row r="183" spans="1:23" x14ac:dyDescent="0.2">
      <c r="A183" s="141" t="s">
        <v>236</v>
      </c>
      <c r="B183" s="142" t="s">
        <v>36</v>
      </c>
      <c r="C183" s="142" t="s">
        <v>76</v>
      </c>
      <c r="D183" s="139"/>
      <c r="E183" s="139"/>
      <c r="F183" s="139"/>
      <c r="G183" s="139"/>
      <c r="I183" s="139"/>
      <c r="J183" s="139"/>
      <c r="K183" s="139"/>
      <c r="L183" s="139"/>
      <c r="N183" s="139"/>
      <c r="O183" s="144"/>
      <c r="P183" s="139"/>
      <c r="Q183" s="139"/>
      <c r="R183" s="139"/>
      <c r="S183" s="139"/>
      <c r="U183" s="139"/>
      <c r="V183" s="139"/>
      <c r="W183" s="139"/>
    </row>
    <row r="184" spans="1:23" x14ac:dyDescent="0.2">
      <c r="A184" s="141" t="s">
        <v>237</v>
      </c>
      <c r="B184" s="142" t="s">
        <v>36</v>
      </c>
      <c r="C184" s="142" t="s">
        <v>24</v>
      </c>
      <c r="D184" s="139"/>
      <c r="E184" s="139"/>
      <c r="F184" s="139"/>
      <c r="G184" s="139"/>
      <c r="I184" s="139"/>
      <c r="J184" s="139"/>
      <c r="K184" s="139"/>
      <c r="L184" s="139"/>
      <c r="N184" s="139"/>
      <c r="O184" s="144"/>
      <c r="P184" s="139"/>
      <c r="Q184" s="139"/>
      <c r="R184" s="139"/>
      <c r="S184" s="139"/>
      <c r="U184" s="139"/>
      <c r="V184" s="139"/>
      <c r="W184" s="139"/>
    </row>
    <row r="185" spans="1:23" x14ac:dyDescent="0.2">
      <c r="A185" s="138" t="str">
        <f t="shared" ref="A185" si="15">B185&amp;RIGHT(C185,2)</f>
        <v>BWH12</v>
      </c>
      <c r="B185" s="19" t="s">
        <v>110</v>
      </c>
      <c r="C185" s="143" t="s">
        <v>64</v>
      </c>
      <c r="D185" s="139"/>
      <c r="E185" s="139"/>
      <c r="F185" s="139"/>
      <c r="G185" s="139"/>
      <c r="I185" s="139"/>
      <c r="J185" s="139"/>
      <c r="K185" s="139"/>
      <c r="L185" s="139"/>
      <c r="N185" s="139"/>
      <c r="O185" s="144"/>
      <c r="P185" s="139"/>
      <c r="Q185" s="139"/>
      <c r="R185" s="139"/>
      <c r="S185" s="139"/>
      <c r="U185" s="139"/>
      <c r="V185" s="139"/>
      <c r="W185" s="139"/>
    </row>
    <row r="186" spans="1:23" x14ac:dyDescent="0.2">
      <c r="A186" s="138" t="str">
        <f>B186&amp;RIGHT(C186,2)</f>
        <v>BWH13</v>
      </c>
      <c r="B186" s="19" t="s">
        <v>110</v>
      </c>
      <c r="C186" s="143" t="s">
        <v>65</v>
      </c>
      <c r="D186" s="139"/>
      <c r="E186" s="139"/>
      <c r="F186" s="139"/>
      <c r="G186" s="139"/>
      <c r="I186" s="139"/>
      <c r="J186" s="139"/>
      <c r="K186" s="139"/>
      <c r="L186" s="139"/>
      <c r="N186" s="139"/>
      <c r="O186" s="144"/>
      <c r="P186" s="139"/>
      <c r="Q186" s="139"/>
      <c r="R186" s="139"/>
      <c r="S186" s="139"/>
      <c r="U186" s="139"/>
      <c r="V186" s="139"/>
      <c r="W186" s="139"/>
    </row>
    <row r="187" spans="1:23" x14ac:dyDescent="0.2">
      <c r="A187" s="138" t="str">
        <f>B187&amp;RIGHT(C187,2)</f>
        <v>BWH14</v>
      </c>
      <c r="B187" s="19" t="s">
        <v>110</v>
      </c>
      <c r="C187" s="143" t="s">
        <v>66</v>
      </c>
      <c r="D187" s="139"/>
      <c r="E187" s="139"/>
      <c r="F187" s="139"/>
      <c r="G187" s="139"/>
      <c r="I187" s="139"/>
      <c r="J187" s="139"/>
      <c r="K187" s="139"/>
      <c r="L187" s="139"/>
      <c r="N187" s="139"/>
      <c r="O187" s="144"/>
      <c r="P187" s="139"/>
      <c r="Q187" s="139"/>
      <c r="R187" s="139"/>
      <c r="S187" s="139"/>
      <c r="U187" s="139"/>
      <c r="V187" s="139"/>
      <c r="W187" s="139"/>
    </row>
    <row r="188" spans="1:23" x14ac:dyDescent="0.2">
      <c r="A188" s="138" t="str">
        <f>B188&amp;RIGHT(C188,2)</f>
        <v>BWH15</v>
      </c>
      <c r="B188" s="19" t="s">
        <v>110</v>
      </c>
      <c r="C188" s="143" t="s">
        <v>67</v>
      </c>
      <c r="D188" s="139"/>
      <c r="E188" s="139"/>
      <c r="F188" s="139"/>
      <c r="G188" s="139"/>
      <c r="I188" s="139"/>
      <c r="J188" s="139"/>
      <c r="K188" s="139"/>
      <c r="L188" s="139"/>
      <c r="N188" s="139"/>
      <c r="O188" s="144"/>
      <c r="P188" s="139"/>
      <c r="Q188" s="139"/>
      <c r="R188" s="139"/>
      <c r="S188" s="139"/>
      <c r="U188" s="139"/>
      <c r="V188" s="139"/>
      <c r="W188" s="139"/>
    </row>
    <row r="189" spans="1:23" x14ac:dyDescent="0.2">
      <c r="A189" s="138" t="str">
        <f>B189&amp;RIGHT(C189,2)</f>
        <v>BWH16</v>
      </c>
      <c r="B189" s="19" t="s">
        <v>110</v>
      </c>
      <c r="C189" s="143" t="s">
        <v>68</v>
      </c>
      <c r="D189" s="139"/>
      <c r="E189" s="139"/>
      <c r="F189" s="139"/>
      <c r="G189" s="139"/>
      <c r="I189" s="139"/>
      <c r="J189" s="139"/>
      <c r="K189" s="139"/>
      <c r="L189" s="139"/>
      <c r="N189" s="139"/>
      <c r="O189" s="144"/>
      <c r="P189" s="139"/>
      <c r="Q189" s="139"/>
      <c r="R189" s="139"/>
      <c r="S189" s="139"/>
      <c r="U189" s="139"/>
      <c r="V189" s="139"/>
      <c r="W189" s="139"/>
    </row>
    <row r="190" spans="1:23" x14ac:dyDescent="0.2">
      <c r="A190" s="138" t="str">
        <f>B190&amp;RIGHT(C190,2)</f>
        <v>BWH17</v>
      </c>
      <c r="B190" s="19" t="s">
        <v>110</v>
      </c>
      <c r="C190" s="143" t="s">
        <v>69</v>
      </c>
      <c r="D190" s="139"/>
      <c r="E190" s="139"/>
      <c r="F190" s="139"/>
      <c r="G190" s="139"/>
      <c r="I190" s="139"/>
      <c r="J190" s="139"/>
      <c r="K190" s="139"/>
      <c r="L190" s="139"/>
      <c r="N190" s="139"/>
      <c r="O190" s="144"/>
      <c r="P190" s="139"/>
      <c r="Q190" s="139"/>
      <c r="R190" s="139"/>
      <c r="S190" s="139"/>
      <c r="U190" s="139"/>
      <c r="V190" s="139"/>
      <c r="W190" s="139"/>
    </row>
    <row r="191" spans="1:23" x14ac:dyDescent="0.2">
      <c r="A191" s="141" t="s">
        <v>238</v>
      </c>
      <c r="B191" s="142" t="s">
        <v>110</v>
      </c>
      <c r="C191" s="142" t="s">
        <v>70</v>
      </c>
      <c r="D191" s="139"/>
      <c r="E191" s="139"/>
      <c r="F191" s="139"/>
      <c r="G191" s="139"/>
      <c r="I191" s="139"/>
      <c r="J191" s="139"/>
      <c r="K191" s="139"/>
      <c r="L191" s="139"/>
      <c r="N191" s="139"/>
      <c r="O191" s="144"/>
      <c r="P191" s="139"/>
      <c r="Q191" s="139"/>
      <c r="R191" s="139"/>
      <c r="S191" s="139"/>
      <c r="U191" s="139"/>
      <c r="V191" s="139"/>
      <c r="W191" s="139"/>
    </row>
    <row r="192" spans="1:23" x14ac:dyDescent="0.2">
      <c r="A192" s="141" t="s">
        <v>239</v>
      </c>
      <c r="B192" s="142" t="s">
        <v>110</v>
      </c>
      <c r="C192" s="142" t="s">
        <v>71</v>
      </c>
      <c r="D192" s="139"/>
      <c r="E192" s="139"/>
      <c r="F192" s="139"/>
      <c r="G192" s="139"/>
      <c r="I192" s="139"/>
      <c r="J192" s="139"/>
      <c r="K192" s="139"/>
      <c r="L192" s="139"/>
      <c r="N192" s="139"/>
      <c r="O192" s="144"/>
      <c r="P192" s="139"/>
      <c r="Q192" s="139"/>
      <c r="R192" s="139"/>
      <c r="S192" s="139"/>
      <c r="U192" s="139"/>
      <c r="V192" s="139"/>
      <c r="W192" s="139"/>
    </row>
    <row r="193" spans="1:23" x14ac:dyDescent="0.2">
      <c r="A193" s="141" t="s">
        <v>240</v>
      </c>
      <c r="B193" s="142" t="s">
        <v>110</v>
      </c>
      <c r="C193" s="142" t="s">
        <v>72</v>
      </c>
      <c r="D193" s="139"/>
      <c r="E193" s="139"/>
      <c r="F193" s="139"/>
      <c r="G193" s="139"/>
      <c r="I193" s="139"/>
      <c r="J193" s="139"/>
      <c r="K193" s="139"/>
      <c r="L193" s="139"/>
      <c r="N193" s="139"/>
      <c r="O193" s="144"/>
      <c r="P193" s="139"/>
      <c r="Q193" s="139"/>
      <c r="R193" s="139"/>
      <c r="S193" s="139"/>
      <c r="U193" s="139"/>
      <c r="V193" s="139"/>
      <c r="W193" s="139"/>
    </row>
    <row r="194" spans="1:23" x14ac:dyDescent="0.2">
      <c r="A194" s="141" t="s">
        <v>241</v>
      </c>
      <c r="B194" s="142" t="s">
        <v>110</v>
      </c>
      <c r="C194" s="142" t="s">
        <v>73</v>
      </c>
      <c r="D194" s="139"/>
      <c r="E194" s="139"/>
      <c r="F194" s="139"/>
      <c r="G194" s="139"/>
      <c r="I194" s="139"/>
      <c r="J194" s="139"/>
      <c r="K194" s="139"/>
      <c r="L194" s="139"/>
      <c r="N194" s="139"/>
      <c r="O194" s="144"/>
      <c r="P194" s="139"/>
      <c r="Q194" s="139"/>
      <c r="R194" s="139"/>
      <c r="S194" s="139"/>
      <c r="U194" s="139"/>
      <c r="V194" s="139"/>
      <c r="W194" s="139"/>
    </row>
    <row r="195" spans="1:23" x14ac:dyDescent="0.2">
      <c r="A195" s="141" t="s">
        <v>242</v>
      </c>
      <c r="B195" s="142" t="s">
        <v>110</v>
      </c>
      <c r="C195" s="142" t="s">
        <v>74</v>
      </c>
      <c r="D195" s="139"/>
      <c r="E195" s="139"/>
      <c r="F195" s="139"/>
      <c r="G195" s="139"/>
      <c r="I195" s="139"/>
      <c r="J195" s="139"/>
      <c r="K195" s="139"/>
      <c r="L195" s="139"/>
      <c r="N195" s="139"/>
      <c r="O195" s="144"/>
      <c r="P195" s="139"/>
      <c r="Q195" s="139"/>
      <c r="R195" s="139"/>
      <c r="S195" s="139"/>
      <c r="U195" s="139"/>
      <c r="V195" s="139"/>
      <c r="W195" s="139"/>
    </row>
    <row r="196" spans="1:23" x14ac:dyDescent="0.2">
      <c r="A196" s="141" t="s">
        <v>243</v>
      </c>
      <c r="B196" s="142" t="s">
        <v>110</v>
      </c>
      <c r="C196" s="142" t="s">
        <v>75</v>
      </c>
      <c r="D196" s="139"/>
      <c r="E196" s="139"/>
      <c r="F196" s="139"/>
      <c r="G196" s="139"/>
      <c r="I196" s="139"/>
      <c r="J196" s="139"/>
      <c r="K196" s="139"/>
      <c r="L196" s="139"/>
      <c r="N196" s="139"/>
      <c r="O196" s="144"/>
      <c r="P196" s="139"/>
      <c r="Q196" s="139"/>
      <c r="R196" s="139"/>
      <c r="S196" s="139"/>
      <c r="U196" s="139"/>
      <c r="V196" s="139"/>
      <c r="W196" s="139"/>
    </row>
    <row r="197" spans="1:23" x14ac:dyDescent="0.2">
      <c r="A197" s="141" t="s">
        <v>244</v>
      </c>
      <c r="B197" s="142" t="s">
        <v>110</v>
      </c>
      <c r="C197" s="142" t="s">
        <v>76</v>
      </c>
      <c r="D197" s="139"/>
      <c r="E197" s="139"/>
      <c r="F197" s="139"/>
      <c r="G197" s="139"/>
      <c r="I197" s="139"/>
      <c r="J197" s="139"/>
      <c r="K197" s="139"/>
      <c r="L197" s="139"/>
      <c r="N197" s="139"/>
      <c r="O197" s="144"/>
      <c r="P197" s="139"/>
      <c r="Q197" s="139"/>
      <c r="R197" s="139"/>
      <c r="S197" s="139"/>
      <c r="U197" s="139"/>
      <c r="V197" s="139"/>
      <c r="W197" s="139"/>
    </row>
    <row r="198" spans="1:23" x14ac:dyDescent="0.2">
      <c r="A198" s="141" t="s">
        <v>245</v>
      </c>
      <c r="B198" s="142" t="s">
        <v>110</v>
      </c>
      <c r="C198" s="142" t="s">
        <v>24</v>
      </c>
      <c r="D198" s="139"/>
      <c r="E198" s="139"/>
      <c r="F198" s="139"/>
      <c r="G198" s="139"/>
      <c r="I198" s="139"/>
      <c r="J198" s="139"/>
      <c r="K198" s="139"/>
      <c r="L198" s="139"/>
      <c r="N198" s="139"/>
      <c r="O198" s="144"/>
      <c r="P198" s="139"/>
      <c r="Q198" s="139"/>
      <c r="R198" s="139"/>
      <c r="S198" s="139"/>
      <c r="U198" s="139"/>
      <c r="V198" s="139"/>
      <c r="W198" s="139"/>
    </row>
    <row r="199" spans="1:23" x14ac:dyDescent="0.2">
      <c r="A199" s="138" t="str">
        <f t="shared" ref="A199" si="16">B199&amp;RIGHT(C199,2)</f>
        <v>DVW12</v>
      </c>
      <c r="B199" s="19" t="s">
        <v>111</v>
      </c>
      <c r="C199" s="143" t="s">
        <v>64</v>
      </c>
      <c r="D199" s="139"/>
      <c r="E199" s="139"/>
      <c r="F199" s="139"/>
      <c r="G199" s="139"/>
      <c r="I199" s="139"/>
      <c r="J199" s="139"/>
      <c r="K199" s="139"/>
      <c r="L199" s="139"/>
      <c r="N199" s="139"/>
      <c r="O199" s="144"/>
      <c r="P199" s="139"/>
      <c r="Q199" s="139"/>
      <c r="R199" s="139"/>
      <c r="S199" s="139"/>
      <c r="U199" s="139"/>
      <c r="V199" s="139"/>
      <c r="W199" s="139"/>
    </row>
    <row r="200" spans="1:23" x14ac:dyDescent="0.2">
      <c r="A200" s="138" t="str">
        <f>B200&amp;RIGHT(C200,2)</f>
        <v>DVW13</v>
      </c>
      <c r="B200" s="19" t="s">
        <v>111</v>
      </c>
      <c r="C200" s="143" t="s">
        <v>65</v>
      </c>
      <c r="D200" s="139"/>
      <c r="E200" s="139"/>
      <c r="F200" s="139"/>
      <c r="G200" s="139"/>
      <c r="I200" s="139"/>
      <c r="J200" s="139"/>
      <c r="K200" s="139"/>
      <c r="L200" s="139"/>
      <c r="N200" s="139"/>
      <c r="O200" s="144"/>
      <c r="P200" s="139"/>
      <c r="Q200" s="139"/>
      <c r="R200" s="139"/>
      <c r="S200" s="139"/>
      <c r="U200" s="139"/>
      <c r="V200" s="139"/>
      <c r="W200" s="139"/>
    </row>
    <row r="201" spans="1:23" x14ac:dyDescent="0.2">
      <c r="A201" s="138" t="str">
        <f>B201&amp;RIGHT(C201,2)</f>
        <v>DVW14</v>
      </c>
      <c r="B201" s="19" t="s">
        <v>111</v>
      </c>
      <c r="C201" s="143" t="s">
        <v>66</v>
      </c>
      <c r="D201" s="139"/>
      <c r="E201" s="139"/>
      <c r="F201" s="139"/>
      <c r="G201" s="139"/>
      <c r="I201" s="139"/>
      <c r="J201" s="139"/>
      <c r="K201" s="139"/>
      <c r="L201" s="139"/>
      <c r="N201" s="139"/>
      <c r="O201" s="144"/>
      <c r="P201" s="139"/>
      <c r="Q201" s="139"/>
      <c r="R201" s="139"/>
      <c r="S201" s="139"/>
      <c r="U201" s="139"/>
      <c r="V201" s="139"/>
      <c r="W201" s="139"/>
    </row>
    <row r="202" spans="1:23" x14ac:dyDescent="0.2">
      <c r="A202" s="138" t="str">
        <f>B202&amp;RIGHT(C202,2)</f>
        <v>DVW15</v>
      </c>
      <c r="B202" s="19" t="s">
        <v>111</v>
      </c>
      <c r="C202" s="143" t="s">
        <v>67</v>
      </c>
      <c r="D202" s="139"/>
      <c r="E202" s="139"/>
      <c r="F202" s="139"/>
      <c r="G202" s="139"/>
      <c r="I202" s="139"/>
      <c r="J202" s="139"/>
      <c r="K202" s="139"/>
      <c r="L202" s="139"/>
      <c r="N202" s="139"/>
      <c r="O202" s="144"/>
      <c r="P202" s="139"/>
      <c r="Q202" s="139"/>
      <c r="R202" s="139"/>
      <c r="S202" s="139"/>
      <c r="U202" s="139"/>
      <c r="V202" s="139"/>
      <c r="W202" s="139"/>
    </row>
    <row r="203" spans="1:23" x14ac:dyDescent="0.2">
      <c r="A203" s="138" t="str">
        <f>B203&amp;RIGHT(C203,2)</f>
        <v>DVW16</v>
      </c>
      <c r="B203" s="19" t="s">
        <v>111</v>
      </c>
      <c r="C203" s="143" t="s">
        <v>68</v>
      </c>
      <c r="D203" s="139"/>
      <c r="E203" s="139"/>
      <c r="F203" s="139"/>
      <c r="G203" s="139"/>
      <c r="I203" s="139"/>
      <c r="J203" s="139"/>
      <c r="K203" s="139"/>
      <c r="L203" s="139"/>
      <c r="N203" s="139"/>
      <c r="O203" s="144"/>
      <c r="P203" s="139"/>
      <c r="Q203" s="139"/>
      <c r="R203" s="139"/>
      <c r="S203" s="139"/>
      <c r="U203" s="139"/>
      <c r="V203" s="139"/>
      <c r="W203" s="139"/>
    </row>
    <row r="204" spans="1:23" x14ac:dyDescent="0.2">
      <c r="A204" s="138" t="str">
        <f>B204&amp;RIGHT(C204,2)</f>
        <v>DVW17</v>
      </c>
      <c r="B204" s="19" t="s">
        <v>111</v>
      </c>
      <c r="C204" s="143" t="s">
        <v>69</v>
      </c>
      <c r="D204" s="139"/>
      <c r="E204" s="139"/>
      <c r="F204" s="139"/>
      <c r="G204" s="139"/>
      <c r="I204" s="139"/>
      <c r="J204" s="139"/>
      <c r="K204" s="139"/>
      <c r="L204" s="139"/>
      <c r="N204" s="139"/>
      <c r="O204" s="144"/>
      <c r="P204" s="139"/>
      <c r="Q204" s="139"/>
      <c r="R204" s="139"/>
      <c r="S204" s="139"/>
      <c r="U204" s="139"/>
      <c r="V204" s="139"/>
      <c r="W204" s="139"/>
    </row>
    <row r="205" spans="1:23" x14ac:dyDescent="0.2">
      <c r="A205" s="141" t="s">
        <v>246</v>
      </c>
      <c r="B205" s="142" t="s">
        <v>111</v>
      </c>
      <c r="C205" s="142" t="s">
        <v>70</v>
      </c>
      <c r="D205" s="139"/>
      <c r="E205" s="139"/>
      <c r="F205" s="139"/>
      <c r="G205" s="139"/>
      <c r="I205" s="139"/>
      <c r="J205" s="139"/>
      <c r="K205" s="139"/>
      <c r="L205" s="139"/>
      <c r="N205" s="139"/>
      <c r="O205" s="144"/>
      <c r="P205" s="139"/>
      <c r="Q205" s="139"/>
      <c r="R205" s="139"/>
      <c r="S205" s="139"/>
      <c r="U205" s="139"/>
      <c r="V205" s="139"/>
      <c r="W205" s="139"/>
    </row>
    <row r="206" spans="1:23" x14ac:dyDescent="0.2">
      <c r="A206" s="141" t="s">
        <v>247</v>
      </c>
      <c r="B206" s="142" t="s">
        <v>111</v>
      </c>
      <c r="C206" s="142" t="s">
        <v>71</v>
      </c>
      <c r="D206" s="139"/>
      <c r="E206" s="139"/>
      <c r="F206" s="139"/>
      <c r="G206" s="139"/>
      <c r="I206" s="139"/>
      <c r="J206" s="139"/>
      <c r="K206" s="139"/>
      <c r="L206" s="139"/>
      <c r="N206" s="139"/>
      <c r="O206" s="144"/>
      <c r="P206" s="139"/>
      <c r="Q206" s="139"/>
      <c r="R206" s="139"/>
      <c r="S206" s="139"/>
      <c r="U206" s="139"/>
      <c r="V206" s="139"/>
      <c r="W206" s="139"/>
    </row>
    <row r="207" spans="1:23" x14ac:dyDescent="0.2">
      <c r="A207" s="141" t="s">
        <v>248</v>
      </c>
      <c r="B207" s="142" t="s">
        <v>111</v>
      </c>
      <c r="C207" s="142" t="s">
        <v>72</v>
      </c>
      <c r="D207" s="139"/>
      <c r="E207" s="139"/>
      <c r="F207" s="139"/>
      <c r="G207" s="139"/>
      <c r="I207" s="139"/>
      <c r="J207" s="139"/>
      <c r="K207" s="139"/>
      <c r="L207" s="139"/>
      <c r="N207" s="139"/>
      <c r="O207" s="144"/>
      <c r="P207" s="139"/>
      <c r="Q207" s="139"/>
      <c r="R207" s="139"/>
      <c r="S207" s="139"/>
      <c r="U207" s="139"/>
      <c r="V207" s="139"/>
      <c r="W207" s="139"/>
    </row>
    <row r="208" spans="1:23" x14ac:dyDescent="0.2">
      <c r="A208" s="141" t="s">
        <v>249</v>
      </c>
      <c r="B208" s="142" t="s">
        <v>111</v>
      </c>
      <c r="C208" s="142" t="s">
        <v>73</v>
      </c>
      <c r="D208" s="139"/>
      <c r="E208" s="139"/>
      <c r="F208" s="139"/>
      <c r="G208" s="139"/>
      <c r="I208" s="139"/>
      <c r="J208" s="139"/>
      <c r="K208" s="139"/>
      <c r="L208" s="139"/>
      <c r="N208" s="139"/>
      <c r="O208" s="144"/>
      <c r="P208" s="139"/>
      <c r="Q208" s="139"/>
      <c r="R208" s="139"/>
      <c r="S208" s="139"/>
      <c r="U208" s="139"/>
      <c r="V208" s="139"/>
      <c r="W208" s="139"/>
    </row>
    <row r="209" spans="1:24" x14ac:dyDescent="0.2">
      <c r="A209" s="141" t="s">
        <v>250</v>
      </c>
      <c r="B209" s="142" t="s">
        <v>111</v>
      </c>
      <c r="C209" s="142" t="s">
        <v>74</v>
      </c>
      <c r="D209" s="139"/>
      <c r="E209" s="139"/>
      <c r="F209" s="139"/>
      <c r="G209" s="139"/>
      <c r="I209" s="139"/>
      <c r="J209" s="139"/>
      <c r="K209" s="139"/>
      <c r="L209" s="139"/>
      <c r="N209" s="139"/>
      <c r="O209" s="144"/>
      <c r="P209" s="139"/>
      <c r="Q209" s="139"/>
      <c r="R209" s="139"/>
      <c r="S209" s="139"/>
      <c r="U209" s="139"/>
      <c r="V209" s="139"/>
      <c r="W209" s="139"/>
    </row>
    <row r="210" spans="1:24" x14ac:dyDescent="0.2">
      <c r="A210" s="141" t="s">
        <v>251</v>
      </c>
      <c r="B210" s="142" t="s">
        <v>111</v>
      </c>
      <c r="C210" s="142" t="s">
        <v>75</v>
      </c>
      <c r="D210" s="139"/>
      <c r="E210" s="139"/>
      <c r="F210" s="139"/>
      <c r="G210" s="139"/>
      <c r="I210" s="139"/>
      <c r="J210" s="139"/>
      <c r="K210" s="139"/>
      <c r="L210" s="139"/>
      <c r="N210" s="139"/>
      <c r="O210" s="144"/>
      <c r="P210" s="139"/>
      <c r="Q210" s="139"/>
      <c r="R210" s="139"/>
      <c r="S210" s="139"/>
      <c r="U210" s="139"/>
      <c r="V210" s="139"/>
      <c r="W210" s="139"/>
    </row>
    <row r="211" spans="1:24" x14ac:dyDescent="0.2">
      <c r="A211" s="141" t="s">
        <v>252</v>
      </c>
      <c r="B211" s="142" t="s">
        <v>111</v>
      </c>
      <c r="C211" s="142" t="s">
        <v>76</v>
      </c>
      <c r="D211" s="139"/>
      <c r="E211" s="139"/>
      <c r="F211" s="139"/>
      <c r="G211" s="139"/>
      <c r="I211" s="139"/>
      <c r="J211" s="139"/>
      <c r="K211" s="139"/>
      <c r="L211" s="139"/>
      <c r="N211" s="139"/>
      <c r="O211" s="144"/>
      <c r="P211" s="139"/>
      <c r="Q211" s="139"/>
      <c r="R211" s="139"/>
      <c r="S211" s="139"/>
      <c r="U211" s="139"/>
      <c r="V211" s="139"/>
      <c r="W211" s="139"/>
    </row>
    <row r="212" spans="1:24" x14ac:dyDescent="0.2">
      <c r="A212" s="141" t="s">
        <v>253</v>
      </c>
      <c r="B212" s="142" t="s">
        <v>111</v>
      </c>
      <c r="C212" s="142" t="s">
        <v>24</v>
      </c>
      <c r="D212" s="139"/>
      <c r="E212" s="139"/>
      <c r="F212" s="139"/>
      <c r="G212" s="139"/>
      <c r="I212" s="139"/>
      <c r="J212" s="139"/>
      <c r="K212" s="139"/>
      <c r="L212" s="139"/>
      <c r="N212" s="139"/>
      <c r="O212" s="144"/>
      <c r="P212" s="139"/>
      <c r="Q212" s="139"/>
      <c r="R212" s="139"/>
      <c r="S212" s="139"/>
      <c r="U212" s="139"/>
      <c r="V212" s="139"/>
      <c r="W212" s="139"/>
    </row>
    <row r="213" spans="1:24" x14ac:dyDescent="0.2">
      <c r="A213" s="138" t="str">
        <f t="shared" ref="A213" si="17">B213&amp;RIGHT(C213,2)</f>
        <v>PRT12</v>
      </c>
      <c r="B213" s="19" t="s">
        <v>37</v>
      </c>
      <c r="C213" s="143" t="s">
        <v>64</v>
      </c>
      <c r="D213" s="139"/>
      <c r="E213" s="139"/>
      <c r="F213" s="139"/>
      <c r="G213" s="139"/>
      <c r="I213" s="139"/>
      <c r="J213" s="139"/>
      <c r="K213" s="139"/>
      <c r="L213" s="139"/>
      <c r="N213" s="139"/>
      <c r="O213" s="144"/>
      <c r="P213" s="139"/>
      <c r="Q213" s="139"/>
      <c r="R213" s="139"/>
      <c r="S213" s="139"/>
      <c r="U213" s="139"/>
      <c r="V213" s="139"/>
      <c r="W213" s="139"/>
    </row>
    <row r="214" spans="1:24" x14ac:dyDescent="0.2">
      <c r="A214" s="138" t="str">
        <f>B214&amp;RIGHT(C214,2)</f>
        <v>PRT13</v>
      </c>
      <c r="B214" s="19" t="s">
        <v>37</v>
      </c>
      <c r="C214" s="143" t="s">
        <v>65</v>
      </c>
      <c r="D214" s="139"/>
      <c r="E214" s="139"/>
      <c r="F214" s="139"/>
      <c r="G214" s="139"/>
      <c r="I214" s="139"/>
      <c r="J214" s="139"/>
      <c r="K214" s="139"/>
      <c r="L214" s="139"/>
      <c r="N214" s="139"/>
      <c r="O214" s="144"/>
      <c r="P214" s="139"/>
      <c r="Q214" s="139"/>
      <c r="R214" s="139"/>
      <c r="S214" s="139"/>
      <c r="U214" s="139"/>
      <c r="V214" s="139"/>
      <c r="W214" s="139"/>
    </row>
    <row r="215" spans="1:24" x14ac:dyDescent="0.2">
      <c r="A215" s="138" t="str">
        <f>B215&amp;RIGHT(C215,2)</f>
        <v>PRT14</v>
      </c>
      <c r="B215" s="19" t="s">
        <v>37</v>
      </c>
      <c r="C215" s="143" t="s">
        <v>66</v>
      </c>
      <c r="D215" s="139"/>
      <c r="E215" s="139"/>
      <c r="F215" s="139"/>
      <c r="G215" s="139"/>
      <c r="I215" s="139"/>
      <c r="J215" s="139"/>
      <c r="K215" s="139"/>
      <c r="L215" s="139"/>
      <c r="N215" s="139"/>
      <c r="O215" s="144"/>
      <c r="P215" s="139"/>
      <c r="Q215" s="139"/>
      <c r="R215" s="139"/>
      <c r="S215" s="139"/>
      <c r="U215" s="139"/>
      <c r="V215" s="139"/>
      <c r="W215" s="139"/>
    </row>
    <row r="216" spans="1:24" x14ac:dyDescent="0.2">
      <c r="A216" s="138" t="str">
        <f>B216&amp;RIGHT(C216,2)</f>
        <v>PRT15</v>
      </c>
      <c r="B216" s="19" t="s">
        <v>37</v>
      </c>
      <c r="C216" s="143" t="s">
        <v>67</v>
      </c>
      <c r="D216" s="139"/>
      <c r="E216" s="139"/>
      <c r="F216" s="139"/>
      <c r="G216" s="139"/>
      <c r="I216" s="139"/>
      <c r="J216" s="139"/>
      <c r="K216" s="139"/>
      <c r="L216" s="139"/>
      <c r="N216" s="139"/>
      <c r="O216" s="144"/>
      <c r="P216" s="139"/>
      <c r="Q216" s="139"/>
      <c r="R216" s="139"/>
      <c r="S216" s="139"/>
      <c r="U216" s="139"/>
      <c r="V216" s="139"/>
      <c r="W216" s="139"/>
    </row>
    <row r="217" spans="1:24" x14ac:dyDescent="0.2">
      <c r="A217" s="138" t="str">
        <f>B217&amp;RIGHT(C217,2)</f>
        <v>PRT16</v>
      </c>
      <c r="B217" s="19" t="s">
        <v>37</v>
      </c>
      <c r="C217" s="143" t="s">
        <v>68</v>
      </c>
      <c r="D217" s="139"/>
      <c r="E217" s="139"/>
      <c r="F217" s="139"/>
      <c r="G217" s="139"/>
      <c r="I217" s="139"/>
      <c r="J217" s="139"/>
      <c r="K217" s="139"/>
      <c r="L217" s="139"/>
      <c r="N217" s="139"/>
      <c r="O217" s="144"/>
      <c r="P217" s="139"/>
      <c r="Q217" s="139"/>
      <c r="R217" s="139"/>
      <c r="S217" s="139"/>
      <c r="U217" s="139"/>
      <c r="V217" s="139"/>
      <c r="W217" s="139"/>
    </row>
    <row r="218" spans="1:24" x14ac:dyDescent="0.2">
      <c r="A218" s="138" t="str">
        <f>B218&amp;RIGHT(C218,2)</f>
        <v>PRT17</v>
      </c>
      <c r="B218" s="19" t="s">
        <v>37</v>
      </c>
      <c r="C218" s="143" t="s">
        <v>69</v>
      </c>
      <c r="D218" s="139"/>
      <c r="E218" s="139"/>
      <c r="F218" s="139"/>
      <c r="G218" s="139"/>
      <c r="I218" s="139"/>
      <c r="J218" s="139"/>
      <c r="K218" s="139"/>
      <c r="L218" s="139"/>
      <c r="N218" s="139"/>
      <c r="O218" s="144"/>
      <c r="P218" s="139"/>
      <c r="Q218" s="139"/>
      <c r="R218" s="139"/>
      <c r="S218" s="139"/>
      <c r="U218" s="139"/>
      <c r="V218" s="139"/>
      <c r="W218" s="139"/>
    </row>
    <row r="219" spans="1:24" x14ac:dyDescent="0.2">
      <c r="A219" s="141" t="s">
        <v>254</v>
      </c>
      <c r="B219" s="142" t="s">
        <v>37</v>
      </c>
      <c r="C219" s="142" t="s">
        <v>70</v>
      </c>
      <c r="D219" s="139"/>
      <c r="E219" s="139"/>
      <c r="F219" s="139"/>
      <c r="G219" s="139"/>
      <c r="I219" s="139"/>
      <c r="J219" s="139"/>
      <c r="K219" s="139"/>
      <c r="L219" s="139"/>
      <c r="N219" s="139"/>
      <c r="O219" s="144"/>
      <c r="P219" s="139"/>
      <c r="Q219" s="139"/>
      <c r="R219" s="139"/>
      <c r="S219" s="139"/>
      <c r="U219" s="139"/>
      <c r="V219" s="139"/>
      <c r="W219" s="139"/>
    </row>
    <row r="220" spans="1:24" x14ac:dyDescent="0.2">
      <c r="A220" s="141" t="s">
        <v>255</v>
      </c>
      <c r="B220" s="142" t="s">
        <v>37</v>
      </c>
      <c r="C220" s="142" t="s">
        <v>71</v>
      </c>
      <c r="D220" s="139"/>
      <c r="E220" s="139"/>
      <c r="F220" s="139"/>
      <c r="G220" s="139"/>
      <c r="I220" s="139"/>
      <c r="J220" s="139"/>
      <c r="K220" s="139"/>
      <c r="L220" s="139"/>
      <c r="N220" s="139"/>
      <c r="O220" s="144"/>
      <c r="P220" s="139"/>
      <c r="Q220" s="139"/>
      <c r="R220" s="139"/>
      <c r="S220" s="139"/>
      <c r="U220" s="139"/>
      <c r="V220" s="139"/>
      <c r="W220" s="139"/>
    </row>
    <row r="221" spans="1:24" x14ac:dyDescent="0.2">
      <c r="A221" s="141" t="s">
        <v>256</v>
      </c>
      <c r="B221" s="142" t="s">
        <v>37</v>
      </c>
      <c r="C221" s="142" t="s">
        <v>72</v>
      </c>
      <c r="D221" s="139"/>
      <c r="E221" s="139"/>
      <c r="F221" s="139"/>
      <c r="G221" s="139"/>
      <c r="I221" s="139"/>
      <c r="J221" s="139"/>
      <c r="K221" s="139"/>
      <c r="L221" s="139"/>
      <c r="N221" s="139"/>
      <c r="O221" s="144"/>
      <c r="P221" s="139"/>
      <c r="Q221" s="139"/>
      <c r="R221" s="139"/>
      <c r="S221" s="139"/>
      <c r="U221" s="139"/>
      <c r="V221" s="139"/>
      <c r="W221" s="139"/>
    </row>
    <row r="222" spans="1:24" x14ac:dyDescent="0.2">
      <c r="A222" s="141" t="s">
        <v>257</v>
      </c>
      <c r="B222" s="142" t="s">
        <v>37</v>
      </c>
      <c r="C222" s="142" t="s">
        <v>73</v>
      </c>
      <c r="D222" s="139"/>
      <c r="E222" s="274">
        <v>0</v>
      </c>
      <c r="F222" s="139"/>
      <c r="G222" s="139"/>
      <c r="I222" s="139"/>
      <c r="J222" s="139"/>
      <c r="K222" s="139"/>
      <c r="L222" s="139"/>
      <c r="N222" s="139"/>
      <c r="O222" s="144"/>
      <c r="P222" s="139"/>
      <c r="Q222" s="139"/>
      <c r="R222" s="139"/>
      <c r="S222" s="139"/>
      <c r="U222" s="139"/>
      <c r="V222" s="139"/>
      <c r="W222" s="139"/>
      <c r="X222" s="7" t="s">
        <v>788</v>
      </c>
    </row>
    <row r="223" spans="1:24" x14ac:dyDescent="0.2">
      <c r="A223" s="141" t="s">
        <v>258</v>
      </c>
      <c r="B223" s="142" t="s">
        <v>37</v>
      </c>
      <c r="C223" s="142" t="s">
        <v>74</v>
      </c>
      <c r="D223" s="139"/>
      <c r="E223" s="274">
        <v>0</v>
      </c>
      <c r="F223" s="139"/>
      <c r="G223" s="139"/>
      <c r="I223" s="139"/>
      <c r="J223" s="139"/>
      <c r="K223" s="139"/>
      <c r="L223" s="139"/>
      <c r="N223" s="139"/>
      <c r="O223" s="144"/>
      <c r="P223" s="139"/>
      <c r="Q223" s="139"/>
      <c r="R223" s="139"/>
      <c r="S223" s="139"/>
      <c r="U223" s="139"/>
      <c r="V223" s="139"/>
      <c r="W223" s="139"/>
      <c r="X223" s="7" t="s">
        <v>788</v>
      </c>
    </row>
    <row r="224" spans="1:24" x14ac:dyDescent="0.2">
      <c r="A224" s="141" t="s">
        <v>259</v>
      </c>
      <c r="B224" s="142" t="s">
        <v>37</v>
      </c>
      <c r="C224" s="142" t="s">
        <v>75</v>
      </c>
      <c r="D224" s="139"/>
      <c r="E224" s="274">
        <v>1.4450000000000001</v>
      </c>
      <c r="F224" s="139"/>
      <c r="G224" s="139"/>
      <c r="I224" s="139"/>
      <c r="J224" s="139"/>
      <c r="K224" s="139"/>
      <c r="L224" s="139"/>
      <c r="N224" s="139"/>
      <c r="O224" s="144"/>
      <c r="P224" s="139"/>
      <c r="Q224" s="139"/>
      <c r="R224" s="139"/>
      <c r="S224" s="139"/>
      <c r="U224" s="139"/>
      <c r="V224" s="139"/>
      <c r="W224" s="139"/>
      <c r="X224" s="7" t="s">
        <v>788</v>
      </c>
    </row>
    <row r="225" spans="1:24" x14ac:dyDescent="0.2">
      <c r="A225" s="141" t="s">
        <v>260</v>
      </c>
      <c r="B225" s="142" t="s">
        <v>37</v>
      </c>
      <c r="C225" s="142" t="s">
        <v>76</v>
      </c>
      <c r="D225" s="139"/>
      <c r="E225" s="274">
        <v>1.2090000000000001</v>
      </c>
      <c r="F225" s="139"/>
      <c r="G225" s="139"/>
      <c r="I225" s="139"/>
      <c r="J225" s="139"/>
      <c r="K225" s="139"/>
      <c r="L225" s="139"/>
      <c r="N225" s="139"/>
      <c r="O225" s="144"/>
      <c r="P225" s="139"/>
      <c r="Q225" s="139"/>
      <c r="R225" s="139"/>
      <c r="S225" s="139"/>
      <c r="U225" s="139"/>
      <c r="V225" s="139"/>
      <c r="W225" s="139"/>
      <c r="X225" s="7" t="s">
        <v>788</v>
      </c>
    </row>
    <row r="226" spans="1:24" x14ac:dyDescent="0.2">
      <c r="A226" s="141" t="s">
        <v>261</v>
      </c>
      <c r="B226" s="142" t="s">
        <v>37</v>
      </c>
      <c r="C226" s="142" t="s">
        <v>24</v>
      </c>
      <c r="D226" s="139"/>
      <c r="E226" s="274">
        <v>0</v>
      </c>
      <c r="F226" s="139"/>
      <c r="G226" s="139"/>
      <c r="I226" s="139"/>
      <c r="J226" s="139"/>
      <c r="K226" s="139"/>
      <c r="L226" s="139"/>
      <c r="N226" s="139"/>
      <c r="O226" s="144"/>
      <c r="P226" s="139"/>
      <c r="Q226" s="139"/>
      <c r="R226" s="139"/>
      <c r="S226" s="139"/>
      <c r="U226" s="139"/>
      <c r="V226" s="139"/>
      <c r="W226" s="139"/>
      <c r="X226" s="7" t="s">
        <v>788</v>
      </c>
    </row>
    <row r="227" spans="1:24" x14ac:dyDescent="0.2">
      <c r="A227" s="138" t="str">
        <f t="shared" ref="A227" si="18">B227&amp;RIGHT(C227,2)</f>
        <v>SES12</v>
      </c>
      <c r="B227" s="19" t="s">
        <v>40</v>
      </c>
      <c r="C227" s="143" t="s">
        <v>64</v>
      </c>
      <c r="D227" s="139"/>
      <c r="E227" s="139"/>
      <c r="F227" s="139"/>
      <c r="G227" s="139"/>
      <c r="I227" s="139"/>
      <c r="J227" s="139"/>
      <c r="K227" s="139"/>
      <c r="L227" s="139"/>
      <c r="N227" s="139"/>
      <c r="O227" s="144"/>
      <c r="P227" s="139"/>
      <c r="Q227" s="139"/>
      <c r="R227" s="139"/>
      <c r="S227" s="139"/>
      <c r="U227" s="139"/>
      <c r="V227" s="139"/>
      <c r="W227" s="139"/>
    </row>
    <row r="228" spans="1:24" x14ac:dyDescent="0.2">
      <c r="A228" s="138" t="str">
        <f>B228&amp;RIGHT(C228,2)</f>
        <v>SES13</v>
      </c>
      <c r="B228" s="19" t="s">
        <v>40</v>
      </c>
      <c r="C228" s="143" t="s">
        <v>65</v>
      </c>
      <c r="D228" s="139"/>
      <c r="E228" s="139"/>
      <c r="F228" s="139"/>
      <c r="G228" s="139"/>
      <c r="I228" s="139"/>
      <c r="J228" s="139"/>
      <c r="K228" s="139"/>
      <c r="L228" s="139"/>
      <c r="N228" s="139"/>
      <c r="O228" s="144"/>
      <c r="P228" s="139"/>
      <c r="Q228" s="139"/>
      <c r="R228" s="139"/>
      <c r="S228" s="139"/>
      <c r="U228" s="139"/>
      <c r="V228" s="139"/>
      <c r="W228" s="139"/>
    </row>
    <row r="229" spans="1:24" x14ac:dyDescent="0.2">
      <c r="A229" s="138" t="str">
        <f>B229&amp;RIGHT(C229,2)</f>
        <v>SES14</v>
      </c>
      <c r="B229" s="19" t="s">
        <v>40</v>
      </c>
      <c r="C229" s="143" t="s">
        <v>66</v>
      </c>
      <c r="D229" s="139"/>
      <c r="E229" s="139"/>
      <c r="F229" s="139"/>
      <c r="G229" s="139"/>
      <c r="I229" s="139"/>
      <c r="J229" s="139"/>
      <c r="K229" s="139"/>
      <c r="L229" s="139"/>
      <c r="N229" s="139"/>
      <c r="O229" s="144"/>
      <c r="P229" s="139"/>
      <c r="Q229" s="139"/>
      <c r="R229" s="139"/>
      <c r="S229" s="139"/>
      <c r="U229" s="139"/>
      <c r="V229" s="139"/>
      <c r="W229" s="139"/>
    </row>
    <row r="230" spans="1:24" x14ac:dyDescent="0.2">
      <c r="A230" s="138" t="str">
        <f>B230&amp;RIGHT(C230,2)</f>
        <v>SES15</v>
      </c>
      <c r="B230" s="19" t="s">
        <v>40</v>
      </c>
      <c r="C230" s="143" t="s">
        <v>67</v>
      </c>
      <c r="D230" s="139"/>
      <c r="E230" s="139"/>
      <c r="F230" s="139"/>
      <c r="G230" s="139"/>
      <c r="I230" s="139"/>
      <c r="J230" s="139"/>
      <c r="K230" s="139"/>
      <c r="L230" s="139"/>
      <c r="N230" s="139"/>
      <c r="O230" s="144"/>
      <c r="P230" s="139"/>
      <c r="Q230" s="139"/>
      <c r="R230" s="139"/>
      <c r="S230" s="139"/>
      <c r="U230" s="139"/>
      <c r="V230" s="139"/>
      <c r="W230" s="139"/>
    </row>
    <row r="231" spans="1:24" x14ac:dyDescent="0.2">
      <c r="A231" s="138" t="str">
        <f>B231&amp;RIGHT(C231,2)</f>
        <v>SES16</v>
      </c>
      <c r="B231" s="19" t="s">
        <v>40</v>
      </c>
      <c r="C231" s="143" t="s">
        <v>68</v>
      </c>
      <c r="D231" s="139"/>
      <c r="E231" s="139"/>
      <c r="F231" s="139"/>
      <c r="G231" s="139"/>
      <c r="I231" s="139"/>
      <c r="J231" s="139"/>
      <c r="K231" s="139"/>
      <c r="L231" s="139"/>
      <c r="N231" s="139"/>
      <c r="O231" s="144"/>
      <c r="P231" s="139"/>
      <c r="Q231" s="139"/>
      <c r="R231" s="139"/>
      <c r="S231" s="139"/>
      <c r="U231" s="139"/>
      <c r="V231" s="139"/>
      <c r="W231" s="139"/>
    </row>
    <row r="232" spans="1:24" x14ac:dyDescent="0.2">
      <c r="A232" s="138" t="str">
        <f>B232&amp;RIGHT(C232,2)</f>
        <v>SES17</v>
      </c>
      <c r="B232" s="19" t="s">
        <v>40</v>
      </c>
      <c r="C232" s="143" t="s">
        <v>69</v>
      </c>
      <c r="D232" s="139"/>
      <c r="E232" s="139"/>
      <c r="F232" s="139"/>
      <c r="G232" s="139"/>
      <c r="I232" s="139"/>
      <c r="J232" s="139"/>
      <c r="K232" s="139"/>
      <c r="L232" s="139"/>
      <c r="N232" s="139"/>
      <c r="O232" s="144"/>
      <c r="P232" s="139"/>
      <c r="Q232" s="139"/>
      <c r="R232" s="139"/>
      <c r="S232" s="139"/>
      <c r="U232" s="139"/>
      <c r="V232" s="139"/>
      <c r="W232" s="139"/>
    </row>
    <row r="233" spans="1:24" x14ac:dyDescent="0.2">
      <c r="A233" s="141" t="s">
        <v>262</v>
      </c>
      <c r="B233" s="142" t="s">
        <v>40</v>
      </c>
      <c r="C233" s="142" t="s">
        <v>70</v>
      </c>
      <c r="D233" s="139"/>
      <c r="E233" s="139"/>
      <c r="F233" s="139"/>
      <c r="G233" s="139"/>
      <c r="I233" s="139"/>
      <c r="J233" s="139"/>
      <c r="K233" s="139"/>
      <c r="L233" s="139"/>
      <c r="N233" s="139"/>
      <c r="O233" s="144"/>
      <c r="P233" s="139"/>
      <c r="Q233" s="139"/>
      <c r="R233" s="139"/>
      <c r="S233" s="139"/>
      <c r="U233" s="139"/>
      <c r="V233" s="139"/>
      <c r="W233" s="139"/>
    </row>
    <row r="234" spans="1:24" x14ac:dyDescent="0.2">
      <c r="A234" s="141" t="s">
        <v>263</v>
      </c>
      <c r="B234" s="142" t="s">
        <v>40</v>
      </c>
      <c r="C234" s="142" t="s">
        <v>71</v>
      </c>
      <c r="D234" s="139"/>
      <c r="E234" s="139"/>
      <c r="F234" s="139"/>
      <c r="G234" s="139"/>
      <c r="I234" s="139"/>
      <c r="J234" s="139"/>
      <c r="K234" s="139"/>
      <c r="L234" s="139"/>
      <c r="N234" s="139"/>
      <c r="O234" s="144"/>
      <c r="P234" s="139"/>
      <c r="Q234" s="139"/>
      <c r="R234" s="139"/>
      <c r="S234" s="139"/>
      <c r="U234" s="139"/>
      <c r="V234" s="139"/>
      <c r="W234" s="139"/>
    </row>
    <row r="235" spans="1:24" x14ac:dyDescent="0.2">
      <c r="A235" s="141" t="s">
        <v>264</v>
      </c>
      <c r="B235" s="142" t="s">
        <v>40</v>
      </c>
      <c r="C235" s="142" t="s">
        <v>72</v>
      </c>
      <c r="D235" s="139"/>
      <c r="E235" s="139"/>
      <c r="F235" s="139"/>
      <c r="G235" s="139"/>
      <c r="I235" s="139"/>
      <c r="J235" s="139"/>
      <c r="K235" s="139"/>
      <c r="L235" s="139"/>
      <c r="N235" s="139"/>
      <c r="O235" s="144"/>
      <c r="P235" s="139"/>
      <c r="Q235" s="139"/>
      <c r="R235" s="139"/>
      <c r="S235" s="139"/>
      <c r="U235" s="139"/>
      <c r="V235" s="139"/>
      <c r="W235" s="139"/>
    </row>
    <row r="236" spans="1:24" x14ac:dyDescent="0.2">
      <c r="A236" s="141" t="s">
        <v>265</v>
      </c>
      <c r="B236" s="142" t="s">
        <v>40</v>
      </c>
      <c r="C236" s="142" t="s">
        <v>73</v>
      </c>
      <c r="D236" s="139"/>
      <c r="E236" s="139"/>
      <c r="F236" s="139"/>
      <c r="G236" s="139"/>
      <c r="I236" s="139"/>
      <c r="J236" s="139"/>
      <c r="K236" s="139"/>
      <c r="L236" s="139"/>
      <c r="N236" s="139"/>
      <c r="O236" s="144"/>
      <c r="P236" s="139"/>
      <c r="Q236" s="139"/>
      <c r="R236" s="139"/>
      <c r="S236" s="139"/>
      <c r="U236" s="139"/>
      <c r="V236" s="139"/>
      <c r="W236" s="139"/>
    </row>
    <row r="237" spans="1:24" x14ac:dyDescent="0.2">
      <c r="A237" s="141" t="s">
        <v>266</v>
      </c>
      <c r="B237" s="142" t="s">
        <v>40</v>
      </c>
      <c r="C237" s="142" t="s">
        <v>74</v>
      </c>
      <c r="D237" s="139"/>
      <c r="E237" s="139"/>
      <c r="F237" s="139"/>
      <c r="G237" s="139"/>
      <c r="I237" s="139"/>
      <c r="J237" s="139"/>
      <c r="K237" s="139"/>
      <c r="L237" s="139"/>
      <c r="N237" s="139"/>
      <c r="O237" s="144"/>
      <c r="P237" s="139"/>
      <c r="Q237" s="139"/>
      <c r="R237" s="139"/>
      <c r="S237" s="139"/>
      <c r="U237" s="139"/>
      <c r="V237" s="139"/>
      <c r="W237" s="139"/>
    </row>
    <row r="238" spans="1:24" x14ac:dyDescent="0.2">
      <c r="A238" s="141" t="s">
        <v>267</v>
      </c>
      <c r="B238" s="142" t="s">
        <v>40</v>
      </c>
      <c r="C238" s="142" t="s">
        <v>75</v>
      </c>
      <c r="D238" s="139"/>
      <c r="E238" s="139"/>
      <c r="F238" s="139"/>
      <c r="G238" s="139"/>
      <c r="I238" s="139"/>
      <c r="J238" s="139"/>
      <c r="K238" s="139"/>
      <c r="L238" s="139"/>
      <c r="N238" s="139"/>
      <c r="O238" s="144"/>
      <c r="P238" s="139"/>
      <c r="Q238" s="139"/>
      <c r="R238" s="139"/>
      <c r="S238" s="139"/>
      <c r="U238" s="139"/>
      <c r="V238" s="139"/>
      <c r="W238" s="139"/>
    </row>
    <row r="239" spans="1:24" x14ac:dyDescent="0.2">
      <c r="A239" s="141" t="s">
        <v>268</v>
      </c>
      <c r="B239" s="142" t="s">
        <v>40</v>
      </c>
      <c r="C239" s="142" t="s">
        <v>76</v>
      </c>
      <c r="D239" s="139"/>
      <c r="E239" s="139"/>
      <c r="F239" s="139"/>
      <c r="G239" s="139"/>
      <c r="I239" s="139"/>
      <c r="J239" s="139"/>
      <c r="K239" s="139"/>
      <c r="L239" s="139"/>
      <c r="N239" s="139"/>
      <c r="O239" s="144"/>
      <c r="P239" s="139"/>
      <c r="Q239" s="139"/>
      <c r="R239" s="139"/>
      <c r="S239" s="139"/>
      <c r="U239" s="139"/>
      <c r="V239" s="139"/>
      <c r="W239" s="139"/>
    </row>
    <row r="240" spans="1:24" x14ac:dyDescent="0.2">
      <c r="A240" s="141" t="s">
        <v>269</v>
      </c>
      <c r="B240" s="142" t="s">
        <v>40</v>
      </c>
      <c r="C240" s="142" t="s">
        <v>24</v>
      </c>
      <c r="D240" s="139"/>
      <c r="E240" s="139"/>
      <c r="F240" s="139"/>
      <c r="G240" s="139"/>
      <c r="I240" s="139"/>
      <c r="J240" s="139"/>
      <c r="K240" s="139"/>
      <c r="L240" s="139"/>
      <c r="N240" s="139"/>
      <c r="O240" s="144"/>
      <c r="P240" s="139"/>
      <c r="Q240" s="139"/>
      <c r="R240" s="139"/>
      <c r="S240" s="139"/>
      <c r="U240" s="139"/>
      <c r="V240" s="139"/>
      <c r="W240" s="139"/>
    </row>
    <row r="241" spans="1:24" x14ac:dyDescent="0.2">
      <c r="A241" s="138" t="str">
        <f t="shared" ref="A241" si="19">B241&amp;RIGHT(C241,2)</f>
        <v>SEW12</v>
      </c>
      <c r="B241" s="19" t="s">
        <v>38</v>
      </c>
      <c r="C241" s="143" t="s">
        <v>64</v>
      </c>
      <c r="D241" s="139"/>
      <c r="E241" s="139"/>
      <c r="F241" s="139"/>
      <c r="G241" s="139"/>
      <c r="I241" s="139"/>
      <c r="J241" s="139"/>
      <c r="K241" s="139"/>
      <c r="L241" s="139"/>
      <c r="N241" s="139"/>
      <c r="O241" s="144"/>
      <c r="P241" s="139"/>
      <c r="Q241" s="139"/>
      <c r="R241" s="139"/>
      <c r="S241" s="139"/>
      <c r="U241" s="139"/>
      <c r="V241" s="139"/>
      <c r="W241" s="139"/>
    </row>
    <row r="242" spans="1:24" x14ac:dyDescent="0.2">
      <c r="A242" s="138" t="str">
        <f>B242&amp;RIGHT(C242,2)</f>
        <v>SEW13</v>
      </c>
      <c r="B242" s="19" t="s">
        <v>38</v>
      </c>
      <c r="C242" s="143" t="s">
        <v>65</v>
      </c>
      <c r="D242" s="139"/>
      <c r="E242" s="139"/>
      <c r="F242" s="139"/>
      <c r="G242" s="139"/>
      <c r="I242" s="139"/>
      <c r="J242" s="139"/>
      <c r="K242" s="139"/>
      <c r="L242" s="139"/>
      <c r="N242" s="139"/>
      <c r="O242" s="144"/>
      <c r="P242" s="139"/>
      <c r="Q242" s="139"/>
      <c r="R242" s="139"/>
      <c r="S242" s="139"/>
      <c r="U242" s="139"/>
      <c r="V242" s="139"/>
      <c r="W242" s="139"/>
    </row>
    <row r="243" spans="1:24" x14ac:dyDescent="0.2">
      <c r="A243" s="138" t="str">
        <f>B243&amp;RIGHT(C243,2)</f>
        <v>SEW14</v>
      </c>
      <c r="B243" s="19" t="s">
        <v>38</v>
      </c>
      <c r="C243" s="143" t="s">
        <v>66</v>
      </c>
      <c r="D243" s="139"/>
      <c r="E243" s="139"/>
      <c r="F243" s="139"/>
      <c r="G243" s="139"/>
      <c r="I243" s="139"/>
      <c r="J243" s="139"/>
      <c r="K243" s="139"/>
      <c r="L243" s="139"/>
      <c r="N243" s="139"/>
      <c r="O243" s="144"/>
      <c r="P243" s="139"/>
      <c r="Q243" s="139"/>
      <c r="R243" s="139"/>
      <c r="S243" s="139"/>
      <c r="U243" s="139"/>
      <c r="V243" s="139"/>
      <c r="W243" s="139"/>
    </row>
    <row r="244" spans="1:24" x14ac:dyDescent="0.2">
      <c r="A244" s="138" t="str">
        <f>B244&amp;RIGHT(C244,2)</f>
        <v>SEW15</v>
      </c>
      <c r="B244" s="19" t="s">
        <v>38</v>
      </c>
      <c r="C244" s="143" t="s">
        <v>67</v>
      </c>
      <c r="D244" s="139"/>
      <c r="E244" s="139"/>
      <c r="F244" s="139"/>
      <c r="G244" s="139"/>
      <c r="I244" s="139"/>
      <c r="J244" s="139"/>
      <c r="K244" s="139"/>
      <c r="L244" s="139"/>
      <c r="N244" s="139"/>
      <c r="O244" s="144"/>
      <c r="P244" s="139"/>
      <c r="Q244" s="139"/>
      <c r="R244" s="139"/>
      <c r="S244" s="139"/>
      <c r="U244" s="139"/>
      <c r="V244" s="139"/>
      <c r="W244" s="139"/>
    </row>
    <row r="245" spans="1:24" x14ac:dyDescent="0.2">
      <c r="A245" s="138" t="str">
        <f>B245&amp;RIGHT(C245,2)</f>
        <v>SEW16</v>
      </c>
      <c r="B245" s="19" t="s">
        <v>38</v>
      </c>
      <c r="C245" s="143" t="s">
        <v>68</v>
      </c>
      <c r="D245" s="139"/>
      <c r="E245" s="139"/>
      <c r="F245" s="139"/>
      <c r="G245" s="139"/>
      <c r="I245" s="139"/>
      <c r="J245" s="139"/>
      <c r="K245" s="139"/>
      <c r="L245" s="139"/>
      <c r="N245" s="139"/>
      <c r="O245" s="144"/>
      <c r="P245" s="139"/>
      <c r="Q245" s="139"/>
      <c r="R245" s="139"/>
      <c r="S245" s="139"/>
      <c r="U245" s="139"/>
      <c r="V245" s="139"/>
      <c r="W245" s="139"/>
    </row>
    <row r="246" spans="1:24" x14ac:dyDescent="0.2">
      <c r="A246" s="138" t="str">
        <f>B246&amp;RIGHT(C246,2)</f>
        <v>SEW17</v>
      </c>
      <c r="B246" s="19" t="s">
        <v>38</v>
      </c>
      <c r="C246" s="143" t="s">
        <v>69</v>
      </c>
      <c r="D246" s="139"/>
      <c r="E246" s="139"/>
      <c r="F246" s="139"/>
      <c r="G246" s="139"/>
      <c r="I246" s="139"/>
      <c r="J246" s="139"/>
      <c r="K246" s="139"/>
      <c r="L246" s="139"/>
      <c r="N246" s="139"/>
      <c r="O246" s="144"/>
      <c r="P246" s="139"/>
      <c r="Q246" s="139"/>
      <c r="R246" s="139"/>
      <c r="S246" s="139"/>
      <c r="U246" s="139"/>
      <c r="V246" s="139"/>
      <c r="W246" s="139"/>
    </row>
    <row r="247" spans="1:24" x14ac:dyDescent="0.2">
      <c r="A247" s="141" t="s">
        <v>270</v>
      </c>
      <c r="B247" s="142" t="s">
        <v>38</v>
      </c>
      <c r="C247" s="142" t="s">
        <v>70</v>
      </c>
      <c r="D247" s="139"/>
      <c r="E247" s="139"/>
      <c r="F247" s="139"/>
      <c r="G247" s="139"/>
      <c r="I247" s="139"/>
      <c r="J247" s="139"/>
      <c r="K247" s="139"/>
      <c r="L247" s="139"/>
      <c r="N247" s="139"/>
      <c r="O247" s="144"/>
      <c r="P247" s="139"/>
      <c r="Q247" s="139"/>
      <c r="R247" s="139"/>
      <c r="S247" s="139"/>
      <c r="U247" s="139"/>
      <c r="V247" s="139"/>
      <c r="W247" s="139"/>
    </row>
    <row r="248" spans="1:24" x14ac:dyDescent="0.2">
      <c r="A248" s="141" t="s">
        <v>271</v>
      </c>
      <c r="B248" s="142" t="s">
        <v>38</v>
      </c>
      <c r="C248" s="142" t="s">
        <v>71</v>
      </c>
      <c r="D248" s="139"/>
      <c r="E248" s="139"/>
      <c r="F248" s="139"/>
      <c r="G248" s="139"/>
      <c r="I248" s="139"/>
      <c r="J248" s="139"/>
      <c r="K248" s="139"/>
      <c r="L248" s="139"/>
      <c r="N248" s="139"/>
      <c r="O248" s="144"/>
      <c r="P248" s="139"/>
      <c r="Q248" s="139"/>
      <c r="R248" s="139"/>
      <c r="S248" s="139"/>
      <c r="U248" s="139"/>
      <c r="V248" s="139"/>
      <c r="W248" s="139"/>
    </row>
    <row r="249" spans="1:24" x14ac:dyDescent="0.2">
      <c r="A249" s="141" t="s">
        <v>272</v>
      </c>
      <c r="B249" s="142" t="s">
        <v>38</v>
      </c>
      <c r="C249" s="142" t="s">
        <v>72</v>
      </c>
      <c r="D249" s="139"/>
      <c r="E249" s="139"/>
      <c r="F249" s="139"/>
      <c r="G249" s="139"/>
      <c r="I249" s="139"/>
      <c r="J249" s="139"/>
      <c r="K249" s="139"/>
      <c r="L249" s="139"/>
      <c r="N249" s="139"/>
      <c r="O249" s="144"/>
      <c r="P249" s="139"/>
      <c r="Q249" s="139"/>
      <c r="R249" s="139"/>
      <c r="S249" s="139"/>
      <c r="U249" s="139"/>
      <c r="V249" s="139"/>
      <c r="W249" s="139"/>
    </row>
    <row r="250" spans="1:24" x14ac:dyDescent="0.2">
      <c r="A250" s="141" t="s">
        <v>273</v>
      </c>
      <c r="B250" s="142" t="s">
        <v>38</v>
      </c>
      <c r="C250" s="142" t="s">
        <v>73</v>
      </c>
      <c r="D250" s="139"/>
      <c r="E250" s="139"/>
      <c r="F250" s="139"/>
      <c r="G250" s="139"/>
      <c r="I250" s="139"/>
      <c r="J250" s="139"/>
      <c r="K250" s="139"/>
      <c r="L250" s="139"/>
      <c r="N250" s="139"/>
      <c r="O250" s="144"/>
      <c r="P250" s="139"/>
      <c r="Q250" s="139"/>
      <c r="R250" s="139"/>
      <c r="S250" s="139"/>
      <c r="U250" s="139"/>
      <c r="V250" s="139"/>
      <c r="W250" s="139"/>
    </row>
    <row r="251" spans="1:24" x14ac:dyDescent="0.2">
      <c r="A251" s="141" t="s">
        <v>274</v>
      </c>
      <c r="B251" s="142" t="s">
        <v>38</v>
      </c>
      <c r="C251" s="142" t="s">
        <v>74</v>
      </c>
      <c r="D251" s="139"/>
      <c r="E251" s="139"/>
      <c r="F251" s="139"/>
      <c r="G251" s="139"/>
      <c r="I251" s="139"/>
      <c r="J251" s="139"/>
      <c r="K251" s="139"/>
      <c r="L251" s="139"/>
      <c r="N251" s="139"/>
      <c r="O251" s="144"/>
      <c r="P251" s="139"/>
      <c r="Q251" s="139"/>
      <c r="R251" s="139"/>
      <c r="S251" s="139"/>
      <c r="U251" s="139"/>
      <c r="V251" s="139"/>
      <c r="W251" s="139"/>
    </row>
    <row r="252" spans="1:24" x14ac:dyDescent="0.2">
      <c r="A252" s="141" t="s">
        <v>275</v>
      </c>
      <c r="B252" s="142" t="s">
        <v>38</v>
      </c>
      <c r="C252" s="142" t="s">
        <v>75</v>
      </c>
      <c r="D252" s="139"/>
      <c r="E252" s="139"/>
      <c r="F252" s="139"/>
      <c r="G252" s="139"/>
      <c r="I252" s="139"/>
      <c r="J252" s="139"/>
      <c r="K252" s="139"/>
      <c r="L252" s="139"/>
      <c r="N252" s="139"/>
      <c r="O252" s="144"/>
      <c r="P252" s="139"/>
      <c r="Q252" s="139"/>
      <c r="R252" s="139"/>
      <c r="S252" s="139"/>
      <c r="U252" s="139"/>
      <c r="V252" s="139"/>
      <c r="W252" s="139"/>
    </row>
    <row r="253" spans="1:24" x14ac:dyDescent="0.2">
      <c r="A253" s="141" t="s">
        <v>276</v>
      </c>
      <c r="B253" s="142" t="s">
        <v>38</v>
      </c>
      <c r="C253" s="142" t="s">
        <v>76</v>
      </c>
      <c r="D253" s="139"/>
      <c r="E253" s="139"/>
      <c r="F253" s="139"/>
      <c r="G253" s="139"/>
      <c r="I253" s="139"/>
      <c r="J253" s="139"/>
      <c r="K253" s="139"/>
      <c r="L253" s="139"/>
      <c r="N253" s="139"/>
      <c r="O253" s="144"/>
      <c r="P253" s="139"/>
      <c r="Q253" s="139"/>
      <c r="R253" s="139"/>
      <c r="S253" s="139"/>
      <c r="U253" s="139"/>
      <c r="V253" s="139"/>
      <c r="W253" s="139"/>
    </row>
    <row r="254" spans="1:24" x14ac:dyDescent="0.2">
      <c r="A254" s="141" t="s">
        <v>277</v>
      </c>
      <c r="B254" s="142" t="s">
        <v>38</v>
      </c>
      <c r="C254" s="142" t="s">
        <v>24</v>
      </c>
      <c r="D254" s="139"/>
      <c r="E254" s="139"/>
      <c r="F254" s="139"/>
      <c r="G254" s="139"/>
      <c r="I254" s="139"/>
      <c r="J254" s="139"/>
      <c r="K254" s="139"/>
      <c r="L254" s="139"/>
      <c r="N254" s="139"/>
      <c r="O254" s="144"/>
      <c r="P254" s="139"/>
      <c r="Q254" s="139">
        <v>0</v>
      </c>
      <c r="R254" s="139"/>
      <c r="S254" s="139"/>
      <c r="U254" s="139"/>
      <c r="V254" s="139"/>
      <c r="W254" s="139"/>
      <c r="X254" s="7" t="s">
        <v>288</v>
      </c>
    </row>
    <row r="255" spans="1:24" x14ac:dyDescent="0.2">
      <c r="A255" s="138" t="str">
        <f t="shared" ref="A255" si="20">B255&amp;RIGHT(C255,2)</f>
        <v>SSC12</v>
      </c>
      <c r="B255" s="19" t="s">
        <v>39</v>
      </c>
      <c r="C255" s="143" t="s">
        <v>64</v>
      </c>
      <c r="D255" s="139"/>
      <c r="E255" s="139"/>
      <c r="F255" s="139"/>
      <c r="G255" s="139"/>
      <c r="I255" s="139"/>
      <c r="J255" s="139"/>
      <c r="K255" s="139"/>
      <c r="L255" s="139"/>
      <c r="N255" s="139"/>
      <c r="O255" s="144"/>
      <c r="P255" s="139"/>
      <c r="Q255" s="139"/>
      <c r="R255" s="139"/>
      <c r="S255" s="139"/>
      <c r="U255" s="139"/>
      <c r="V255" s="139"/>
      <c r="W255" s="139"/>
    </row>
    <row r="256" spans="1:24" x14ac:dyDescent="0.2">
      <c r="A256" s="138" t="str">
        <f>B256&amp;RIGHT(C256,2)</f>
        <v>SSC13</v>
      </c>
      <c r="B256" s="19" t="s">
        <v>39</v>
      </c>
      <c r="C256" s="143" t="s">
        <v>65</v>
      </c>
      <c r="D256" s="139"/>
      <c r="E256" s="139"/>
      <c r="F256" s="139"/>
      <c r="G256" s="139"/>
      <c r="I256" s="139"/>
      <c r="J256" s="139"/>
      <c r="K256" s="139"/>
      <c r="L256" s="139"/>
      <c r="N256" s="139"/>
      <c r="O256" s="144"/>
      <c r="P256" s="139"/>
      <c r="Q256" s="139"/>
      <c r="R256" s="139"/>
      <c r="S256" s="139"/>
      <c r="U256" s="139"/>
      <c r="V256" s="139"/>
      <c r="W256" s="139"/>
    </row>
    <row r="257" spans="1:24" x14ac:dyDescent="0.2">
      <c r="A257" s="138" t="str">
        <f>B257&amp;RIGHT(C257,2)</f>
        <v>SSC14</v>
      </c>
      <c r="B257" s="19" t="s">
        <v>39</v>
      </c>
      <c r="C257" s="143" t="s">
        <v>66</v>
      </c>
      <c r="D257" s="139"/>
      <c r="E257" s="139"/>
      <c r="F257" s="139"/>
      <c r="G257" s="139"/>
      <c r="I257" s="139"/>
      <c r="J257" s="139"/>
      <c r="K257" s="139"/>
      <c r="L257" s="139"/>
      <c r="N257" s="139"/>
      <c r="O257" s="144"/>
      <c r="P257" s="139"/>
      <c r="Q257" s="139"/>
      <c r="R257" s="139"/>
      <c r="S257" s="139"/>
      <c r="U257" s="139"/>
      <c r="V257" s="139"/>
      <c r="W257" s="139"/>
    </row>
    <row r="258" spans="1:24" x14ac:dyDescent="0.2">
      <c r="A258" s="138" t="str">
        <f>B258&amp;RIGHT(C258,2)</f>
        <v>SSC15</v>
      </c>
      <c r="B258" s="19" t="s">
        <v>39</v>
      </c>
      <c r="C258" s="143" t="s">
        <v>67</v>
      </c>
      <c r="D258" s="139"/>
      <c r="E258" s="139"/>
      <c r="F258" s="139"/>
      <c r="G258" s="139"/>
      <c r="I258" s="139"/>
      <c r="J258" s="139"/>
      <c r="K258" s="139"/>
      <c r="L258" s="139"/>
      <c r="N258" s="139"/>
      <c r="O258" s="144"/>
      <c r="P258" s="139"/>
      <c r="Q258" s="139"/>
      <c r="R258" s="139"/>
      <c r="S258" s="139"/>
      <c r="U258" s="139"/>
      <c r="V258" s="139"/>
      <c r="W258" s="139"/>
    </row>
    <row r="259" spans="1:24" x14ac:dyDescent="0.2">
      <c r="A259" s="145" t="str">
        <f>B259&amp;RIGHT(C259,2)</f>
        <v>SSC16</v>
      </c>
      <c r="B259" s="19" t="s">
        <v>39</v>
      </c>
      <c r="C259" s="19" t="s">
        <v>68</v>
      </c>
      <c r="D259" s="139"/>
      <c r="E259" s="139"/>
      <c r="F259" s="139"/>
      <c r="G259" s="139"/>
      <c r="I259" s="139"/>
      <c r="J259" s="139"/>
      <c r="K259" s="139"/>
      <c r="L259" s="139"/>
      <c r="N259" s="139"/>
      <c r="O259" s="144"/>
      <c r="P259" s="139"/>
      <c r="Q259" s="139"/>
      <c r="R259" s="139"/>
      <c r="S259" s="139"/>
      <c r="U259" s="139"/>
      <c r="V259" s="139"/>
      <c r="W259" s="139"/>
    </row>
    <row r="260" spans="1:24" x14ac:dyDescent="0.2">
      <c r="A260" s="145" t="str">
        <f>B260&amp;RIGHT(C260,2)</f>
        <v>SSC17</v>
      </c>
      <c r="B260" s="19" t="s">
        <v>39</v>
      </c>
      <c r="C260" s="19" t="s">
        <v>69</v>
      </c>
      <c r="D260" s="139"/>
      <c r="E260" s="139"/>
      <c r="F260" s="139"/>
      <c r="G260" s="139"/>
      <c r="I260" s="139"/>
      <c r="J260" s="139"/>
      <c r="K260" s="139"/>
      <c r="L260" s="139"/>
      <c r="N260" s="139"/>
      <c r="O260" s="144"/>
      <c r="P260" s="139"/>
      <c r="Q260" s="139"/>
      <c r="R260" s="139"/>
      <c r="S260" s="139"/>
      <c r="U260" s="139"/>
      <c r="V260" s="139"/>
      <c r="W260" s="139"/>
    </row>
    <row r="261" spans="1:24" x14ac:dyDescent="0.2">
      <c r="A261" s="141" t="s">
        <v>278</v>
      </c>
      <c r="B261" s="142" t="s">
        <v>39</v>
      </c>
      <c r="C261" s="142" t="s">
        <v>70</v>
      </c>
      <c r="D261" s="139"/>
      <c r="E261" s="139"/>
      <c r="F261" s="139"/>
      <c r="G261" s="139"/>
      <c r="I261" s="139"/>
      <c r="J261" s="139"/>
      <c r="K261" s="139"/>
      <c r="L261" s="139"/>
      <c r="N261" s="139"/>
      <c r="O261" s="144"/>
      <c r="P261" s="139"/>
      <c r="Q261" s="139"/>
      <c r="R261" s="139"/>
      <c r="S261" s="139"/>
      <c r="U261" s="139"/>
      <c r="V261" s="139"/>
      <c r="W261" s="139"/>
    </row>
    <row r="262" spans="1:24" x14ac:dyDescent="0.2">
      <c r="A262" s="141" t="s">
        <v>279</v>
      </c>
      <c r="B262" s="142" t="s">
        <v>39</v>
      </c>
      <c r="C262" s="142" t="s">
        <v>71</v>
      </c>
      <c r="D262" s="139"/>
      <c r="E262" s="139"/>
      <c r="F262" s="139"/>
      <c r="G262" s="139"/>
      <c r="I262" s="139"/>
      <c r="J262" s="139"/>
      <c r="K262" s="139"/>
      <c r="L262" s="139"/>
      <c r="N262" s="139"/>
      <c r="O262" s="144"/>
      <c r="P262" s="139"/>
      <c r="Q262" s="139"/>
      <c r="R262" s="139"/>
      <c r="S262" s="139"/>
      <c r="U262" s="139"/>
      <c r="V262" s="139"/>
      <c r="W262" s="139"/>
    </row>
    <row r="263" spans="1:24" x14ac:dyDescent="0.2">
      <c r="A263" s="141" t="s">
        <v>280</v>
      </c>
      <c r="B263" s="142" t="s">
        <v>39</v>
      </c>
      <c r="C263" s="142" t="s">
        <v>72</v>
      </c>
      <c r="D263" s="139"/>
      <c r="E263" s="139"/>
      <c r="F263" s="139"/>
      <c r="G263" s="139"/>
      <c r="I263" s="139"/>
      <c r="J263" s="139"/>
      <c r="K263" s="139"/>
      <c r="L263" s="139"/>
      <c r="N263" s="139"/>
      <c r="O263" s="144"/>
      <c r="P263" s="139"/>
      <c r="Q263" s="139"/>
      <c r="R263" s="139"/>
      <c r="S263" s="139"/>
      <c r="U263" s="139"/>
      <c r="V263" s="139"/>
      <c r="W263" s="139"/>
    </row>
    <row r="264" spans="1:24" x14ac:dyDescent="0.2">
      <c r="A264" s="141" t="s">
        <v>281</v>
      </c>
      <c r="B264" s="142" t="s">
        <v>39</v>
      </c>
      <c r="C264" s="142" t="s">
        <v>73</v>
      </c>
      <c r="D264" s="139"/>
      <c r="E264" s="139"/>
      <c r="F264" s="139"/>
      <c r="G264" s="139"/>
      <c r="I264" s="139"/>
      <c r="J264" s="139"/>
      <c r="K264" s="139"/>
      <c r="L264" s="139"/>
      <c r="N264" s="139"/>
      <c r="O264" s="144"/>
      <c r="P264" s="139">
        <v>2.2999999999999998</v>
      </c>
      <c r="Q264" s="139">
        <v>2.2999999999999998</v>
      </c>
      <c r="R264" s="139">
        <v>5.59</v>
      </c>
      <c r="S264" s="139">
        <v>5.59</v>
      </c>
      <c r="U264" s="139"/>
      <c r="V264" s="139"/>
      <c r="W264" s="139"/>
      <c r="X264" s="7" t="s">
        <v>289</v>
      </c>
    </row>
    <row r="265" spans="1:24" x14ac:dyDescent="0.2">
      <c r="A265" s="141" t="s">
        <v>282</v>
      </c>
      <c r="B265" s="142" t="s">
        <v>39</v>
      </c>
      <c r="C265" s="142" t="s">
        <v>74</v>
      </c>
      <c r="D265" s="139"/>
      <c r="E265" s="139"/>
      <c r="F265" s="139"/>
      <c r="G265" s="139"/>
      <c r="I265" s="139"/>
      <c r="J265" s="139"/>
      <c r="K265" s="139"/>
      <c r="L265" s="139"/>
      <c r="N265" s="139"/>
      <c r="O265" s="144"/>
      <c r="P265" s="139">
        <v>0</v>
      </c>
      <c r="Q265" s="139">
        <v>0</v>
      </c>
      <c r="R265" s="139">
        <v>4.62</v>
      </c>
      <c r="S265" s="139">
        <v>4.62</v>
      </c>
      <c r="U265" s="139"/>
      <c r="V265" s="139"/>
      <c r="W265" s="139"/>
      <c r="X265" s="7" t="s">
        <v>289</v>
      </c>
    </row>
    <row r="266" spans="1:24" x14ac:dyDescent="0.2">
      <c r="A266" s="141" t="s">
        <v>283</v>
      </c>
      <c r="B266" s="142" t="s">
        <v>39</v>
      </c>
      <c r="C266" s="142" t="s">
        <v>75</v>
      </c>
      <c r="D266" s="139"/>
      <c r="E266" s="139"/>
      <c r="F266" s="139"/>
      <c r="G266" s="139"/>
      <c r="I266" s="139"/>
      <c r="J266" s="139"/>
      <c r="K266" s="139"/>
      <c r="L266" s="139"/>
      <c r="N266" s="139"/>
      <c r="O266" s="144"/>
      <c r="P266" s="139">
        <v>0</v>
      </c>
      <c r="Q266" s="139">
        <v>0</v>
      </c>
      <c r="R266" s="139">
        <v>4.62</v>
      </c>
      <c r="S266" s="139">
        <v>4.62</v>
      </c>
      <c r="U266" s="139"/>
      <c r="V266" s="139"/>
      <c r="W266" s="139"/>
      <c r="X266" s="7" t="s">
        <v>289</v>
      </c>
    </row>
    <row r="267" spans="1:24" x14ac:dyDescent="0.2">
      <c r="A267" s="141" t="s">
        <v>284</v>
      </c>
      <c r="B267" s="142" t="s">
        <v>39</v>
      </c>
      <c r="C267" s="142" t="s">
        <v>76</v>
      </c>
      <c r="D267" s="139"/>
      <c r="E267" s="139"/>
      <c r="F267" s="139"/>
      <c r="G267" s="139"/>
      <c r="I267" s="139"/>
      <c r="J267" s="139"/>
      <c r="K267" s="139"/>
      <c r="L267" s="139"/>
      <c r="N267" s="139"/>
      <c r="O267" s="144"/>
      <c r="P267" s="139">
        <v>3.92</v>
      </c>
      <c r="Q267" s="139">
        <v>3.92</v>
      </c>
      <c r="R267" s="139">
        <v>4.63</v>
      </c>
      <c r="S267" s="139">
        <v>4.63</v>
      </c>
      <c r="U267" s="139"/>
      <c r="V267" s="139"/>
      <c r="W267" s="139"/>
      <c r="X267" s="7" t="s">
        <v>289</v>
      </c>
    </row>
    <row r="268" spans="1:24" x14ac:dyDescent="0.2">
      <c r="A268" s="141" t="s">
        <v>285</v>
      </c>
      <c r="B268" s="142" t="s">
        <v>39</v>
      </c>
      <c r="C268" s="142" t="s">
        <v>24</v>
      </c>
      <c r="D268" s="139"/>
      <c r="E268" s="139"/>
      <c r="F268" s="139"/>
      <c r="G268" s="139"/>
      <c r="I268" s="139"/>
      <c r="J268" s="139"/>
      <c r="K268" s="139"/>
      <c r="L268" s="139"/>
      <c r="N268" s="139"/>
      <c r="O268" s="144"/>
      <c r="P268" s="139">
        <v>0</v>
      </c>
      <c r="Q268" s="139">
        <v>0</v>
      </c>
      <c r="R268" s="139">
        <v>4.6399999999999997</v>
      </c>
      <c r="S268" s="139">
        <v>4.6399999999999997</v>
      </c>
      <c r="U268" s="139"/>
      <c r="V268" s="139"/>
      <c r="W268" s="139"/>
      <c r="X268" s="7" t="s">
        <v>289</v>
      </c>
    </row>
    <row r="269" spans="1:24" x14ac:dyDescent="0.2">
      <c r="A269" s="19" t="str">
        <f t="shared" ref="A269:A278" si="21">B269&amp;RIGHT(C269,2)</f>
        <v>SVE12</v>
      </c>
      <c r="B269" s="19" t="s">
        <v>29</v>
      </c>
      <c r="C269" s="19" t="s">
        <v>64</v>
      </c>
      <c r="D269" s="139"/>
      <c r="E269" s="139"/>
      <c r="F269" s="139"/>
      <c r="G269" s="139"/>
      <c r="I269" s="139"/>
      <c r="J269" s="139"/>
      <c r="K269" s="139"/>
      <c r="L269" s="139"/>
      <c r="N269" s="139"/>
      <c r="O269" s="144"/>
      <c r="P269" s="139"/>
      <c r="Q269" s="139"/>
      <c r="R269" s="139"/>
      <c r="S269" s="139"/>
      <c r="U269" s="139"/>
      <c r="V269" s="139"/>
      <c r="W269" s="139"/>
    </row>
    <row r="270" spans="1:24" x14ac:dyDescent="0.2">
      <c r="A270" s="19" t="str">
        <f t="shared" si="21"/>
        <v>SVE13</v>
      </c>
      <c r="B270" s="19" t="s">
        <v>29</v>
      </c>
      <c r="C270" s="19" t="s">
        <v>65</v>
      </c>
      <c r="D270" s="139"/>
      <c r="E270" s="139"/>
      <c r="F270" s="139"/>
      <c r="G270" s="139"/>
      <c r="I270" s="139"/>
      <c r="J270" s="139"/>
      <c r="K270" s="139"/>
      <c r="L270" s="139"/>
      <c r="N270" s="139"/>
      <c r="O270" s="144"/>
      <c r="P270" s="139"/>
      <c r="Q270" s="139"/>
      <c r="R270" s="139"/>
      <c r="S270" s="139"/>
      <c r="U270" s="139"/>
      <c r="V270" s="139"/>
      <c r="W270" s="139"/>
    </row>
    <row r="271" spans="1:24" x14ac:dyDescent="0.2">
      <c r="A271" s="19" t="str">
        <f t="shared" si="21"/>
        <v>SVE14</v>
      </c>
      <c r="B271" s="19" t="s">
        <v>29</v>
      </c>
      <c r="C271" s="19" t="s">
        <v>66</v>
      </c>
      <c r="D271" s="139"/>
      <c r="E271" s="139"/>
      <c r="F271" s="139"/>
      <c r="G271" s="139"/>
      <c r="I271" s="139"/>
      <c r="J271" s="139"/>
      <c r="K271" s="139"/>
      <c r="L271" s="139"/>
      <c r="N271" s="139"/>
      <c r="O271" s="144"/>
      <c r="P271" s="139"/>
      <c r="Q271" s="139"/>
      <c r="R271" s="139"/>
      <c r="S271" s="139"/>
      <c r="U271" s="139"/>
      <c r="V271" s="139"/>
      <c r="W271" s="139"/>
    </row>
    <row r="272" spans="1:24" x14ac:dyDescent="0.2">
      <c r="A272" s="19" t="str">
        <f t="shared" si="21"/>
        <v>SVE15</v>
      </c>
      <c r="B272" s="19" t="s">
        <v>29</v>
      </c>
      <c r="C272" s="19" t="s">
        <v>67</v>
      </c>
      <c r="D272" s="139"/>
      <c r="E272" s="139"/>
      <c r="F272" s="139"/>
      <c r="G272" s="139"/>
      <c r="I272" s="139"/>
      <c r="J272" s="139"/>
      <c r="K272" s="139"/>
      <c r="L272" s="139"/>
      <c r="N272" s="139"/>
      <c r="O272" s="144"/>
      <c r="P272" s="139"/>
      <c r="Q272" s="139"/>
      <c r="R272" s="139"/>
      <c r="S272" s="139"/>
      <c r="U272" s="139"/>
      <c r="V272" s="139"/>
      <c r="W272" s="139"/>
    </row>
    <row r="273" spans="1:23" x14ac:dyDescent="0.2">
      <c r="A273" s="19" t="str">
        <f t="shared" si="21"/>
        <v>SVE16</v>
      </c>
      <c r="B273" s="19" t="s">
        <v>29</v>
      </c>
      <c r="C273" s="19" t="s">
        <v>68</v>
      </c>
      <c r="D273" s="139"/>
      <c r="E273" s="139"/>
      <c r="F273" s="139"/>
      <c r="G273" s="139"/>
      <c r="I273" s="139"/>
      <c r="J273" s="139"/>
      <c r="K273" s="139"/>
      <c r="L273" s="139"/>
      <c r="N273" s="139"/>
      <c r="O273" s="144"/>
      <c r="P273" s="139"/>
      <c r="Q273" s="139"/>
      <c r="R273" s="139"/>
      <c r="S273" s="139"/>
      <c r="U273" s="139"/>
      <c r="V273" s="139"/>
      <c r="W273" s="139"/>
    </row>
    <row r="274" spans="1:23" x14ac:dyDescent="0.2">
      <c r="A274" s="19" t="str">
        <f t="shared" si="21"/>
        <v>SVE17</v>
      </c>
      <c r="B274" s="19" t="s">
        <v>29</v>
      </c>
      <c r="C274" s="19" t="s">
        <v>69</v>
      </c>
      <c r="D274" s="139"/>
      <c r="E274" s="139"/>
      <c r="F274" s="139"/>
      <c r="G274" s="139"/>
      <c r="I274" s="139"/>
      <c r="J274" s="139"/>
      <c r="K274" s="139"/>
      <c r="L274" s="139"/>
      <c r="N274" s="139"/>
      <c r="O274" s="144"/>
      <c r="P274" s="139"/>
      <c r="Q274" s="139"/>
      <c r="R274" s="139"/>
      <c r="S274" s="139"/>
      <c r="U274" s="139"/>
      <c r="V274" s="139"/>
      <c r="W274" s="139"/>
    </row>
    <row r="275" spans="1:23" x14ac:dyDescent="0.2">
      <c r="A275" s="141" t="str">
        <f t="shared" si="21"/>
        <v>SVE18</v>
      </c>
      <c r="B275" s="142" t="str">
        <f>B274</f>
        <v>SVE</v>
      </c>
      <c r="C275" s="142" t="s">
        <v>70</v>
      </c>
      <c r="D275" s="139"/>
      <c r="E275" s="139"/>
      <c r="F275" s="139"/>
      <c r="G275" s="139"/>
      <c r="I275" s="139"/>
      <c r="J275" s="139"/>
      <c r="K275" s="139"/>
      <c r="L275" s="139"/>
      <c r="N275" s="139"/>
      <c r="O275" s="144"/>
      <c r="P275" s="139"/>
      <c r="Q275" s="139"/>
      <c r="R275" s="139"/>
      <c r="S275" s="139"/>
      <c r="U275" s="139"/>
      <c r="V275" s="139"/>
      <c r="W275" s="139"/>
    </row>
    <row r="276" spans="1:23" x14ac:dyDescent="0.2">
      <c r="A276" s="141" t="str">
        <f t="shared" si="21"/>
        <v>SVE19</v>
      </c>
      <c r="B276" s="142" t="str">
        <f>B275</f>
        <v>SVE</v>
      </c>
      <c r="C276" s="142" t="s">
        <v>71</v>
      </c>
      <c r="D276" s="139"/>
      <c r="E276" s="139"/>
      <c r="F276" s="139"/>
      <c r="G276" s="139"/>
      <c r="I276" s="139"/>
      <c r="J276" s="139"/>
      <c r="K276" s="139"/>
      <c r="L276" s="139"/>
      <c r="N276" s="139"/>
      <c r="O276" s="144"/>
      <c r="P276" s="139"/>
      <c r="Q276" s="139"/>
      <c r="R276" s="139"/>
      <c r="S276" s="139"/>
      <c r="U276" s="139"/>
      <c r="V276" s="139"/>
      <c r="W276" s="139"/>
    </row>
    <row r="277" spans="1:23" x14ac:dyDescent="0.2">
      <c r="A277" s="141" t="str">
        <f t="shared" si="21"/>
        <v>SVE20</v>
      </c>
      <c r="B277" s="142" t="str">
        <f t="shared" ref="B277:B282" si="22">B276</f>
        <v>SVE</v>
      </c>
      <c r="C277" s="142" t="s">
        <v>72</v>
      </c>
      <c r="D277" s="139"/>
      <c r="E277" s="139"/>
      <c r="F277" s="139"/>
      <c r="G277" s="139"/>
      <c r="I277" s="139"/>
      <c r="J277" s="139"/>
      <c r="K277" s="139"/>
      <c r="L277" s="139"/>
      <c r="N277" s="139"/>
      <c r="O277" s="144"/>
      <c r="P277" s="139"/>
      <c r="Q277" s="139"/>
      <c r="R277" s="139"/>
      <c r="S277" s="139"/>
      <c r="U277" s="139"/>
      <c r="V277" s="139"/>
      <c r="W277" s="139"/>
    </row>
    <row r="278" spans="1:23" x14ac:dyDescent="0.2">
      <c r="A278" s="141" t="str">
        <f t="shared" si="21"/>
        <v>SVE21</v>
      </c>
      <c r="B278" s="142" t="str">
        <f t="shared" si="22"/>
        <v>SVE</v>
      </c>
      <c r="C278" s="142" t="s">
        <v>73</v>
      </c>
      <c r="D278" s="139"/>
      <c r="E278" s="139"/>
      <c r="F278" s="139"/>
      <c r="G278" s="139"/>
      <c r="I278" s="139"/>
      <c r="J278" s="139"/>
      <c r="K278" s="139"/>
      <c r="L278" s="139"/>
      <c r="N278" s="139"/>
      <c r="O278" s="144"/>
      <c r="P278" s="139"/>
      <c r="Q278" s="139"/>
      <c r="R278" s="139"/>
      <c r="S278" s="139"/>
      <c r="U278" s="139"/>
      <c r="V278" s="139"/>
      <c r="W278" s="139"/>
    </row>
    <row r="279" spans="1:23" x14ac:dyDescent="0.2">
      <c r="A279" s="141" t="str">
        <f>B279&amp;RIGHT(C279,2)</f>
        <v>SVE22</v>
      </c>
      <c r="B279" s="142" t="str">
        <f t="shared" si="22"/>
        <v>SVE</v>
      </c>
      <c r="C279" s="142" t="s">
        <v>74</v>
      </c>
      <c r="D279" s="139"/>
      <c r="E279" s="139"/>
      <c r="F279" s="139"/>
      <c r="G279" s="139"/>
      <c r="I279" s="139"/>
      <c r="J279" s="139"/>
      <c r="K279" s="139"/>
      <c r="L279" s="139"/>
      <c r="N279" s="139"/>
      <c r="O279" s="144"/>
      <c r="P279" s="139"/>
      <c r="Q279" s="139"/>
      <c r="R279" s="139"/>
      <c r="S279" s="139"/>
      <c r="U279" s="139"/>
      <c r="V279" s="139"/>
      <c r="W279" s="139"/>
    </row>
    <row r="280" spans="1:23" x14ac:dyDescent="0.2">
      <c r="A280" s="141" t="str">
        <f>B280&amp;RIGHT(C280,2)</f>
        <v>SVE23</v>
      </c>
      <c r="B280" s="142" t="str">
        <f t="shared" si="22"/>
        <v>SVE</v>
      </c>
      <c r="C280" s="142" t="s">
        <v>75</v>
      </c>
      <c r="D280" s="139"/>
      <c r="E280" s="139"/>
      <c r="F280" s="139"/>
      <c r="G280" s="139"/>
      <c r="I280" s="139"/>
      <c r="J280" s="139"/>
      <c r="K280" s="139"/>
      <c r="L280" s="139"/>
      <c r="N280" s="139"/>
      <c r="O280" s="144"/>
      <c r="P280" s="139"/>
      <c r="Q280" s="139"/>
      <c r="R280" s="139"/>
      <c r="S280" s="139"/>
      <c r="U280" s="139"/>
      <c r="V280" s="139"/>
      <c r="W280" s="139"/>
    </row>
    <row r="281" spans="1:23" x14ac:dyDescent="0.2">
      <c r="A281" s="141" t="str">
        <f>B281&amp;RIGHT(C281,2)</f>
        <v>SVE24</v>
      </c>
      <c r="B281" s="142" t="str">
        <f t="shared" si="22"/>
        <v>SVE</v>
      </c>
      <c r="C281" s="142" t="s">
        <v>76</v>
      </c>
      <c r="D281" s="139"/>
      <c r="E281" s="139"/>
      <c r="F281" s="139"/>
      <c r="G281" s="139"/>
      <c r="I281" s="139"/>
      <c r="J281" s="139"/>
      <c r="K281" s="139"/>
      <c r="L281" s="139"/>
      <c r="N281" s="139"/>
      <c r="O281" s="144"/>
      <c r="P281" s="139"/>
      <c r="Q281" s="139"/>
      <c r="R281" s="139"/>
      <c r="S281" s="139"/>
      <c r="U281" s="139"/>
      <c r="V281" s="139"/>
      <c r="W281" s="139"/>
    </row>
    <row r="282" spans="1:23" x14ac:dyDescent="0.2">
      <c r="A282" s="141" t="str">
        <f>B282&amp;RIGHT(C282,2)</f>
        <v>SVE25</v>
      </c>
      <c r="B282" s="142" t="str">
        <f t="shared" si="22"/>
        <v>SVE</v>
      </c>
      <c r="C282" s="142" t="s">
        <v>24</v>
      </c>
      <c r="D282" s="139"/>
      <c r="E282" s="139"/>
      <c r="F282" s="139"/>
      <c r="G282" s="139"/>
      <c r="I282" s="139"/>
      <c r="J282" s="139"/>
      <c r="K282" s="139"/>
      <c r="L282" s="139"/>
      <c r="N282" s="139"/>
      <c r="O282" s="144"/>
      <c r="P282" s="139"/>
      <c r="Q282" s="139"/>
      <c r="R282" s="139"/>
      <c r="S282" s="139"/>
      <c r="U282" s="139"/>
      <c r="V282" s="139"/>
      <c r="W282" s="139"/>
    </row>
    <row r="283" spans="1:23" x14ac:dyDescent="0.2">
      <c r="A283" s="19" t="str">
        <f t="shared" ref="A283:A292" si="23">B283&amp;RIGHT(C283,2)</f>
        <v>HDD12</v>
      </c>
      <c r="B283" s="19" t="s">
        <v>106</v>
      </c>
      <c r="C283" s="19" t="s">
        <v>64</v>
      </c>
      <c r="D283" s="139"/>
      <c r="E283" s="139"/>
      <c r="F283" s="139"/>
      <c r="G283" s="139"/>
      <c r="I283" s="139"/>
      <c r="J283" s="139"/>
      <c r="K283" s="139"/>
      <c r="L283" s="139"/>
      <c r="N283" s="139"/>
      <c r="O283" s="144"/>
      <c r="P283" s="139"/>
      <c r="Q283" s="139"/>
      <c r="R283" s="139"/>
      <c r="S283" s="139"/>
      <c r="U283" s="139"/>
      <c r="V283" s="139"/>
      <c r="W283" s="139"/>
    </row>
    <row r="284" spans="1:23" x14ac:dyDescent="0.2">
      <c r="A284" s="19" t="str">
        <f t="shared" si="23"/>
        <v>HDD13</v>
      </c>
      <c r="B284" s="19" t="s">
        <v>106</v>
      </c>
      <c r="C284" s="19" t="s">
        <v>65</v>
      </c>
      <c r="D284" s="139"/>
      <c r="E284" s="139"/>
      <c r="F284" s="139"/>
      <c r="G284" s="139"/>
      <c r="I284" s="139"/>
      <c r="J284" s="139"/>
      <c r="K284" s="139"/>
      <c r="L284" s="139"/>
      <c r="N284" s="139"/>
      <c r="O284" s="144"/>
      <c r="P284" s="139"/>
      <c r="Q284" s="139"/>
      <c r="R284" s="139"/>
      <c r="S284" s="139"/>
      <c r="U284" s="139"/>
      <c r="V284" s="139"/>
      <c r="W284" s="139"/>
    </row>
    <row r="285" spans="1:23" x14ac:dyDescent="0.2">
      <c r="A285" s="19" t="str">
        <f t="shared" si="23"/>
        <v>HDD14</v>
      </c>
      <c r="B285" s="19" t="s">
        <v>106</v>
      </c>
      <c r="C285" s="19" t="s">
        <v>66</v>
      </c>
      <c r="D285" s="139"/>
      <c r="E285" s="139"/>
      <c r="F285" s="139"/>
      <c r="G285" s="139"/>
      <c r="I285" s="139"/>
      <c r="J285" s="139"/>
      <c r="K285" s="139"/>
      <c r="L285" s="139"/>
      <c r="N285" s="139"/>
      <c r="O285" s="144"/>
      <c r="P285" s="139"/>
      <c r="Q285" s="139"/>
      <c r="R285" s="139"/>
      <c r="S285" s="139"/>
      <c r="U285" s="139"/>
      <c r="V285" s="139"/>
      <c r="W285" s="139"/>
    </row>
    <row r="286" spans="1:23" x14ac:dyDescent="0.2">
      <c r="A286" s="19" t="str">
        <f t="shared" si="23"/>
        <v>HDD15</v>
      </c>
      <c r="B286" s="19" t="s">
        <v>106</v>
      </c>
      <c r="C286" s="19" t="s">
        <v>67</v>
      </c>
      <c r="D286" s="139"/>
      <c r="E286" s="139"/>
      <c r="F286" s="139"/>
      <c r="G286" s="139"/>
      <c r="I286" s="139"/>
      <c r="J286" s="139"/>
      <c r="K286" s="139"/>
      <c r="L286" s="139"/>
      <c r="N286" s="139"/>
      <c r="O286" s="144"/>
      <c r="P286" s="139"/>
      <c r="Q286" s="139"/>
      <c r="R286" s="139"/>
      <c r="S286" s="139"/>
      <c r="U286" s="139"/>
      <c r="V286" s="139"/>
      <c r="W286" s="139"/>
    </row>
    <row r="287" spans="1:23" x14ac:dyDescent="0.2">
      <c r="A287" s="19" t="str">
        <f t="shared" si="23"/>
        <v>HDD16</v>
      </c>
      <c r="B287" s="19" t="s">
        <v>106</v>
      </c>
      <c r="C287" s="19" t="s">
        <v>68</v>
      </c>
      <c r="D287" s="139"/>
      <c r="E287" s="139"/>
      <c r="F287" s="139"/>
      <c r="G287" s="139"/>
      <c r="I287" s="139"/>
      <c r="J287" s="139"/>
      <c r="K287" s="139"/>
      <c r="L287" s="139"/>
      <c r="N287" s="139"/>
      <c r="O287" s="144"/>
      <c r="P287" s="139"/>
      <c r="Q287" s="139"/>
      <c r="R287" s="139"/>
      <c r="S287" s="139"/>
      <c r="U287" s="139"/>
      <c r="V287" s="139"/>
      <c r="W287" s="139"/>
    </row>
    <row r="288" spans="1:23" x14ac:dyDescent="0.2">
      <c r="A288" s="19" t="str">
        <f t="shared" si="23"/>
        <v>HDD17</v>
      </c>
      <c r="B288" s="19" t="s">
        <v>106</v>
      </c>
      <c r="C288" s="19" t="s">
        <v>69</v>
      </c>
      <c r="D288" s="139"/>
      <c r="E288" s="139"/>
      <c r="F288" s="139"/>
      <c r="G288" s="139"/>
      <c r="I288" s="139"/>
      <c r="J288" s="139"/>
      <c r="K288" s="139"/>
      <c r="L288" s="139"/>
      <c r="N288" s="139"/>
      <c r="O288" s="144"/>
      <c r="P288" s="139"/>
      <c r="Q288" s="139"/>
      <c r="R288" s="139"/>
      <c r="S288" s="139"/>
      <c r="U288" s="139"/>
      <c r="V288" s="139"/>
      <c r="W288" s="139"/>
    </row>
    <row r="289" spans="1:23" x14ac:dyDescent="0.2">
      <c r="A289" s="141" t="str">
        <f t="shared" si="23"/>
        <v>HDD18</v>
      </c>
      <c r="B289" s="142" t="str">
        <f>B288</f>
        <v>HDD</v>
      </c>
      <c r="C289" s="142" t="s">
        <v>70</v>
      </c>
      <c r="D289" s="139"/>
      <c r="E289" s="139"/>
      <c r="F289" s="139"/>
      <c r="G289" s="139"/>
      <c r="I289" s="139"/>
      <c r="J289" s="139"/>
      <c r="K289" s="139"/>
      <c r="L289" s="139"/>
      <c r="N289" s="139"/>
      <c r="O289" s="144"/>
      <c r="P289" s="139"/>
      <c r="Q289" s="139"/>
      <c r="R289" s="139"/>
      <c r="S289" s="139"/>
      <c r="U289" s="139"/>
      <c r="V289" s="139"/>
      <c r="W289" s="139"/>
    </row>
    <row r="290" spans="1:23" x14ac:dyDescent="0.2">
      <c r="A290" s="141" t="str">
        <f t="shared" si="23"/>
        <v>HDD19</v>
      </c>
      <c r="B290" s="142" t="str">
        <f>B289</f>
        <v>HDD</v>
      </c>
      <c r="C290" s="142" t="s">
        <v>71</v>
      </c>
      <c r="D290" s="139"/>
      <c r="E290" s="139"/>
      <c r="F290" s="139"/>
      <c r="G290" s="139"/>
      <c r="I290" s="139"/>
      <c r="J290" s="139"/>
      <c r="K290" s="139"/>
      <c r="L290" s="139"/>
      <c r="N290" s="139"/>
      <c r="O290" s="144"/>
      <c r="P290" s="139"/>
      <c r="Q290" s="139"/>
      <c r="R290" s="139"/>
      <c r="S290" s="139"/>
      <c r="U290" s="139"/>
      <c r="V290" s="139"/>
      <c r="W290" s="139"/>
    </row>
    <row r="291" spans="1:23" x14ac:dyDescent="0.2">
      <c r="A291" s="141" t="str">
        <f t="shared" si="23"/>
        <v>HDD20</v>
      </c>
      <c r="B291" s="142" t="str">
        <f t="shared" ref="B291:B296" si="24">B290</f>
        <v>HDD</v>
      </c>
      <c r="C291" s="142" t="s">
        <v>72</v>
      </c>
      <c r="D291" s="139"/>
      <c r="E291" s="139"/>
      <c r="F291" s="139"/>
      <c r="G291" s="139"/>
      <c r="I291" s="139"/>
      <c r="J291" s="139"/>
      <c r="K291" s="139"/>
      <c r="L291" s="139"/>
      <c r="N291" s="139"/>
      <c r="O291" s="144"/>
      <c r="P291" s="139"/>
      <c r="Q291" s="139"/>
      <c r="R291" s="139"/>
      <c r="S291" s="139"/>
      <c r="U291" s="139"/>
      <c r="V291" s="139"/>
      <c r="W291" s="139"/>
    </row>
    <row r="292" spans="1:23" x14ac:dyDescent="0.2">
      <c r="A292" s="141" t="str">
        <f t="shared" si="23"/>
        <v>HDD21</v>
      </c>
      <c r="B292" s="142" t="str">
        <f t="shared" si="24"/>
        <v>HDD</v>
      </c>
      <c r="C292" s="142" t="s">
        <v>73</v>
      </c>
      <c r="D292" s="139"/>
      <c r="E292" s="139"/>
      <c r="F292" s="139"/>
      <c r="G292" s="139"/>
      <c r="I292" s="139"/>
      <c r="J292" s="139"/>
      <c r="K292" s="139"/>
      <c r="L292" s="139"/>
      <c r="N292" s="139"/>
      <c r="O292" s="144"/>
      <c r="P292" s="139"/>
      <c r="Q292" s="139"/>
      <c r="R292" s="139"/>
      <c r="S292" s="139"/>
      <c r="U292" s="139"/>
      <c r="V292" s="139"/>
      <c r="W292" s="139"/>
    </row>
    <row r="293" spans="1:23" x14ac:dyDescent="0.2">
      <c r="A293" s="141" t="str">
        <f>B293&amp;RIGHT(C293,2)</f>
        <v>HDD22</v>
      </c>
      <c r="B293" s="142" t="str">
        <f t="shared" si="24"/>
        <v>HDD</v>
      </c>
      <c r="C293" s="142" t="s">
        <v>74</v>
      </c>
      <c r="D293" s="139"/>
      <c r="E293" s="139"/>
      <c r="F293" s="139"/>
      <c r="G293" s="139"/>
      <c r="I293" s="139"/>
      <c r="J293" s="139"/>
      <c r="K293" s="139"/>
      <c r="L293" s="139"/>
      <c r="N293" s="139"/>
      <c r="O293" s="144"/>
      <c r="P293" s="139"/>
      <c r="Q293" s="139"/>
      <c r="R293" s="139"/>
      <c r="S293" s="139"/>
      <c r="U293" s="139"/>
      <c r="V293" s="139"/>
      <c r="W293" s="139"/>
    </row>
    <row r="294" spans="1:23" x14ac:dyDescent="0.2">
      <c r="A294" s="141" t="str">
        <f>B294&amp;RIGHT(C294,2)</f>
        <v>HDD23</v>
      </c>
      <c r="B294" s="142" t="str">
        <f t="shared" si="24"/>
        <v>HDD</v>
      </c>
      <c r="C294" s="142" t="s">
        <v>75</v>
      </c>
      <c r="D294" s="139"/>
      <c r="E294" s="139"/>
      <c r="F294" s="139"/>
      <c r="G294" s="139"/>
      <c r="I294" s="139"/>
      <c r="J294" s="139"/>
      <c r="K294" s="139"/>
      <c r="L294" s="139"/>
      <c r="N294" s="139"/>
      <c r="O294" s="144"/>
      <c r="P294" s="139"/>
      <c r="Q294" s="139"/>
      <c r="R294" s="139"/>
      <c r="S294" s="139"/>
      <c r="U294" s="139"/>
      <c r="V294" s="139"/>
      <c r="W294" s="139"/>
    </row>
    <row r="295" spans="1:23" x14ac:dyDescent="0.2">
      <c r="A295" s="141" t="str">
        <f>B295&amp;RIGHT(C295,2)</f>
        <v>HDD24</v>
      </c>
      <c r="B295" s="142" t="str">
        <f t="shared" si="24"/>
        <v>HDD</v>
      </c>
      <c r="C295" s="142" t="s">
        <v>76</v>
      </c>
      <c r="D295" s="139"/>
      <c r="E295" s="139"/>
      <c r="F295" s="139"/>
      <c r="G295" s="139"/>
      <c r="I295" s="139"/>
      <c r="J295" s="139"/>
      <c r="K295" s="139"/>
      <c r="L295" s="139"/>
      <c r="N295" s="139"/>
      <c r="O295" s="144"/>
      <c r="P295" s="139"/>
      <c r="Q295" s="139"/>
      <c r="R295" s="139"/>
      <c r="S295" s="139"/>
      <c r="U295" s="139"/>
      <c r="V295" s="139"/>
      <c r="W295" s="139"/>
    </row>
    <row r="296" spans="1:23" x14ac:dyDescent="0.2">
      <c r="A296" s="141" t="str">
        <f>B296&amp;RIGHT(C296,2)</f>
        <v>HDD25</v>
      </c>
      <c r="B296" s="142" t="str">
        <f t="shared" si="24"/>
        <v>HDD</v>
      </c>
      <c r="C296" s="142" t="s">
        <v>24</v>
      </c>
      <c r="D296" s="139"/>
      <c r="E296" s="139"/>
      <c r="F296" s="139"/>
      <c r="G296" s="139"/>
      <c r="I296" s="139"/>
      <c r="J296" s="139"/>
      <c r="K296" s="139"/>
      <c r="L296" s="139"/>
      <c r="N296" s="139"/>
      <c r="O296" s="144"/>
      <c r="P296" s="139"/>
      <c r="Q296" s="139"/>
      <c r="R296" s="139"/>
      <c r="S296" s="139"/>
      <c r="U296" s="139"/>
      <c r="V296" s="139"/>
      <c r="W296" s="139"/>
    </row>
    <row r="297" spans="1:23" x14ac:dyDescent="0.2">
      <c r="D297" s="147"/>
      <c r="I297" s="147"/>
    </row>
    <row r="299" spans="1:23" x14ac:dyDescent="0.2">
      <c r="D299" s="146"/>
      <c r="E299" s="146"/>
      <c r="F299" s="146"/>
      <c r="G299" s="146"/>
      <c r="I299" s="146"/>
      <c r="J299" s="146"/>
      <c r="K299" s="146"/>
      <c r="L299" s="146"/>
      <c r="N299" s="146"/>
    </row>
    <row r="301" spans="1:23" x14ac:dyDescent="0.2">
      <c r="F301" s="146"/>
    </row>
    <row r="302" spans="1:23" x14ac:dyDescent="0.2">
      <c r="F302" s="146"/>
    </row>
    <row r="304" spans="1:23" x14ac:dyDescent="0.2">
      <c r="F304" s="146"/>
    </row>
    <row r="305" spans="6:6" x14ac:dyDescent="0.2">
      <c r="F305" s="146"/>
    </row>
  </sheetData>
  <mergeCells count="2">
    <mergeCell ref="D2:G2"/>
    <mergeCell ref="I2:L2"/>
  </mergeCells>
  <conditionalFormatting sqref="D297">
    <cfRule type="cellIs" dxfId="134" priority="6" operator="equal">
      <formula>TRUE</formula>
    </cfRule>
  </conditionalFormatting>
  <conditionalFormatting sqref="I297">
    <cfRule type="cellIs" dxfId="133" priority="3" operator="equal">
      <formula>TRUE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dimension ref="A1:AG304"/>
  <sheetViews>
    <sheetView workbookViewId="0"/>
  </sheetViews>
  <sheetFormatPr defaultColWidth="8.28515625" defaultRowHeight="12.75" x14ac:dyDescent="0.2"/>
  <cols>
    <col min="1" max="1" width="10.28515625" style="111" customWidth="1"/>
    <col min="2" max="2" width="11.28515625" style="111" customWidth="1"/>
    <col min="3" max="4" width="10.28515625" style="111" customWidth="1"/>
    <col min="5" max="8" width="13.7109375" style="7" customWidth="1"/>
    <col min="9" max="9" width="21.7109375" style="7" customWidth="1"/>
    <col min="10" max="10" width="22.7109375" style="7" customWidth="1"/>
    <col min="11" max="11" width="9" style="7" customWidth="1"/>
    <col min="12" max="15" width="13.7109375" style="7" customWidth="1"/>
    <col min="16" max="16" width="21.7109375" style="7" customWidth="1"/>
    <col min="17" max="17" width="22.7109375" style="7" customWidth="1"/>
    <col min="18" max="18" width="6" style="7" customWidth="1"/>
    <col min="19" max="19" width="13.7109375" style="7" customWidth="1"/>
    <col min="20" max="20" width="6" style="7" customWidth="1"/>
    <col min="21" max="26" width="13.7109375" style="7" customWidth="1"/>
    <col min="27" max="27" width="8.28515625" style="7"/>
    <col min="28" max="28" width="12.28515625" style="7" customWidth="1"/>
    <col min="29" max="30" width="13.28515625" style="7" customWidth="1"/>
    <col min="31" max="16384" width="8.28515625" style="7"/>
  </cols>
  <sheetData>
    <row r="1" spans="1:33" ht="13.5" thickBot="1" x14ac:dyDescent="0.25">
      <c r="A1" s="111" t="s">
        <v>1070</v>
      </c>
    </row>
    <row r="2" spans="1:33" ht="13.5" thickBot="1" x14ac:dyDescent="0.25">
      <c r="E2" s="704" t="s">
        <v>112</v>
      </c>
      <c r="F2" s="705"/>
      <c r="G2" s="705"/>
      <c r="H2" s="705"/>
      <c r="I2" s="705"/>
      <c r="J2" s="705"/>
      <c r="K2" s="112"/>
      <c r="L2" s="704" t="s">
        <v>113</v>
      </c>
      <c r="M2" s="705"/>
      <c r="N2" s="705"/>
      <c r="O2" s="705"/>
      <c r="P2" s="705"/>
      <c r="Q2" s="705"/>
      <c r="R2" s="112"/>
      <c r="S2" s="112"/>
      <c r="T2" s="112"/>
      <c r="U2" s="112"/>
      <c r="V2" s="112"/>
      <c r="W2" s="112"/>
      <c r="X2" s="112"/>
      <c r="Y2" s="112"/>
      <c r="Z2" s="112"/>
    </row>
    <row r="3" spans="1:33" x14ac:dyDescent="0.2">
      <c r="E3" s="113" t="s">
        <v>114</v>
      </c>
      <c r="F3" s="113" t="s">
        <v>115</v>
      </c>
      <c r="G3" s="113" t="s">
        <v>116</v>
      </c>
      <c r="H3" s="113" t="s">
        <v>117</v>
      </c>
      <c r="I3" s="113" t="s">
        <v>290</v>
      </c>
      <c r="J3" s="113" t="s">
        <v>291</v>
      </c>
      <c r="L3" s="113" t="s">
        <v>114</v>
      </c>
      <c r="M3" s="113" t="s">
        <v>115</v>
      </c>
      <c r="N3" s="113" t="s">
        <v>116</v>
      </c>
      <c r="O3" s="113" t="s">
        <v>117</v>
      </c>
      <c r="P3" s="113" t="s">
        <v>290</v>
      </c>
      <c r="Q3" s="113" t="s">
        <v>291</v>
      </c>
      <c r="S3" s="114" t="s">
        <v>118</v>
      </c>
      <c r="U3" s="115" t="s">
        <v>119</v>
      </c>
      <c r="V3" s="115" t="s">
        <v>120</v>
      </c>
      <c r="W3" s="115" t="s">
        <v>121</v>
      </c>
      <c r="X3" s="115" t="s">
        <v>122</v>
      </c>
      <c r="Y3" s="115" t="s">
        <v>292</v>
      </c>
      <c r="Z3" s="115" t="s">
        <v>293</v>
      </c>
      <c r="AB3" s="115" t="s">
        <v>123</v>
      </c>
      <c r="AC3" s="115" t="s">
        <v>124</v>
      </c>
      <c r="AD3" s="115" t="s">
        <v>125</v>
      </c>
    </row>
    <row r="4" spans="1:33" x14ac:dyDescent="0.2">
      <c r="C4" s="116" t="s">
        <v>126</v>
      </c>
      <c r="D4" s="116"/>
      <c r="E4" s="117" t="s">
        <v>13</v>
      </c>
      <c r="F4" s="118" t="s">
        <v>13</v>
      </c>
      <c r="G4" s="118" t="s">
        <v>14</v>
      </c>
      <c r="H4" s="118" t="s">
        <v>14</v>
      </c>
      <c r="I4" s="119" t="s">
        <v>294</v>
      </c>
      <c r="J4" s="119" t="s">
        <v>294</v>
      </c>
      <c r="L4" s="117" t="s">
        <v>13</v>
      </c>
      <c r="M4" s="118" t="s">
        <v>13</v>
      </c>
      <c r="N4" s="118" t="s">
        <v>14</v>
      </c>
      <c r="O4" s="118" t="s">
        <v>14</v>
      </c>
      <c r="P4" s="119" t="s">
        <v>294</v>
      </c>
      <c r="Q4" s="119" t="s">
        <v>294</v>
      </c>
      <c r="S4" s="119"/>
      <c r="U4" s="117" t="s">
        <v>13</v>
      </c>
      <c r="V4" s="117" t="s">
        <v>13</v>
      </c>
      <c r="W4" s="117" t="s">
        <v>13</v>
      </c>
      <c r="X4" s="117" t="s">
        <v>13</v>
      </c>
      <c r="Y4" s="119" t="s">
        <v>294</v>
      </c>
      <c r="Z4" s="119"/>
      <c r="AB4" s="117"/>
      <c r="AC4" s="117"/>
      <c r="AD4" s="117"/>
    </row>
    <row r="5" spans="1:33" ht="13.5" thickBot="1" x14ac:dyDescent="0.25">
      <c r="C5" s="116" t="s">
        <v>127</v>
      </c>
      <c r="D5" s="116"/>
      <c r="E5" s="117" t="s">
        <v>14</v>
      </c>
      <c r="F5" s="117" t="s">
        <v>14</v>
      </c>
      <c r="G5" s="117" t="s">
        <v>13</v>
      </c>
      <c r="H5" s="117" t="s">
        <v>13</v>
      </c>
      <c r="I5" s="119" t="s">
        <v>294</v>
      </c>
      <c r="J5" s="119" t="s">
        <v>294</v>
      </c>
      <c r="L5" s="117" t="s">
        <v>14</v>
      </c>
      <c r="M5" s="117" t="s">
        <v>14</v>
      </c>
      <c r="N5" s="117" t="s">
        <v>13</v>
      </c>
      <c r="O5" s="117" t="s">
        <v>13</v>
      </c>
      <c r="P5" s="119" t="s">
        <v>294</v>
      </c>
      <c r="Q5" s="119" t="s">
        <v>294</v>
      </c>
      <c r="S5" s="119"/>
      <c r="U5" s="117" t="s">
        <v>14</v>
      </c>
      <c r="V5" s="117" t="s">
        <v>14</v>
      </c>
      <c r="W5" s="117" t="s">
        <v>14</v>
      </c>
      <c r="X5" s="117" t="s">
        <v>14</v>
      </c>
      <c r="Y5" s="119" t="s">
        <v>294</v>
      </c>
      <c r="Z5" s="119"/>
      <c r="AB5" s="117"/>
      <c r="AC5" s="117"/>
      <c r="AD5" s="117"/>
    </row>
    <row r="6" spans="1:33" s="125" customFormat="1" ht="26.25" thickBot="1" x14ac:dyDescent="0.25">
      <c r="A6" s="120" t="s">
        <v>128</v>
      </c>
      <c r="B6" s="121" t="s">
        <v>129</v>
      </c>
      <c r="C6" s="122" t="s">
        <v>130</v>
      </c>
      <c r="D6" s="272"/>
      <c r="E6" s="123" t="s">
        <v>77</v>
      </c>
      <c r="F6" s="123" t="s">
        <v>80</v>
      </c>
      <c r="G6" s="123" t="s">
        <v>82</v>
      </c>
      <c r="H6" s="123" t="s">
        <v>84</v>
      </c>
      <c r="I6" s="124" t="s">
        <v>290</v>
      </c>
      <c r="J6" s="124" t="s">
        <v>291</v>
      </c>
      <c r="L6" s="123" t="s">
        <v>77</v>
      </c>
      <c r="M6" s="123" t="s">
        <v>80</v>
      </c>
      <c r="N6" s="123" t="s">
        <v>82</v>
      </c>
      <c r="O6" s="123" t="s">
        <v>84</v>
      </c>
      <c r="P6" s="124" t="s">
        <v>290</v>
      </c>
      <c r="Q6" s="124" t="s">
        <v>291</v>
      </c>
      <c r="S6" s="126" t="s">
        <v>86</v>
      </c>
      <c r="U6" s="127" t="s">
        <v>15</v>
      </c>
      <c r="V6" s="127" t="s">
        <v>16</v>
      </c>
      <c r="W6" s="127" t="s">
        <v>17</v>
      </c>
      <c r="X6" s="127" t="s">
        <v>18</v>
      </c>
      <c r="Y6" s="128" t="s">
        <v>295</v>
      </c>
      <c r="Z6" s="128" t="s">
        <v>296</v>
      </c>
      <c r="AB6" s="195" t="s">
        <v>23</v>
      </c>
      <c r="AC6" s="195" t="s">
        <v>48</v>
      </c>
      <c r="AD6" s="195" t="s">
        <v>100</v>
      </c>
      <c r="AE6" s="7"/>
      <c r="AF6" s="7"/>
      <c r="AG6" s="7"/>
    </row>
    <row r="7" spans="1:33" ht="116.25" customHeight="1" thickBot="1" x14ac:dyDescent="0.25">
      <c r="A7" s="129" t="s">
        <v>131</v>
      </c>
      <c r="B7" s="130" t="s">
        <v>132</v>
      </c>
      <c r="C7" s="131" t="s">
        <v>133</v>
      </c>
      <c r="D7" s="273"/>
      <c r="E7" s="132" t="s">
        <v>49</v>
      </c>
      <c r="F7" s="133" t="s">
        <v>50</v>
      </c>
      <c r="G7" s="133" t="s">
        <v>51</v>
      </c>
      <c r="H7" s="133" t="s">
        <v>52</v>
      </c>
      <c r="I7" s="134" t="s">
        <v>297</v>
      </c>
      <c r="J7" s="134" t="s">
        <v>298</v>
      </c>
      <c r="L7" s="132" t="s">
        <v>88</v>
      </c>
      <c r="M7" s="133" t="s">
        <v>89</v>
      </c>
      <c r="N7" s="133" t="s">
        <v>90</v>
      </c>
      <c r="O7" s="133" t="s">
        <v>91</v>
      </c>
      <c r="P7" s="134" t="s">
        <v>299</v>
      </c>
      <c r="Q7" s="134" t="s">
        <v>300</v>
      </c>
      <c r="S7" s="135" t="e">
        <f>+#REF!</f>
        <v>#REF!</v>
      </c>
      <c r="U7" s="136" t="s">
        <v>53</v>
      </c>
      <c r="V7" s="136" t="s">
        <v>54</v>
      </c>
      <c r="W7" s="136" t="s">
        <v>55</v>
      </c>
      <c r="X7" s="136" t="s">
        <v>56</v>
      </c>
      <c r="Y7" s="137" t="s">
        <v>301</v>
      </c>
      <c r="Z7" s="137" t="s">
        <v>302</v>
      </c>
      <c r="AB7" s="196" t="s">
        <v>97</v>
      </c>
      <c r="AC7" s="196" t="s">
        <v>98</v>
      </c>
      <c r="AD7" s="196" t="s">
        <v>101</v>
      </c>
    </row>
    <row r="8" spans="1:33" hidden="1" x14ac:dyDescent="0.2">
      <c r="A8" s="138" t="str">
        <f t="shared" ref="A8:A13" si="0">B8&amp;RIGHT(C8,2)</f>
        <v>ANH12</v>
      </c>
      <c r="B8" s="19" t="s">
        <v>26</v>
      </c>
      <c r="C8" s="19" t="s">
        <v>64</v>
      </c>
      <c r="D8" s="19" t="str">
        <f t="shared" ref="D8:D39" si="1">RIGHT(A8,2)</f>
        <v>12</v>
      </c>
      <c r="E8" s="139">
        <f>IF(Data_Override!D8="",Data!D8,Data_Override!D8)</f>
        <v>0</v>
      </c>
      <c r="F8" s="139">
        <f>IF(Data_Override!E8="",Data!E8,Data_Override!E8)</f>
        <v>11.1083279428604</v>
      </c>
      <c r="G8" s="139">
        <f>IF(Data_Override!F8="",Data!F8,Data_Override!F8)</f>
        <v>0</v>
      </c>
      <c r="H8" s="139">
        <f>IF(Data_Override!G8="",Data!G8,Data_Override!G8)</f>
        <v>10.9251396266484</v>
      </c>
      <c r="I8" s="140">
        <f t="shared" ref="I8:I39" si="2">IFERROR(SUM(E8:F8),"")</f>
        <v>11.1083279428604</v>
      </c>
      <c r="J8" s="140">
        <f t="shared" ref="J8:J39" si="3">IFERROR(SUM(G8:H8),"")</f>
        <v>10.9251396266484</v>
      </c>
      <c r="L8" s="139">
        <f>IF(Data_Override!I8="",Data!I8,Data_Override!I8)</f>
        <v>0</v>
      </c>
      <c r="M8" s="139">
        <f>IF(Data_Override!J8="",Data!J8,Data_Override!J8)</f>
        <v>0</v>
      </c>
      <c r="N8" s="139">
        <f>IF(Data_Override!K8="",Data!K8,Data_Override!K8)</f>
        <v>0</v>
      </c>
      <c r="O8" s="139">
        <f>IF(Data_Override!L8="",Data!L8,Data_Override!L8)</f>
        <v>0</v>
      </c>
      <c r="P8" s="140">
        <f t="shared" ref="P8" si="4">IFERROR(SUM(L8:M8),"")</f>
        <v>0</v>
      </c>
      <c r="Q8" s="140">
        <f t="shared" ref="Q8" si="5">IFERROR(SUM(N8:O8),"")</f>
        <v>0</v>
      </c>
      <c r="S8" s="139">
        <f>IF(Data_Override!N8="",Data!N8,Data_Override!N8)</f>
        <v>369.59975583915002</v>
      </c>
      <c r="U8" s="139">
        <f>IF(Data_Override!P8="",Data!P8,Data_Override!P8)</f>
        <v>0</v>
      </c>
      <c r="V8" s="139">
        <f>IF(Data_Override!Q8="",Data!Q8,Data_Override!Q8)</f>
        <v>0</v>
      </c>
      <c r="W8" s="139">
        <f>IF(Data_Override!R8="",Data!R8,Data_Override!R8)</f>
        <v>0</v>
      </c>
      <c r="X8" s="139">
        <f>IF(Data_Override!S8="",Data!S8,Data_Override!S8)</f>
        <v>0</v>
      </c>
      <c r="Y8" s="140">
        <f t="shared" ref="Y8:Y49" si="6">IFERROR(MAX(U8,V8),"")</f>
        <v>0</v>
      </c>
      <c r="Z8" s="140">
        <f t="shared" ref="Z8:Z49" si="7">IFERROR(MAX(W8,X8),"")</f>
        <v>0</v>
      </c>
      <c r="AB8" s="139">
        <f>IF(Data_Override!U8="",Data!U8,Data_Override!U8)</f>
        <v>0</v>
      </c>
      <c r="AC8" s="139">
        <f>IF(Data_Override!V8="",Data!V8,Data_Override!V8)</f>
        <v>0</v>
      </c>
      <c r="AD8" s="139">
        <f>IF(Data_Override!W8="",Data!W8,Data_Override!W8)</f>
        <v>0</v>
      </c>
    </row>
    <row r="9" spans="1:33" hidden="1" x14ac:dyDescent="0.2">
      <c r="A9" s="138" t="str">
        <f t="shared" si="0"/>
        <v>ANH13</v>
      </c>
      <c r="B9" s="19" t="s">
        <v>26</v>
      </c>
      <c r="C9" s="19" t="s">
        <v>65</v>
      </c>
      <c r="D9" s="19" t="str">
        <f t="shared" si="1"/>
        <v>13</v>
      </c>
      <c r="E9" s="139">
        <f>IF(Data_Override!D9="",Data!D9,Data_Override!D9)</f>
        <v>0</v>
      </c>
      <c r="F9" s="139">
        <f>IF(Data_Override!E9="",Data!E9,Data_Override!E9)</f>
        <v>27.860029107979901</v>
      </c>
      <c r="G9" s="139">
        <f>IF(Data_Override!F9="",Data!F9,Data_Override!F9)</f>
        <v>0</v>
      </c>
      <c r="H9" s="139">
        <f>IF(Data_Override!G9="",Data!G9,Data_Override!G9)</f>
        <v>21.779796441509198</v>
      </c>
      <c r="I9" s="140">
        <f t="shared" si="2"/>
        <v>27.860029107979901</v>
      </c>
      <c r="J9" s="140">
        <f t="shared" si="3"/>
        <v>21.779796441509198</v>
      </c>
      <c r="L9" s="139">
        <f>IF(Data_Override!I9="",Data!I9,Data_Override!I9)</f>
        <v>0</v>
      </c>
      <c r="M9" s="139">
        <f>IF(Data_Override!J9="",Data!J9,Data_Override!J9)</f>
        <v>0</v>
      </c>
      <c r="N9" s="139">
        <f>IF(Data_Override!K9="",Data!K9,Data_Override!K9)</f>
        <v>0</v>
      </c>
      <c r="O9" s="139">
        <f>IF(Data_Override!L9="",Data!L9,Data_Override!L9)</f>
        <v>0</v>
      </c>
      <c r="P9" s="140">
        <f t="shared" ref="P9:P49" si="8">IFERROR(SUM(L9:M9),"")</f>
        <v>0</v>
      </c>
      <c r="Q9" s="140">
        <f t="shared" ref="Q9:Q49" si="9">IFERROR(SUM(N9:O9),"")</f>
        <v>0</v>
      </c>
      <c r="S9" s="139">
        <f>IF(Data_Override!N9="",Data!N9,Data_Override!N9)</f>
        <v>393.906703405614</v>
      </c>
      <c r="U9" s="139">
        <f>IF(Data_Override!P9="",Data!P9,Data_Override!P9)</f>
        <v>0</v>
      </c>
      <c r="V9" s="139">
        <f>IF(Data_Override!Q9="",Data!Q9,Data_Override!Q9)</f>
        <v>0</v>
      </c>
      <c r="W9" s="139">
        <f>IF(Data_Override!R9="",Data!R9,Data_Override!R9)</f>
        <v>0</v>
      </c>
      <c r="X9" s="139">
        <f>IF(Data_Override!S9="",Data!S9,Data_Override!S9)</f>
        <v>0</v>
      </c>
      <c r="Y9" s="140">
        <f t="shared" si="6"/>
        <v>0</v>
      </c>
      <c r="Z9" s="140">
        <f t="shared" si="7"/>
        <v>0</v>
      </c>
      <c r="AB9" s="139">
        <f>IF(Data_Override!U9="",Data!U9,Data_Override!U9)</f>
        <v>0</v>
      </c>
      <c r="AC9" s="139">
        <f>IF(Data_Override!V9="",Data!V9,Data_Override!V9)</f>
        <v>0</v>
      </c>
      <c r="AD9" s="139">
        <f>IF(Data_Override!W9="",Data!W9,Data_Override!W9)</f>
        <v>0</v>
      </c>
    </row>
    <row r="10" spans="1:33" hidden="1" x14ac:dyDescent="0.2">
      <c r="A10" s="138" t="str">
        <f t="shared" si="0"/>
        <v>ANH14</v>
      </c>
      <c r="B10" s="19" t="s">
        <v>26</v>
      </c>
      <c r="C10" s="19" t="s">
        <v>66</v>
      </c>
      <c r="D10" s="19" t="str">
        <f t="shared" si="1"/>
        <v>14</v>
      </c>
      <c r="E10" s="139">
        <f>IF(Data_Override!D10="",Data!D10,Data_Override!D10)</f>
        <v>0</v>
      </c>
      <c r="F10" s="139">
        <f>IF(Data_Override!E10="",Data!E10,Data_Override!E10)</f>
        <v>22.057069842749399</v>
      </c>
      <c r="G10" s="139">
        <f>IF(Data_Override!F10="",Data!F10,Data_Override!F10)</f>
        <v>0</v>
      </c>
      <c r="H10" s="139">
        <f>IF(Data_Override!G10="",Data!G10,Data_Override!G10)</f>
        <v>24.890010425725698</v>
      </c>
      <c r="I10" s="140">
        <f t="shared" si="2"/>
        <v>22.057069842749399</v>
      </c>
      <c r="J10" s="140">
        <f t="shared" si="3"/>
        <v>24.890010425725698</v>
      </c>
      <c r="L10" s="139">
        <f>IF(Data_Override!I10="",Data!I10,Data_Override!I10)</f>
        <v>0</v>
      </c>
      <c r="M10" s="139">
        <f>IF(Data_Override!J10="",Data!J10,Data_Override!J10)</f>
        <v>0</v>
      </c>
      <c r="N10" s="139">
        <f>IF(Data_Override!K10="",Data!K10,Data_Override!K10)</f>
        <v>0</v>
      </c>
      <c r="O10" s="139">
        <f>IF(Data_Override!L10="",Data!L10,Data_Override!L10)</f>
        <v>0</v>
      </c>
      <c r="P10" s="140">
        <f t="shared" si="8"/>
        <v>0</v>
      </c>
      <c r="Q10" s="140">
        <f t="shared" si="9"/>
        <v>0</v>
      </c>
      <c r="S10" s="139">
        <f>IF(Data_Override!N10="",Data!N10,Data_Override!N10)</f>
        <v>354.53701632585597</v>
      </c>
      <c r="U10" s="139">
        <f>IF(Data_Override!P10="",Data!P10,Data_Override!P10)</f>
        <v>0</v>
      </c>
      <c r="V10" s="139">
        <f>IF(Data_Override!Q10="",Data!Q10,Data_Override!Q10)</f>
        <v>0</v>
      </c>
      <c r="W10" s="139">
        <f>IF(Data_Override!R10="",Data!R10,Data_Override!R10)</f>
        <v>0</v>
      </c>
      <c r="X10" s="139">
        <f>IF(Data_Override!S10="",Data!S10,Data_Override!S10)</f>
        <v>0</v>
      </c>
      <c r="Y10" s="140">
        <f t="shared" si="6"/>
        <v>0</v>
      </c>
      <c r="Z10" s="140">
        <f t="shared" si="7"/>
        <v>0</v>
      </c>
      <c r="AB10" s="139">
        <f>IF(Data_Override!U10="",Data!U10,Data_Override!U10)</f>
        <v>0</v>
      </c>
      <c r="AC10" s="139">
        <f>IF(Data_Override!V10="",Data!V10,Data_Override!V10)</f>
        <v>0</v>
      </c>
      <c r="AD10" s="139">
        <f>IF(Data_Override!W10="",Data!W10,Data_Override!W10)</f>
        <v>0</v>
      </c>
    </row>
    <row r="11" spans="1:33" hidden="1" x14ac:dyDescent="0.2">
      <c r="A11" s="138" t="str">
        <f t="shared" si="0"/>
        <v>ANH15</v>
      </c>
      <c r="B11" s="19" t="s">
        <v>26</v>
      </c>
      <c r="C11" s="19" t="s">
        <v>67</v>
      </c>
      <c r="D11" s="19" t="str">
        <f t="shared" si="1"/>
        <v>15</v>
      </c>
      <c r="E11" s="139">
        <f>IF(Data_Override!D11="",Data!D11,Data_Override!D11)</f>
        <v>0</v>
      </c>
      <c r="F11" s="139">
        <f>IF(Data_Override!E11="",Data!E11,Data_Override!E11)</f>
        <v>29.414010970288899</v>
      </c>
      <c r="G11" s="139">
        <f>IF(Data_Override!F11="",Data!F11,Data_Override!F11)</f>
        <v>0</v>
      </c>
      <c r="H11" s="139">
        <f>IF(Data_Override!G11="",Data!G11,Data_Override!G11)</f>
        <v>31.763754414276899</v>
      </c>
      <c r="I11" s="140">
        <f t="shared" si="2"/>
        <v>29.414010970288899</v>
      </c>
      <c r="J11" s="140">
        <f t="shared" si="3"/>
        <v>31.763754414276899</v>
      </c>
      <c r="L11" s="139">
        <f>IF(Data_Override!I11="",Data!I11,Data_Override!I11)</f>
        <v>0</v>
      </c>
      <c r="M11" s="139">
        <f>IF(Data_Override!J11="",Data!J11,Data_Override!J11)</f>
        <v>0</v>
      </c>
      <c r="N11" s="139">
        <f>IF(Data_Override!K11="",Data!K11,Data_Override!K11)</f>
        <v>0</v>
      </c>
      <c r="O11" s="139">
        <f>IF(Data_Override!L11="",Data!L11,Data_Override!L11)</f>
        <v>0</v>
      </c>
      <c r="P11" s="140">
        <f t="shared" si="8"/>
        <v>0</v>
      </c>
      <c r="Q11" s="140">
        <f t="shared" si="9"/>
        <v>0</v>
      </c>
      <c r="S11" s="139">
        <f>IF(Data_Override!N11="",Data!N11,Data_Override!N11)</f>
        <v>370.24685686063498</v>
      </c>
      <c r="U11" s="139">
        <f>IF(Data_Override!P11="",Data!P11,Data_Override!P11)</f>
        <v>0</v>
      </c>
      <c r="V11" s="139">
        <f>IF(Data_Override!Q11="",Data!Q11,Data_Override!Q11)</f>
        <v>0</v>
      </c>
      <c r="W11" s="139">
        <f>IF(Data_Override!R11="",Data!R11,Data_Override!R11)</f>
        <v>0</v>
      </c>
      <c r="X11" s="139">
        <f>IF(Data_Override!S11="",Data!S11,Data_Override!S11)</f>
        <v>0</v>
      </c>
      <c r="Y11" s="140">
        <f t="shared" si="6"/>
        <v>0</v>
      </c>
      <c r="Z11" s="140">
        <f t="shared" si="7"/>
        <v>0</v>
      </c>
      <c r="AB11" s="139">
        <f>IF(Data_Override!U11="",Data!U11,Data_Override!U11)</f>
        <v>0</v>
      </c>
      <c r="AC11" s="139">
        <f>IF(Data_Override!V11="",Data!V11,Data_Override!V11)</f>
        <v>0</v>
      </c>
      <c r="AD11" s="139">
        <f>IF(Data_Override!W11="",Data!W11,Data_Override!W11)</f>
        <v>0</v>
      </c>
    </row>
    <row r="12" spans="1:33" hidden="1" x14ac:dyDescent="0.2">
      <c r="A12" s="138" t="str">
        <f t="shared" si="0"/>
        <v>ANH16</v>
      </c>
      <c r="B12" s="19" t="s">
        <v>26</v>
      </c>
      <c r="C12" s="19" t="s">
        <v>68</v>
      </c>
      <c r="D12" s="19" t="str">
        <f t="shared" si="1"/>
        <v>16</v>
      </c>
      <c r="E12" s="139">
        <f>IF(Data_Override!D12="",Data!D12,Data_Override!D12)</f>
        <v>0</v>
      </c>
      <c r="F12" s="139">
        <f>IF(Data_Override!E12="",Data!E12,Data_Override!E12)</f>
        <v>4.7143242655498296</v>
      </c>
      <c r="G12" s="139">
        <f>IF(Data_Override!F12="",Data!F12,Data_Override!F12)</f>
        <v>0</v>
      </c>
      <c r="H12" s="139">
        <f>IF(Data_Override!G12="",Data!G12,Data_Override!G12)</f>
        <v>6.5695609522715799</v>
      </c>
      <c r="I12" s="140">
        <f t="shared" si="2"/>
        <v>4.7143242655498296</v>
      </c>
      <c r="J12" s="140">
        <f t="shared" si="3"/>
        <v>6.5695609522715799</v>
      </c>
      <c r="L12" s="139">
        <f>IF(Data_Override!I12="",Data!I12,Data_Override!I12)</f>
        <v>0</v>
      </c>
      <c r="M12" s="139">
        <f>IF(Data_Override!J12="",Data!J12,Data_Override!J12)</f>
        <v>0</v>
      </c>
      <c r="N12" s="139">
        <f>IF(Data_Override!K12="",Data!K12,Data_Override!K12)</f>
        <v>0</v>
      </c>
      <c r="O12" s="139">
        <f>IF(Data_Override!L12="",Data!L12,Data_Override!L12)</f>
        <v>0</v>
      </c>
      <c r="P12" s="140">
        <f t="shared" si="8"/>
        <v>0</v>
      </c>
      <c r="Q12" s="140">
        <f t="shared" si="9"/>
        <v>0</v>
      </c>
      <c r="S12" s="139">
        <f>IF(Data_Override!N12="",Data!N12,Data_Override!N12)</f>
        <v>327.62194512912799</v>
      </c>
      <c r="U12" s="139">
        <f>IF(Data_Override!P12="",Data!P12,Data_Override!P12)</f>
        <v>0</v>
      </c>
      <c r="V12" s="139">
        <f>IF(Data_Override!Q12="",Data!Q12,Data_Override!Q12)</f>
        <v>0</v>
      </c>
      <c r="W12" s="139">
        <f>IF(Data_Override!R12="",Data!R12,Data_Override!R12)</f>
        <v>0</v>
      </c>
      <c r="X12" s="139">
        <f>IF(Data_Override!S12="",Data!S12,Data_Override!S12)</f>
        <v>0</v>
      </c>
      <c r="Y12" s="140">
        <f t="shared" si="6"/>
        <v>0</v>
      </c>
      <c r="Z12" s="140">
        <f t="shared" si="7"/>
        <v>0</v>
      </c>
      <c r="AB12" s="139">
        <f>IF(Data_Override!U12="",Data!U12,Data_Override!U12)</f>
        <v>0</v>
      </c>
      <c r="AC12" s="139">
        <f>IF(Data_Override!V12="",Data!V12,Data_Override!V12)</f>
        <v>0</v>
      </c>
      <c r="AD12" s="139">
        <f>IF(Data_Override!W12="",Data!W12,Data_Override!W12)</f>
        <v>0</v>
      </c>
    </row>
    <row r="13" spans="1:33" hidden="1" x14ac:dyDescent="0.2">
      <c r="A13" s="138" t="str">
        <f t="shared" si="0"/>
        <v>ANH17</v>
      </c>
      <c r="B13" s="19" t="s">
        <v>26</v>
      </c>
      <c r="C13" s="19" t="s">
        <v>69</v>
      </c>
      <c r="D13" s="19" t="str">
        <f t="shared" si="1"/>
        <v>17</v>
      </c>
      <c r="E13" s="139">
        <f>IF(Data_Override!D13="",Data!D13,Data_Override!D13)</f>
        <v>0</v>
      </c>
      <c r="F13" s="139">
        <f>IF(Data_Override!E13="",Data!E13,Data_Override!E13)</f>
        <v>7.6791057116597203</v>
      </c>
      <c r="G13" s="139">
        <f>IF(Data_Override!F13="",Data!F13,Data_Override!F13)</f>
        <v>0</v>
      </c>
      <c r="H13" s="139">
        <f>IF(Data_Override!G13="",Data!G13,Data_Override!G13)</f>
        <v>8.4962998178787501</v>
      </c>
      <c r="I13" s="140">
        <f t="shared" si="2"/>
        <v>7.6791057116597203</v>
      </c>
      <c r="J13" s="140">
        <f t="shared" si="3"/>
        <v>8.4962998178787501</v>
      </c>
      <c r="L13" s="139">
        <f>IF(Data_Override!I13="",Data!I13,Data_Override!I13)</f>
        <v>0</v>
      </c>
      <c r="M13" s="139">
        <f>IF(Data_Override!J13="",Data!J13,Data_Override!J13)</f>
        <v>0</v>
      </c>
      <c r="N13" s="139">
        <f>IF(Data_Override!K13="",Data!K13,Data_Override!K13)</f>
        <v>0</v>
      </c>
      <c r="O13" s="139">
        <f>IF(Data_Override!L13="",Data!L13,Data_Override!L13)</f>
        <v>0</v>
      </c>
      <c r="P13" s="140">
        <f t="shared" si="8"/>
        <v>0</v>
      </c>
      <c r="Q13" s="140">
        <f t="shared" si="9"/>
        <v>0</v>
      </c>
      <c r="S13" s="139">
        <f>IF(Data_Override!N13="",Data!N13,Data_Override!N13)</f>
        <v>375.70712366397299</v>
      </c>
      <c r="U13" s="139">
        <f>IF(Data_Override!P13="",Data!P13,Data_Override!P13)</f>
        <v>0</v>
      </c>
      <c r="V13" s="139">
        <f>IF(Data_Override!Q13="",Data!Q13,Data_Override!Q13)</f>
        <v>0</v>
      </c>
      <c r="W13" s="139">
        <f>IF(Data_Override!R13="",Data!R13,Data_Override!R13)</f>
        <v>0</v>
      </c>
      <c r="X13" s="139">
        <f>IF(Data_Override!S13="",Data!S13,Data_Override!S13)</f>
        <v>0</v>
      </c>
      <c r="Y13" s="140">
        <f t="shared" si="6"/>
        <v>0</v>
      </c>
      <c r="Z13" s="140">
        <f t="shared" si="7"/>
        <v>0</v>
      </c>
      <c r="AB13" s="139">
        <f>IF(Data_Override!U13="",Data!U13,Data_Override!U13)</f>
        <v>0</v>
      </c>
      <c r="AC13" s="139">
        <f>IF(Data_Override!V13="",Data!V13,Data_Override!V13)</f>
        <v>0</v>
      </c>
      <c r="AD13" s="139">
        <f>IF(Data_Override!W13="",Data!W13,Data_Override!W13)</f>
        <v>0</v>
      </c>
    </row>
    <row r="14" spans="1:33" hidden="1" x14ac:dyDescent="0.2">
      <c r="A14" s="141" t="s">
        <v>134</v>
      </c>
      <c r="B14" s="142" t="s">
        <v>26</v>
      </c>
      <c r="C14" s="142" t="s">
        <v>70</v>
      </c>
      <c r="D14" s="19" t="str">
        <f t="shared" si="1"/>
        <v>18</v>
      </c>
      <c r="E14" s="139">
        <f>IF(Data_Override!D14="",Data!D14,Data_Override!D14)</f>
        <v>0</v>
      </c>
      <c r="F14" s="139">
        <f>IF(Data_Override!E14="",Data!E14,Data_Override!E14)</f>
        <v>13.3680449995031</v>
      </c>
      <c r="G14" s="139">
        <f>IF(Data_Override!F14="",Data!F14,Data_Override!F14)</f>
        <v>0</v>
      </c>
      <c r="H14" s="139">
        <f>IF(Data_Override!G14="",Data!G14,Data_Override!G14)</f>
        <v>6.60895433486386</v>
      </c>
      <c r="I14" s="140">
        <f t="shared" si="2"/>
        <v>13.3680449995031</v>
      </c>
      <c r="J14" s="140">
        <f t="shared" si="3"/>
        <v>6.60895433486386</v>
      </c>
      <c r="L14" s="139">
        <f>IF(Data_Override!I14="",Data!I14,Data_Override!I14)</f>
        <v>0</v>
      </c>
      <c r="M14" s="139">
        <f>IF(Data_Override!J14="",Data!J14,Data_Override!J14)</f>
        <v>0</v>
      </c>
      <c r="N14" s="139">
        <f>IF(Data_Override!K14="",Data!K14,Data_Override!K14)</f>
        <v>0</v>
      </c>
      <c r="O14" s="139">
        <f>IF(Data_Override!L14="",Data!L14,Data_Override!L14)</f>
        <v>0.10100000000000001</v>
      </c>
      <c r="P14" s="140">
        <f t="shared" si="8"/>
        <v>0</v>
      </c>
      <c r="Q14" s="140">
        <f t="shared" si="9"/>
        <v>0.10100000000000001</v>
      </c>
      <c r="S14" s="139">
        <f>IF(Data_Override!N14="",Data!N14,Data_Override!N14)</f>
        <v>399.90776723187003</v>
      </c>
      <c r="U14" s="139">
        <f>IF(Data_Override!P14="",Data!P14,Data_Override!P14)</f>
        <v>0</v>
      </c>
      <c r="V14" s="139">
        <f>IF(Data_Override!Q14="",Data!Q14,Data_Override!Q14)</f>
        <v>0</v>
      </c>
      <c r="W14" s="139">
        <f>IF(Data_Override!R14="",Data!R14,Data_Override!R14)</f>
        <v>6.25</v>
      </c>
      <c r="X14" s="139">
        <f>IF(Data_Override!S14="",Data!S14,Data_Override!S14)</f>
        <v>5.85</v>
      </c>
      <c r="Y14" s="140">
        <f t="shared" si="6"/>
        <v>0</v>
      </c>
      <c r="Z14" s="140">
        <f t="shared" si="7"/>
        <v>6.25</v>
      </c>
      <c r="AB14" s="139">
        <f>IF(Data_Override!U14="",Data!U14,Data_Override!U14)</f>
        <v>182.66</v>
      </c>
      <c r="AC14" s="139">
        <f>IF(Data_Override!V14="",Data!V14,Data_Override!V14)</f>
        <v>38420</v>
      </c>
      <c r="AD14" s="139">
        <f>IF(Data_Override!W14="",Data!W14,Data_Override!W14)</f>
        <v>2195.7190000000001</v>
      </c>
    </row>
    <row r="15" spans="1:33" hidden="1" x14ac:dyDescent="0.2">
      <c r="A15" s="141" t="s">
        <v>135</v>
      </c>
      <c r="B15" s="142" t="s">
        <v>26</v>
      </c>
      <c r="C15" s="142" t="s">
        <v>71</v>
      </c>
      <c r="D15" s="19" t="str">
        <f t="shared" si="1"/>
        <v>19</v>
      </c>
      <c r="E15" s="139">
        <f>IF(Data_Override!D15="",Data!D15,Data_Override!D15)</f>
        <v>0</v>
      </c>
      <c r="F15" s="139">
        <f>IF(Data_Override!E15="",Data!E15,Data_Override!E15)</f>
        <v>18.008247230545901</v>
      </c>
      <c r="G15" s="139">
        <f>IF(Data_Override!F15="",Data!F15,Data_Override!F15)</f>
        <v>0</v>
      </c>
      <c r="H15" s="139">
        <f>IF(Data_Override!G15="",Data!G15,Data_Override!G15)</f>
        <v>10.167422159593301</v>
      </c>
      <c r="I15" s="140">
        <f t="shared" si="2"/>
        <v>18.008247230545901</v>
      </c>
      <c r="J15" s="140">
        <f t="shared" si="3"/>
        <v>10.167422159593301</v>
      </c>
      <c r="L15" s="139">
        <f>IF(Data_Override!I15="",Data!I15,Data_Override!I15)</f>
        <v>0</v>
      </c>
      <c r="M15" s="139">
        <f>IF(Data_Override!J15="",Data!J15,Data_Override!J15)</f>
        <v>0.19700000000000001</v>
      </c>
      <c r="N15" s="139">
        <f>IF(Data_Override!K15="",Data!K15,Data_Override!K15)</f>
        <v>0</v>
      </c>
      <c r="O15" s="139">
        <f>IF(Data_Override!L15="",Data!L15,Data_Override!L15)</f>
        <v>-2E-3</v>
      </c>
      <c r="P15" s="140">
        <f t="shared" si="8"/>
        <v>0.19700000000000001</v>
      </c>
      <c r="Q15" s="140">
        <f t="shared" si="9"/>
        <v>-2E-3</v>
      </c>
      <c r="S15" s="139">
        <f>IF(Data_Override!N15="",Data!N15,Data_Override!N15)</f>
        <v>442.69812680176102</v>
      </c>
      <c r="U15" s="139">
        <f>IF(Data_Override!P15="",Data!P15,Data_Override!P15)</f>
        <v>0</v>
      </c>
      <c r="V15" s="139">
        <f>IF(Data_Override!Q15="",Data!Q15,Data_Override!Q15)</f>
        <v>0</v>
      </c>
      <c r="W15" s="139">
        <f>IF(Data_Override!R15="",Data!R15,Data_Override!R15)</f>
        <v>8.27</v>
      </c>
      <c r="X15" s="139">
        <f>IF(Data_Override!S15="",Data!S15,Data_Override!S15)</f>
        <v>8.01</v>
      </c>
      <c r="Y15" s="140">
        <f t="shared" si="6"/>
        <v>0</v>
      </c>
      <c r="Z15" s="140">
        <f t="shared" si="7"/>
        <v>8.27</v>
      </c>
      <c r="AB15" s="139">
        <f>IF(Data_Override!U15="",Data!U15,Data_Override!U15)</f>
        <v>177</v>
      </c>
      <c r="AC15" s="139">
        <f>IF(Data_Override!V15="",Data!V15,Data_Override!V15)</f>
        <v>38631</v>
      </c>
      <c r="AD15" s="139">
        <f>IF(Data_Override!W15="",Data!W15,Data_Override!W15)</f>
        <v>2215.0169999999998</v>
      </c>
    </row>
    <row r="16" spans="1:33" hidden="1" x14ac:dyDescent="0.2">
      <c r="A16" s="141" t="s">
        <v>136</v>
      </c>
      <c r="B16" s="142" t="s">
        <v>26</v>
      </c>
      <c r="C16" s="142" t="s">
        <v>72</v>
      </c>
      <c r="D16" s="19" t="str">
        <f t="shared" si="1"/>
        <v>20</v>
      </c>
      <c r="E16" s="139">
        <f>IF(Data_Override!D16="",Data!D16,Data_Override!D16)</f>
        <v>0</v>
      </c>
      <c r="F16" s="139">
        <f>IF(Data_Override!E16="",Data!E16,Data_Override!E16)</f>
        <v>3.6456205121672798</v>
      </c>
      <c r="G16" s="139">
        <f>IF(Data_Override!F16="",Data!F16,Data_Override!F16)</f>
        <v>0</v>
      </c>
      <c r="H16" s="139">
        <f>IF(Data_Override!G16="",Data!G16,Data_Override!G16)</f>
        <v>5.2975763358263297</v>
      </c>
      <c r="I16" s="140">
        <f t="shared" si="2"/>
        <v>3.6456205121672798</v>
      </c>
      <c r="J16" s="140">
        <f t="shared" si="3"/>
        <v>5.2975763358263297</v>
      </c>
      <c r="L16" s="139">
        <f>IF(Data_Override!I16="",Data!I16,Data_Override!I16)</f>
        <v>0</v>
      </c>
      <c r="M16" s="139">
        <f>IF(Data_Override!J16="",Data!J16,Data_Override!J16)</f>
        <v>0.29699999999999999</v>
      </c>
      <c r="N16" s="139">
        <f>IF(Data_Override!K16="",Data!K16,Data_Override!K16)</f>
        <v>0</v>
      </c>
      <c r="O16" s="139">
        <f>IF(Data_Override!L16="",Data!L16,Data_Override!L16)</f>
        <v>0.17799999999999999</v>
      </c>
      <c r="P16" s="140">
        <f t="shared" si="8"/>
        <v>0.29699999999999999</v>
      </c>
      <c r="Q16" s="140">
        <f t="shared" si="9"/>
        <v>0.17799999999999999</v>
      </c>
      <c r="S16" s="139">
        <f>IF(Data_Override!N16="",Data!N16,Data_Override!N16)</f>
        <v>397.85288087360601</v>
      </c>
      <c r="U16" s="139">
        <f>IF(Data_Override!P16="",Data!P16,Data_Override!P16)</f>
        <v>0</v>
      </c>
      <c r="V16" s="139">
        <f>IF(Data_Override!Q16="",Data!Q16,Data_Override!Q16)</f>
        <v>0</v>
      </c>
      <c r="W16" s="139">
        <f>IF(Data_Override!R16="",Data!R16,Data_Override!R16)</f>
        <v>7.48</v>
      </c>
      <c r="X16" s="139">
        <f>IF(Data_Override!S16="",Data!S16,Data_Override!S16)</f>
        <v>7.22</v>
      </c>
      <c r="Y16" s="140">
        <f t="shared" si="6"/>
        <v>0</v>
      </c>
      <c r="Z16" s="140">
        <f t="shared" si="7"/>
        <v>7.48</v>
      </c>
      <c r="AB16" s="139">
        <f>IF(Data_Override!U16="",Data!U16,Data_Override!U16)</f>
        <v>172</v>
      </c>
      <c r="AC16" s="139">
        <f>IF(Data_Override!V16="",Data!V16,Data_Override!V16)</f>
        <v>38853</v>
      </c>
      <c r="AD16" s="139">
        <f>IF(Data_Override!W16="",Data!W16,Data_Override!W16)</f>
        <v>2238.029</v>
      </c>
    </row>
    <row r="17" spans="1:30" x14ac:dyDescent="0.2">
      <c r="A17" s="141" t="s">
        <v>137</v>
      </c>
      <c r="B17" s="142" t="s">
        <v>26</v>
      </c>
      <c r="C17" s="142" t="s">
        <v>73</v>
      </c>
      <c r="D17" s="19" t="str">
        <f t="shared" si="1"/>
        <v>21</v>
      </c>
      <c r="E17" s="139">
        <f>IF(Data_Override!D17="",Data!D17,Data_Override!D17)</f>
        <v>0</v>
      </c>
      <c r="F17" s="139">
        <f>IF(Data_Override!E17="",Data!E17,Data_Override!E17)</f>
        <v>12.438452299405682</v>
      </c>
      <c r="G17" s="139">
        <f>IF(Data_Override!F17="",Data!F17,Data_Override!F17)</f>
        <v>0</v>
      </c>
      <c r="H17" s="139">
        <f>IF(Data_Override!G17="",Data!G17,Data_Override!G17)</f>
        <v>34.686573502436978</v>
      </c>
      <c r="I17" s="140">
        <f t="shared" si="2"/>
        <v>12.438452299405682</v>
      </c>
      <c r="J17" s="140">
        <f t="shared" si="3"/>
        <v>34.686573502436978</v>
      </c>
      <c r="L17" s="139">
        <f>IF(Data_Override!I17="",Data!I17,Data_Override!I17)</f>
        <v>0</v>
      </c>
      <c r="M17" s="274">
        <f>IF(Data_Override!J17="",Data!J17,Data_Override!J17)</f>
        <v>1.97234821647926E-2</v>
      </c>
      <c r="N17" s="139">
        <f>IF(Data_Override!K17="",Data!K17,Data_Override!K17)</f>
        <v>0</v>
      </c>
      <c r="O17" s="274">
        <f>IF(Data_Override!L17="",Data!L17,Data_Override!L17)</f>
        <v>21.126960090133601</v>
      </c>
      <c r="P17" s="140">
        <f t="shared" si="8"/>
        <v>1.97234821647926E-2</v>
      </c>
      <c r="Q17" s="140">
        <f t="shared" si="9"/>
        <v>21.126960090133601</v>
      </c>
      <c r="S17" s="139">
        <f>IF(Data_Override!N17="",Data!N17,Data_Override!N17)</f>
        <v>494.85374044481301</v>
      </c>
      <c r="U17" s="139">
        <f>IF(Data_Override!P17="",Data!P17,Data_Override!P17)</f>
        <v>0</v>
      </c>
      <c r="V17" s="139">
        <f>IF(Data_Override!Q17="",Data!Q17,Data_Override!Q17)</f>
        <v>0</v>
      </c>
      <c r="W17" s="139">
        <f>IF(Data_Override!R17="",Data!R17,Data_Override!R17)</f>
        <v>11.62</v>
      </c>
      <c r="X17" s="139">
        <f>IF(Data_Override!S17="",Data!S17,Data_Override!S17)</f>
        <v>11.55</v>
      </c>
      <c r="Y17" s="140">
        <f t="shared" si="6"/>
        <v>0</v>
      </c>
      <c r="Z17" s="140">
        <f t="shared" si="7"/>
        <v>11.62</v>
      </c>
      <c r="AB17" s="139">
        <f>IF(Data_Override!U17="",Data!U17,Data_Override!U17)</f>
        <v>170.11</v>
      </c>
      <c r="AC17" s="139">
        <f>IF(Data_Override!V17="",Data!V17,Data_Override!V17)</f>
        <v>39072</v>
      </c>
      <c r="AD17" s="139">
        <f>IF(Data_Override!W17="",Data!W17,Data_Override!W17)</f>
        <v>2270.2710000000002</v>
      </c>
    </row>
    <row r="18" spans="1:30" x14ac:dyDescent="0.2">
      <c r="A18" s="141" t="s">
        <v>138</v>
      </c>
      <c r="B18" s="142" t="s">
        <v>26</v>
      </c>
      <c r="C18" s="142" t="s">
        <v>74</v>
      </c>
      <c r="D18" s="19" t="str">
        <f t="shared" si="1"/>
        <v>22</v>
      </c>
      <c r="E18" s="139">
        <f>IF(Data_Override!D18="",Data!D18,Data_Override!D18)</f>
        <v>0</v>
      </c>
      <c r="F18" s="139">
        <f>IF(Data_Override!E18="",Data!E18,Data_Override!E18)</f>
        <v>15.774708420703483</v>
      </c>
      <c r="G18" s="139">
        <f>IF(Data_Override!F18="",Data!F18,Data_Override!F18)</f>
        <v>0</v>
      </c>
      <c r="H18" s="139">
        <f>IF(Data_Override!G18="",Data!G18,Data_Override!G18)</f>
        <v>33.892515316799297</v>
      </c>
      <c r="I18" s="140">
        <f t="shared" si="2"/>
        <v>15.774708420703483</v>
      </c>
      <c r="J18" s="140">
        <f t="shared" si="3"/>
        <v>33.892515316799297</v>
      </c>
      <c r="L18" s="139">
        <f>IF(Data_Override!I18="",Data!I18,Data_Override!I18)</f>
        <v>0</v>
      </c>
      <c r="M18" s="274">
        <f>IF(Data_Override!J18="",Data!J18,Data_Override!J18)</f>
        <v>0.15331519304492899</v>
      </c>
      <c r="N18" s="139">
        <f>IF(Data_Override!K18="",Data!K18,Data_Override!K18)</f>
        <v>0</v>
      </c>
      <c r="O18" s="274">
        <f>IF(Data_Override!L18="",Data!L18,Data_Override!L18)</f>
        <v>9.1697011855126096</v>
      </c>
      <c r="P18" s="140">
        <f t="shared" si="8"/>
        <v>0.15331519304492899</v>
      </c>
      <c r="Q18" s="140">
        <f t="shared" si="9"/>
        <v>9.1697011855126096</v>
      </c>
      <c r="S18" s="139">
        <f>IF(Data_Override!N18="",Data!N18,Data_Override!N18)</f>
        <v>569.16259337172301</v>
      </c>
      <c r="U18" s="139">
        <f>IF(Data_Override!P18="",Data!P18,Data_Override!P18)</f>
        <v>0</v>
      </c>
      <c r="V18" s="139">
        <f>IF(Data_Override!Q18="",Data!Q18,Data_Override!Q18)</f>
        <v>0</v>
      </c>
      <c r="W18" s="139">
        <f>IF(Data_Override!R18="",Data!R18,Data_Override!R18)</f>
        <v>10.95</v>
      </c>
      <c r="X18" s="139">
        <f>IF(Data_Override!S18="",Data!S18,Data_Override!S18)</f>
        <v>10.88</v>
      </c>
      <c r="Y18" s="140">
        <f t="shared" si="6"/>
        <v>0</v>
      </c>
      <c r="Z18" s="140">
        <f t="shared" si="7"/>
        <v>10.95</v>
      </c>
      <c r="AB18" s="139">
        <f>IF(Data_Override!U18="",Data!U18,Data_Override!U18)</f>
        <v>163.44</v>
      </c>
      <c r="AC18" s="139">
        <f>IF(Data_Override!V18="",Data!V18,Data_Override!V18)</f>
        <v>39272</v>
      </c>
      <c r="AD18" s="139">
        <f>IF(Data_Override!W18="",Data!W18,Data_Override!W18)</f>
        <v>2306.3470000000002</v>
      </c>
    </row>
    <row r="19" spans="1:30" x14ac:dyDescent="0.2">
      <c r="A19" s="141" t="s">
        <v>139</v>
      </c>
      <c r="B19" s="142" t="s">
        <v>26</v>
      </c>
      <c r="C19" s="142" t="s">
        <v>75</v>
      </c>
      <c r="D19" s="19" t="str">
        <f t="shared" si="1"/>
        <v>23</v>
      </c>
      <c r="E19" s="139">
        <f>IF(Data_Override!D19="",Data!D19,Data_Override!D19)</f>
        <v>0</v>
      </c>
      <c r="F19" s="139">
        <f>IF(Data_Override!E19="",Data!E19,Data_Override!E19)</f>
        <v>12.965033726755527</v>
      </c>
      <c r="G19" s="139">
        <f>IF(Data_Override!F19="",Data!F19,Data_Override!F19)</f>
        <v>0</v>
      </c>
      <c r="H19" s="139">
        <f>IF(Data_Override!G19="",Data!G19,Data_Override!G19)</f>
        <v>34.909085327522035</v>
      </c>
      <c r="I19" s="140">
        <f t="shared" si="2"/>
        <v>12.965033726755527</v>
      </c>
      <c r="J19" s="140">
        <f t="shared" si="3"/>
        <v>34.909085327522035</v>
      </c>
      <c r="L19" s="139">
        <f>IF(Data_Override!I19="",Data!I19,Data_Override!I19)</f>
        <v>0</v>
      </c>
      <c r="M19" s="274">
        <f>IF(Data_Override!J19="",Data!J19,Data_Override!J19)</f>
        <v>0.26482995826276401</v>
      </c>
      <c r="N19" s="139">
        <f>IF(Data_Override!K19="",Data!K19,Data_Override!K19)</f>
        <v>0</v>
      </c>
      <c r="O19" s="274">
        <f>IF(Data_Override!L19="",Data!L19,Data_Override!L19)</f>
        <v>11.3713438938855</v>
      </c>
      <c r="P19" s="140">
        <f t="shared" si="8"/>
        <v>0.26482995826276401</v>
      </c>
      <c r="Q19" s="140">
        <f t="shared" si="9"/>
        <v>11.3713438938855</v>
      </c>
      <c r="S19" s="139">
        <f>IF(Data_Override!N19="",Data!N19,Data_Override!N19)</f>
        <v>614.48320862741195</v>
      </c>
      <c r="U19" s="139">
        <f>IF(Data_Override!P19="",Data!P19,Data_Override!P19)</f>
        <v>0</v>
      </c>
      <c r="V19" s="139">
        <f>IF(Data_Override!Q19="",Data!Q19,Data_Override!Q19)</f>
        <v>0</v>
      </c>
      <c r="W19" s="139">
        <f>IF(Data_Override!R19="",Data!R19,Data_Override!R19)</f>
        <v>11.64</v>
      </c>
      <c r="X19" s="139">
        <f>IF(Data_Override!S19="",Data!S19,Data_Override!S19)</f>
        <v>11.56</v>
      </c>
      <c r="Y19" s="140">
        <f t="shared" si="6"/>
        <v>0</v>
      </c>
      <c r="Z19" s="140">
        <f t="shared" si="7"/>
        <v>11.64</v>
      </c>
      <c r="AB19" s="139">
        <f>IF(Data_Override!U19="",Data!U19,Data_Override!U19)</f>
        <v>156.29</v>
      </c>
      <c r="AC19" s="139">
        <f>IF(Data_Override!V19="",Data!V19,Data_Override!V19)</f>
        <v>39449</v>
      </c>
      <c r="AD19" s="139">
        <f>IF(Data_Override!W19="",Data!W19,Data_Override!W19)</f>
        <v>2344.165</v>
      </c>
    </row>
    <row r="20" spans="1:30" x14ac:dyDescent="0.2">
      <c r="A20" s="141" t="s">
        <v>140</v>
      </c>
      <c r="B20" s="142" t="s">
        <v>26</v>
      </c>
      <c r="C20" s="142" t="s">
        <v>76</v>
      </c>
      <c r="D20" s="19" t="str">
        <f t="shared" si="1"/>
        <v>24</v>
      </c>
      <c r="E20" s="139">
        <f>IF(Data_Override!D20="",Data!D20,Data_Override!D20)</f>
        <v>0</v>
      </c>
      <c r="F20" s="139">
        <f>IF(Data_Override!E20="",Data!E20,Data_Override!E20)</f>
        <v>12.328055343472556</v>
      </c>
      <c r="G20" s="139">
        <f>IF(Data_Override!F20="",Data!F20,Data_Override!F20)</f>
        <v>0</v>
      </c>
      <c r="H20" s="139">
        <f>IF(Data_Override!G20="",Data!G20,Data_Override!G20)</f>
        <v>34.011746273884526</v>
      </c>
      <c r="I20" s="140">
        <f t="shared" si="2"/>
        <v>12.328055343472556</v>
      </c>
      <c r="J20" s="140">
        <f t="shared" si="3"/>
        <v>34.011746273884526</v>
      </c>
      <c r="L20" s="139">
        <f>IF(Data_Override!I20="",Data!I20,Data_Override!I20)</f>
        <v>0</v>
      </c>
      <c r="M20" s="274">
        <f>IF(Data_Override!J20="",Data!J20,Data_Override!J20)</f>
        <v>0.30753104823482202</v>
      </c>
      <c r="N20" s="139">
        <f>IF(Data_Override!K20="",Data!K20,Data_Override!K20)</f>
        <v>0</v>
      </c>
      <c r="O20" s="274">
        <f>IF(Data_Override!L20="",Data!L20,Data_Override!L20)</f>
        <v>13.619360354646</v>
      </c>
      <c r="P20" s="140">
        <f t="shared" si="8"/>
        <v>0.30753104823482202</v>
      </c>
      <c r="Q20" s="140">
        <f t="shared" si="9"/>
        <v>13.619360354646</v>
      </c>
      <c r="S20" s="139">
        <f>IF(Data_Override!N20="",Data!N20,Data_Override!N20)</f>
        <v>601.17395098778002</v>
      </c>
      <c r="U20" s="139">
        <f>IF(Data_Override!P20="",Data!P20,Data_Override!P20)</f>
        <v>0</v>
      </c>
      <c r="V20" s="139">
        <f>IF(Data_Override!Q20="",Data!Q20,Data_Override!Q20)</f>
        <v>0</v>
      </c>
      <c r="W20" s="139">
        <f>IF(Data_Override!R20="",Data!R20,Data_Override!R20)</f>
        <v>11.67</v>
      </c>
      <c r="X20" s="139">
        <f>IF(Data_Override!S20="",Data!S20,Data_Override!S20)</f>
        <v>11.46</v>
      </c>
      <c r="Y20" s="140">
        <f t="shared" si="6"/>
        <v>0</v>
      </c>
      <c r="Z20" s="140">
        <f t="shared" si="7"/>
        <v>11.67</v>
      </c>
      <c r="AB20" s="139">
        <f>IF(Data_Override!U20="",Data!U20,Data_Override!U20)</f>
        <v>149.15</v>
      </c>
      <c r="AC20" s="139">
        <f>IF(Data_Override!V20="",Data!V20,Data_Override!V20)</f>
        <v>39619</v>
      </c>
      <c r="AD20" s="139">
        <f>IF(Data_Override!W20="",Data!W20,Data_Override!W20)</f>
        <v>2381.817</v>
      </c>
    </row>
    <row r="21" spans="1:30" x14ac:dyDescent="0.2">
      <c r="A21" s="141" t="s">
        <v>141</v>
      </c>
      <c r="B21" s="142" t="s">
        <v>26</v>
      </c>
      <c r="C21" s="142" t="s">
        <v>24</v>
      </c>
      <c r="D21" s="19" t="str">
        <f t="shared" si="1"/>
        <v>25</v>
      </c>
      <c r="E21" s="139">
        <f>IF(Data_Override!D21="",Data!D21,Data_Override!D21)</f>
        <v>0</v>
      </c>
      <c r="F21" s="139">
        <f>IF(Data_Override!E21="",Data!E21,Data_Override!E21)</f>
        <v>11.345413637733987</v>
      </c>
      <c r="G21" s="139">
        <f>IF(Data_Override!F21="",Data!F21,Data_Override!F21)</f>
        <v>0</v>
      </c>
      <c r="H21" s="139">
        <f>IF(Data_Override!G21="",Data!G21,Data_Override!G21)</f>
        <v>31.494375880399012</v>
      </c>
      <c r="I21" s="140">
        <f t="shared" si="2"/>
        <v>11.345413637733987</v>
      </c>
      <c r="J21" s="140">
        <f t="shared" si="3"/>
        <v>31.494375880399012</v>
      </c>
      <c r="L21" s="139">
        <f>IF(Data_Override!I21="",Data!I21,Data_Override!I21)</f>
        <v>0</v>
      </c>
      <c r="M21" s="274">
        <f>IF(Data_Override!J21="",Data!J21,Data_Override!J21)</f>
        <v>0.347805521051682</v>
      </c>
      <c r="N21" s="139">
        <f>IF(Data_Override!K21="",Data!K21,Data_Override!K21)</f>
        <v>0</v>
      </c>
      <c r="O21" s="274">
        <f>IF(Data_Override!L21="",Data!L21,Data_Override!L21)</f>
        <v>14.325490464258801</v>
      </c>
      <c r="P21" s="140">
        <f t="shared" si="8"/>
        <v>0.347805521051682</v>
      </c>
      <c r="Q21" s="140">
        <f t="shared" si="9"/>
        <v>14.325490464258801</v>
      </c>
      <c r="S21" s="139">
        <f>IF(Data_Override!N21="",Data!N21,Data_Override!N21)</f>
        <v>466.57209895656399</v>
      </c>
      <c r="U21" s="139">
        <f>IF(Data_Override!P21="",Data!P21,Data_Override!P21)</f>
        <v>6</v>
      </c>
      <c r="V21" s="139">
        <f>IF(Data_Override!Q21="",Data!Q21,Data_Override!Q21)</f>
        <v>6</v>
      </c>
      <c r="W21" s="139">
        <f>IF(Data_Override!R21="",Data!R21,Data_Override!R21)</f>
        <v>10.37</v>
      </c>
      <c r="X21" s="139">
        <f>IF(Data_Override!S21="",Data!S21,Data_Override!S21)</f>
        <v>10.3</v>
      </c>
      <c r="Y21" s="140">
        <f t="shared" si="6"/>
        <v>6</v>
      </c>
      <c r="Z21" s="140">
        <f t="shared" si="7"/>
        <v>10.37</v>
      </c>
      <c r="AB21" s="139">
        <f>IF(Data_Override!U21="",Data!U21,Data_Override!U21)</f>
        <v>142.24</v>
      </c>
      <c r="AC21" s="139">
        <f>IF(Data_Override!V21="",Data!V21,Data_Override!V21)</f>
        <v>40161</v>
      </c>
      <c r="AD21" s="139">
        <f>IF(Data_Override!W21="",Data!W21,Data_Override!W21)</f>
        <v>2416.46</v>
      </c>
    </row>
    <row r="22" spans="1:30" hidden="1" x14ac:dyDescent="0.2">
      <c r="A22" s="138" t="str">
        <f t="shared" ref="A22" si="10">B22&amp;RIGHT(C22,2)</f>
        <v>NES12</v>
      </c>
      <c r="B22" s="19" t="s">
        <v>28</v>
      </c>
      <c r="C22" s="143" t="s">
        <v>64</v>
      </c>
      <c r="D22" s="19" t="str">
        <f t="shared" si="1"/>
        <v>12</v>
      </c>
      <c r="E22" s="139">
        <f>IF(Data_Override!D22="",Data!D22,Data_Override!D22)</f>
        <v>0</v>
      </c>
      <c r="F22" s="139">
        <f>IF(Data_Override!E22="",Data!E22,Data_Override!E22)</f>
        <v>54.646479278960797</v>
      </c>
      <c r="G22" s="139">
        <f>IF(Data_Override!F22="",Data!F22,Data_Override!F22)</f>
        <v>0</v>
      </c>
      <c r="H22" s="139">
        <f>IF(Data_Override!G22="",Data!G22,Data_Override!G22)</f>
        <v>0.66745816028982896</v>
      </c>
      <c r="I22" s="140">
        <f t="shared" si="2"/>
        <v>54.646479278960797</v>
      </c>
      <c r="J22" s="140">
        <f t="shared" si="3"/>
        <v>0.66745816028982896</v>
      </c>
      <c r="L22" s="139">
        <f>IF(Data_Override!I22="",Data!I22,Data_Override!I22)</f>
        <v>0</v>
      </c>
      <c r="M22" s="139">
        <f>IF(Data_Override!J22="",Data!J22,Data_Override!J22)</f>
        <v>0</v>
      </c>
      <c r="N22" s="139">
        <f>IF(Data_Override!K22="",Data!K22,Data_Override!K22)</f>
        <v>0</v>
      </c>
      <c r="O22" s="139">
        <f>IF(Data_Override!L22="",Data!L22,Data_Override!L22)</f>
        <v>0</v>
      </c>
      <c r="P22" s="140">
        <f t="shared" si="8"/>
        <v>0</v>
      </c>
      <c r="Q22" s="140">
        <f t="shared" si="9"/>
        <v>0</v>
      </c>
      <c r="S22" s="139">
        <f>IF(Data_Override!N22="",Data!N22,Data_Override!N22)</f>
        <v>334.73689776442501</v>
      </c>
      <c r="U22" s="139">
        <f>IF(Data_Override!P22="",Data!P22,Data_Override!P22)</f>
        <v>0</v>
      </c>
      <c r="V22" s="139">
        <f>IF(Data_Override!Q22="",Data!Q22,Data_Override!Q22)</f>
        <v>0</v>
      </c>
      <c r="W22" s="139">
        <f>IF(Data_Override!R22="",Data!R22,Data_Override!R22)</f>
        <v>0</v>
      </c>
      <c r="X22" s="139">
        <f>IF(Data_Override!S22="",Data!S22,Data_Override!S22)</f>
        <v>0</v>
      </c>
      <c r="Y22" s="140">
        <f t="shared" si="6"/>
        <v>0</v>
      </c>
      <c r="Z22" s="140">
        <f t="shared" si="7"/>
        <v>0</v>
      </c>
      <c r="AB22" s="139">
        <f>IF(Data_Override!U22="",Data!U22,Data_Override!U22)</f>
        <v>0</v>
      </c>
      <c r="AC22" s="139">
        <f>IF(Data_Override!V22="",Data!V22,Data_Override!V22)</f>
        <v>0</v>
      </c>
      <c r="AD22" s="139">
        <f>IF(Data_Override!W22="",Data!W22,Data_Override!W22)</f>
        <v>0</v>
      </c>
    </row>
    <row r="23" spans="1:30" hidden="1" x14ac:dyDescent="0.2">
      <c r="A23" s="138" t="str">
        <f>B23&amp;RIGHT(C23,2)</f>
        <v>NES13</v>
      </c>
      <c r="B23" s="19" t="s">
        <v>28</v>
      </c>
      <c r="C23" s="143" t="s">
        <v>65</v>
      </c>
      <c r="D23" s="19" t="str">
        <f t="shared" si="1"/>
        <v>13</v>
      </c>
      <c r="E23" s="139">
        <f>IF(Data_Override!D23="",Data!D23,Data_Override!D23)</f>
        <v>0</v>
      </c>
      <c r="F23" s="139">
        <f>IF(Data_Override!E23="",Data!E23,Data_Override!E23)</f>
        <v>18.428815703192399</v>
      </c>
      <c r="G23" s="139">
        <f>IF(Data_Override!F23="",Data!F23,Data_Override!F23)</f>
        <v>0</v>
      </c>
      <c r="H23" s="139">
        <f>IF(Data_Override!G23="",Data!G23,Data_Override!G23)</f>
        <v>1.01644969801553</v>
      </c>
      <c r="I23" s="140">
        <f t="shared" si="2"/>
        <v>18.428815703192399</v>
      </c>
      <c r="J23" s="140">
        <f t="shared" si="3"/>
        <v>1.01644969801553</v>
      </c>
      <c r="L23" s="139">
        <f>IF(Data_Override!I23="",Data!I23,Data_Override!I23)</f>
        <v>0</v>
      </c>
      <c r="M23" s="139">
        <f>IF(Data_Override!J23="",Data!J23,Data_Override!J23)</f>
        <v>0</v>
      </c>
      <c r="N23" s="139">
        <f>IF(Data_Override!K23="",Data!K23,Data_Override!K23)</f>
        <v>0</v>
      </c>
      <c r="O23" s="139">
        <f>IF(Data_Override!L23="",Data!L23,Data_Override!L23)</f>
        <v>0</v>
      </c>
      <c r="P23" s="140">
        <f t="shared" si="8"/>
        <v>0</v>
      </c>
      <c r="Q23" s="140">
        <f t="shared" si="9"/>
        <v>0</v>
      </c>
      <c r="S23" s="139">
        <f>IF(Data_Override!N23="",Data!N23,Data_Override!N23)</f>
        <v>301.21224331320099</v>
      </c>
      <c r="U23" s="139">
        <f>IF(Data_Override!P23="",Data!P23,Data_Override!P23)</f>
        <v>0</v>
      </c>
      <c r="V23" s="139">
        <f>IF(Data_Override!Q23="",Data!Q23,Data_Override!Q23)</f>
        <v>0</v>
      </c>
      <c r="W23" s="139">
        <f>IF(Data_Override!R23="",Data!R23,Data_Override!R23)</f>
        <v>0</v>
      </c>
      <c r="X23" s="139">
        <f>IF(Data_Override!S23="",Data!S23,Data_Override!S23)</f>
        <v>0</v>
      </c>
      <c r="Y23" s="140">
        <f t="shared" si="6"/>
        <v>0</v>
      </c>
      <c r="Z23" s="140">
        <f t="shared" si="7"/>
        <v>0</v>
      </c>
      <c r="AB23" s="139">
        <f>IF(Data_Override!U23="",Data!U23,Data_Override!U23)</f>
        <v>0</v>
      </c>
      <c r="AC23" s="139">
        <f>IF(Data_Override!V23="",Data!V23,Data_Override!V23)</f>
        <v>0</v>
      </c>
      <c r="AD23" s="139">
        <f>IF(Data_Override!W23="",Data!W23,Data_Override!W23)</f>
        <v>0</v>
      </c>
    </row>
    <row r="24" spans="1:30" hidden="1" x14ac:dyDescent="0.2">
      <c r="A24" s="138" t="str">
        <f>B24&amp;RIGHT(C24,2)</f>
        <v>NES14</v>
      </c>
      <c r="B24" s="19" t="s">
        <v>28</v>
      </c>
      <c r="C24" s="143" t="s">
        <v>66</v>
      </c>
      <c r="D24" s="19" t="str">
        <f t="shared" si="1"/>
        <v>14</v>
      </c>
      <c r="E24" s="139">
        <f>IF(Data_Override!D24="",Data!D24,Data_Override!D24)</f>
        <v>0</v>
      </c>
      <c r="F24" s="139">
        <f>IF(Data_Override!E24="",Data!E24,Data_Override!E24)</f>
        <v>5.9168853955375198</v>
      </c>
      <c r="G24" s="139">
        <f>IF(Data_Override!F24="",Data!F24,Data_Override!F24)</f>
        <v>0</v>
      </c>
      <c r="H24" s="139">
        <f>IF(Data_Override!G24="",Data!G24,Data_Override!G24)</f>
        <v>1.2683569979716E-2</v>
      </c>
      <c r="I24" s="140">
        <f t="shared" si="2"/>
        <v>5.9168853955375198</v>
      </c>
      <c r="J24" s="140">
        <f t="shared" si="3"/>
        <v>1.2683569979716E-2</v>
      </c>
      <c r="L24" s="139">
        <f>IF(Data_Override!I24="",Data!I24,Data_Override!I24)</f>
        <v>0</v>
      </c>
      <c r="M24" s="139">
        <f>IF(Data_Override!J24="",Data!J24,Data_Override!J24)</f>
        <v>0</v>
      </c>
      <c r="N24" s="139">
        <f>IF(Data_Override!K24="",Data!K24,Data_Override!K24)</f>
        <v>0</v>
      </c>
      <c r="O24" s="139">
        <f>IF(Data_Override!L24="",Data!L24,Data_Override!L24)</f>
        <v>0</v>
      </c>
      <c r="P24" s="140">
        <f t="shared" si="8"/>
        <v>0</v>
      </c>
      <c r="Q24" s="140">
        <f t="shared" si="9"/>
        <v>0</v>
      </c>
      <c r="S24" s="139">
        <f>IF(Data_Override!N24="",Data!N24,Data_Override!N24)</f>
        <v>287.30822718052701</v>
      </c>
      <c r="U24" s="139">
        <f>IF(Data_Override!P24="",Data!P24,Data_Override!P24)</f>
        <v>0</v>
      </c>
      <c r="V24" s="139">
        <f>IF(Data_Override!Q24="",Data!Q24,Data_Override!Q24)</f>
        <v>0</v>
      </c>
      <c r="W24" s="139">
        <f>IF(Data_Override!R24="",Data!R24,Data_Override!R24)</f>
        <v>0</v>
      </c>
      <c r="X24" s="139">
        <f>IF(Data_Override!S24="",Data!S24,Data_Override!S24)</f>
        <v>0</v>
      </c>
      <c r="Y24" s="140">
        <f t="shared" si="6"/>
        <v>0</v>
      </c>
      <c r="Z24" s="140">
        <f t="shared" si="7"/>
        <v>0</v>
      </c>
      <c r="AB24" s="139">
        <f>IF(Data_Override!U24="",Data!U24,Data_Override!U24)</f>
        <v>0</v>
      </c>
      <c r="AC24" s="139">
        <f>IF(Data_Override!V24="",Data!V24,Data_Override!V24)</f>
        <v>0</v>
      </c>
      <c r="AD24" s="139">
        <f>IF(Data_Override!W24="",Data!W24,Data_Override!W24)</f>
        <v>0</v>
      </c>
    </row>
    <row r="25" spans="1:30" hidden="1" x14ac:dyDescent="0.2">
      <c r="A25" s="138" t="str">
        <f>B25&amp;RIGHT(C25,2)</f>
        <v>NES15</v>
      </c>
      <c r="B25" s="19" t="s">
        <v>28</v>
      </c>
      <c r="C25" s="143" t="s">
        <v>67</v>
      </c>
      <c r="D25" s="19" t="str">
        <f t="shared" si="1"/>
        <v>15</v>
      </c>
      <c r="E25" s="139">
        <f>IF(Data_Override!D25="",Data!D25,Data_Override!D25)</f>
        <v>0</v>
      </c>
      <c r="F25" s="139">
        <f>IF(Data_Override!E25="",Data!E25,Data_Override!E25)</f>
        <v>7.2996080889111701</v>
      </c>
      <c r="G25" s="139">
        <f>IF(Data_Override!F25="",Data!F25,Data_Override!F25)</f>
        <v>0</v>
      </c>
      <c r="H25" s="139">
        <f>IF(Data_Override!G25="",Data!G25,Data_Override!G25)</f>
        <v>0</v>
      </c>
      <c r="I25" s="140">
        <f t="shared" si="2"/>
        <v>7.2996080889111701</v>
      </c>
      <c r="J25" s="140">
        <f t="shared" si="3"/>
        <v>0</v>
      </c>
      <c r="L25" s="139">
        <f>IF(Data_Override!I25="",Data!I25,Data_Override!I25)</f>
        <v>0</v>
      </c>
      <c r="M25" s="139">
        <f>IF(Data_Override!J25="",Data!J25,Data_Override!J25)</f>
        <v>0</v>
      </c>
      <c r="N25" s="139">
        <f>IF(Data_Override!K25="",Data!K25,Data_Override!K25)</f>
        <v>0</v>
      </c>
      <c r="O25" s="139">
        <f>IF(Data_Override!L25="",Data!L25,Data_Override!L25)</f>
        <v>0</v>
      </c>
      <c r="P25" s="140">
        <f t="shared" si="8"/>
        <v>0</v>
      </c>
      <c r="Q25" s="140">
        <f t="shared" si="9"/>
        <v>0</v>
      </c>
      <c r="S25" s="139">
        <f>IF(Data_Override!N25="",Data!N25,Data_Override!N25)</f>
        <v>277.251347459199</v>
      </c>
      <c r="U25" s="139">
        <f>IF(Data_Override!P25="",Data!P25,Data_Override!P25)</f>
        <v>0</v>
      </c>
      <c r="V25" s="139">
        <f>IF(Data_Override!Q25="",Data!Q25,Data_Override!Q25)</f>
        <v>0</v>
      </c>
      <c r="W25" s="139">
        <f>IF(Data_Override!R25="",Data!R25,Data_Override!R25)</f>
        <v>0</v>
      </c>
      <c r="X25" s="139">
        <f>IF(Data_Override!S25="",Data!S25,Data_Override!S25)</f>
        <v>0</v>
      </c>
      <c r="Y25" s="140">
        <f t="shared" si="6"/>
        <v>0</v>
      </c>
      <c r="Z25" s="140">
        <f t="shared" si="7"/>
        <v>0</v>
      </c>
      <c r="AB25" s="139">
        <f>IF(Data_Override!U25="",Data!U25,Data_Override!U25)</f>
        <v>0</v>
      </c>
      <c r="AC25" s="139">
        <f>IF(Data_Override!V25="",Data!V25,Data_Override!V25)</f>
        <v>0</v>
      </c>
      <c r="AD25" s="139">
        <f>IF(Data_Override!W25="",Data!W25,Data_Override!W25)</f>
        <v>0</v>
      </c>
    </row>
    <row r="26" spans="1:30" hidden="1" x14ac:dyDescent="0.2">
      <c r="A26" s="138" t="str">
        <f>B26&amp;RIGHT(C26,2)</f>
        <v>NES16</v>
      </c>
      <c r="B26" s="19" t="s">
        <v>28</v>
      </c>
      <c r="C26" s="143" t="s">
        <v>68</v>
      </c>
      <c r="D26" s="19" t="str">
        <f t="shared" si="1"/>
        <v>16</v>
      </c>
      <c r="E26" s="139">
        <f>IF(Data_Override!D26="",Data!D26,Data_Override!D26)</f>
        <v>0</v>
      </c>
      <c r="F26" s="139">
        <f>IF(Data_Override!E26="",Data!E26,Data_Override!E26)</f>
        <v>1.1694462562396</v>
      </c>
      <c r="G26" s="139">
        <f>IF(Data_Override!F26="",Data!F26,Data_Override!F26)</f>
        <v>0</v>
      </c>
      <c r="H26" s="139">
        <f>IF(Data_Override!G26="",Data!G26,Data_Override!G26)</f>
        <v>0</v>
      </c>
      <c r="I26" s="140">
        <f t="shared" si="2"/>
        <v>1.1694462562396</v>
      </c>
      <c r="J26" s="140">
        <f t="shared" si="3"/>
        <v>0</v>
      </c>
      <c r="L26" s="139">
        <f>IF(Data_Override!I26="",Data!I26,Data_Override!I26)</f>
        <v>0</v>
      </c>
      <c r="M26" s="139">
        <f>IF(Data_Override!J26="",Data!J26,Data_Override!J26)</f>
        <v>0</v>
      </c>
      <c r="N26" s="139">
        <f>IF(Data_Override!K26="",Data!K26,Data_Override!K26)</f>
        <v>0</v>
      </c>
      <c r="O26" s="139">
        <f>IF(Data_Override!L26="",Data!L26,Data_Override!L26)</f>
        <v>0</v>
      </c>
      <c r="P26" s="140">
        <f t="shared" si="8"/>
        <v>0</v>
      </c>
      <c r="Q26" s="140">
        <f t="shared" si="9"/>
        <v>0</v>
      </c>
      <c r="S26" s="139">
        <f>IF(Data_Override!N26="",Data!N26,Data_Override!N26)</f>
        <v>291.508409317803</v>
      </c>
      <c r="U26" s="139">
        <f>IF(Data_Override!P26="",Data!P26,Data_Override!P26)</f>
        <v>0</v>
      </c>
      <c r="V26" s="139">
        <f>IF(Data_Override!Q26="",Data!Q26,Data_Override!Q26)</f>
        <v>0</v>
      </c>
      <c r="W26" s="139">
        <f>IF(Data_Override!R26="",Data!R26,Data_Override!R26)</f>
        <v>0</v>
      </c>
      <c r="X26" s="139">
        <f>IF(Data_Override!S26="",Data!S26,Data_Override!S26)</f>
        <v>0</v>
      </c>
      <c r="Y26" s="140">
        <f t="shared" si="6"/>
        <v>0</v>
      </c>
      <c r="Z26" s="140">
        <f t="shared" si="7"/>
        <v>0</v>
      </c>
      <c r="AB26" s="139">
        <f>IF(Data_Override!U26="",Data!U26,Data_Override!U26)</f>
        <v>0</v>
      </c>
      <c r="AC26" s="139">
        <f>IF(Data_Override!V26="",Data!V26,Data_Override!V26)</f>
        <v>0</v>
      </c>
      <c r="AD26" s="139">
        <f>IF(Data_Override!W26="",Data!W26,Data_Override!W26)</f>
        <v>0</v>
      </c>
    </row>
    <row r="27" spans="1:30" hidden="1" x14ac:dyDescent="0.2">
      <c r="A27" s="138" t="str">
        <f>B27&amp;RIGHT(C27,2)</f>
        <v>NES17</v>
      </c>
      <c r="B27" s="19" t="s">
        <v>28</v>
      </c>
      <c r="C27" s="143" t="s">
        <v>69</v>
      </c>
      <c r="D27" s="19" t="str">
        <f t="shared" si="1"/>
        <v>17</v>
      </c>
      <c r="E27" s="139">
        <f>IF(Data_Override!D27="",Data!D27,Data_Override!D27)</f>
        <v>0</v>
      </c>
      <c r="F27" s="139">
        <f>IF(Data_Override!E27="",Data!E27,Data_Override!E27)</f>
        <v>0.32843003693065198</v>
      </c>
      <c r="G27" s="139">
        <f>IF(Data_Override!F27="",Data!F27,Data_Override!F27)</f>
        <v>0</v>
      </c>
      <c r="H27" s="139">
        <f>IF(Data_Override!G27="",Data!G27,Data_Override!G27)</f>
        <v>0</v>
      </c>
      <c r="I27" s="140">
        <f t="shared" si="2"/>
        <v>0.32843003693065198</v>
      </c>
      <c r="J27" s="140">
        <f t="shared" si="3"/>
        <v>0</v>
      </c>
      <c r="L27" s="139">
        <f>IF(Data_Override!I27="",Data!I27,Data_Override!I27)</f>
        <v>0</v>
      </c>
      <c r="M27" s="139">
        <f>IF(Data_Override!J27="",Data!J27,Data_Override!J27)</f>
        <v>0</v>
      </c>
      <c r="N27" s="139">
        <f>IF(Data_Override!K27="",Data!K27,Data_Override!K27)</f>
        <v>0</v>
      </c>
      <c r="O27" s="139">
        <f>IF(Data_Override!L27="",Data!L27,Data_Override!L27)</f>
        <v>0</v>
      </c>
      <c r="P27" s="140">
        <f t="shared" si="8"/>
        <v>0</v>
      </c>
      <c r="Q27" s="140">
        <f t="shared" si="9"/>
        <v>0</v>
      </c>
      <c r="S27" s="139">
        <f>IF(Data_Override!N27="",Data!N27,Data_Override!N27)</f>
        <v>284.62568075502702</v>
      </c>
      <c r="U27" s="139">
        <f>IF(Data_Override!P27="",Data!P27,Data_Override!P27)</f>
        <v>0</v>
      </c>
      <c r="V27" s="139">
        <f>IF(Data_Override!Q27="",Data!Q27,Data_Override!Q27)</f>
        <v>0</v>
      </c>
      <c r="W27" s="139">
        <f>IF(Data_Override!R27="",Data!R27,Data_Override!R27)</f>
        <v>0</v>
      </c>
      <c r="X27" s="139">
        <f>IF(Data_Override!S27="",Data!S27,Data_Override!S27)</f>
        <v>0</v>
      </c>
      <c r="Y27" s="140">
        <f t="shared" si="6"/>
        <v>0</v>
      </c>
      <c r="Z27" s="140">
        <f t="shared" si="7"/>
        <v>0</v>
      </c>
      <c r="AB27" s="139">
        <f>IF(Data_Override!U27="",Data!U27,Data_Override!U27)</f>
        <v>0</v>
      </c>
      <c r="AC27" s="139">
        <f>IF(Data_Override!V27="",Data!V27,Data_Override!V27)</f>
        <v>0</v>
      </c>
      <c r="AD27" s="139">
        <f>IF(Data_Override!W27="",Data!W27,Data_Override!W27)</f>
        <v>0</v>
      </c>
    </row>
    <row r="28" spans="1:30" hidden="1" x14ac:dyDescent="0.2">
      <c r="A28" s="141" t="s">
        <v>142</v>
      </c>
      <c r="B28" s="142" t="s">
        <v>28</v>
      </c>
      <c r="C28" s="142" t="s">
        <v>70</v>
      </c>
      <c r="D28" s="19" t="str">
        <f t="shared" si="1"/>
        <v>18</v>
      </c>
      <c r="E28" s="139">
        <f>IF(Data_Override!D28="",Data!D28,Data_Override!D28)</f>
        <v>0</v>
      </c>
      <c r="F28" s="139">
        <f>IF(Data_Override!E28="",Data!E28,Data_Override!E28)</f>
        <v>0.28899999999999998</v>
      </c>
      <c r="G28" s="139">
        <f>IF(Data_Override!F28="",Data!F28,Data_Override!F28)</f>
        <v>0</v>
      </c>
      <c r="H28" s="139">
        <f>IF(Data_Override!G28="",Data!G28,Data_Override!G28)</f>
        <v>0</v>
      </c>
      <c r="I28" s="140">
        <f t="shared" si="2"/>
        <v>0.28899999999999998</v>
      </c>
      <c r="J28" s="140">
        <f t="shared" si="3"/>
        <v>0</v>
      </c>
      <c r="L28" s="139">
        <f>IF(Data_Override!I28="",Data!I28,Data_Override!I28)</f>
        <v>0</v>
      </c>
      <c r="M28" s="139">
        <f>IF(Data_Override!J28="",Data!J28,Data_Override!J28)</f>
        <v>0</v>
      </c>
      <c r="N28" s="139">
        <f>IF(Data_Override!K28="",Data!K28,Data_Override!K28)</f>
        <v>0</v>
      </c>
      <c r="O28" s="139">
        <f>IF(Data_Override!L28="",Data!L28,Data_Override!L28)</f>
        <v>0</v>
      </c>
      <c r="P28" s="140">
        <f t="shared" si="8"/>
        <v>0</v>
      </c>
      <c r="Q28" s="140">
        <f t="shared" si="9"/>
        <v>0</v>
      </c>
      <c r="S28" s="139">
        <f>IF(Data_Override!N28="",Data!N28,Data_Override!N28)</f>
        <v>344.34100000000001</v>
      </c>
      <c r="U28" s="139">
        <f>IF(Data_Override!P28="",Data!P28,Data_Override!P28)</f>
        <v>0</v>
      </c>
      <c r="V28" s="139">
        <f>IF(Data_Override!Q28="",Data!Q28,Data_Override!Q28)</f>
        <v>0</v>
      </c>
      <c r="W28" s="139">
        <f>IF(Data_Override!R28="",Data!R28,Data_Override!R28)</f>
        <v>7.77</v>
      </c>
      <c r="X28" s="139">
        <f>IF(Data_Override!S28="",Data!S28,Data_Override!S28)</f>
        <v>7.77</v>
      </c>
      <c r="Y28" s="140">
        <f t="shared" si="6"/>
        <v>0</v>
      </c>
      <c r="Z28" s="140">
        <f t="shared" si="7"/>
        <v>7.77</v>
      </c>
      <c r="AB28" s="139">
        <f>IF(Data_Override!U28="",Data!U28,Data_Override!U28)</f>
        <v>203.21</v>
      </c>
      <c r="AC28" s="139">
        <f>IF(Data_Override!V28="",Data!V28,Data_Override!V28)</f>
        <v>25912</v>
      </c>
      <c r="AD28" s="139">
        <f>IF(Data_Override!W28="",Data!W28,Data_Override!W28)</f>
        <v>2018.673</v>
      </c>
    </row>
    <row r="29" spans="1:30" hidden="1" x14ac:dyDescent="0.2">
      <c r="A29" s="141" t="s">
        <v>143</v>
      </c>
      <c r="B29" s="142" t="s">
        <v>28</v>
      </c>
      <c r="C29" s="142" t="s">
        <v>71</v>
      </c>
      <c r="D29" s="19" t="str">
        <f t="shared" si="1"/>
        <v>19</v>
      </c>
      <c r="E29" s="139">
        <f>IF(Data_Override!D29="",Data!D29,Data_Override!D29)</f>
        <v>0</v>
      </c>
      <c r="F29" s="139">
        <f>IF(Data_Override!E29="",Data!E29,Data_Override!E29)</f>
        <v>0.15282281059063199</v>
      </c>
      <c r="G29" s="139">
        <f>IF(Data_Override!F29="",Data!F29,Data_Override!F29)</f>
        <v>0</v>
      </c>
      <c r="H29" s="139">
        <f>IF(Data_Override!G29="",Data!G29,Data_Override!G29)</f>
        <v>0</v>
      </c>
      <c r="I29" s="140">
        <f t="shared" si="2"/>
        <v>0.15282281059063199</v>
      </c>
      <c r="J29" s="140">
        <f t="shared" si="3"/>
        <v>0</v>
      </c>
      <c r="L29" s="139">
        <f>IF(Data_Override!I29="",Data!I29,Data_Override!I29)</f>
        <v>0</v>
      </c>
      <c r="M29" s="139">
        <f>IF(Data_Override!J29="",Data!J29,Data_Override!J29)</f>
        <v>0</v>
      </c>
      <c r="N29" s="139">
        <f>IF(Data_Override!K29="",Data!K29,Data_Override!K29)</f>
        <v>0</v>
      </c>
      <c r="O29" s="139">
        <f>IF(Data_Override!L29="",Data!L29,Data_Override!L29)</f>
        <v>0</v>
      </c>
      <c r="P29" s="140">
        <f t="shared" si="8"/>
        <v>0</v>
      </c>
      <c r="Q29" s="140">
        <f t="shared" si="9"/>
        <v>0</v>
      </c>
      <c r="S29" s="139">
        <f>IF(Data_Override!N29="",Data!N29,Data_Override!N29)</f>
        <v>367.75143991853599</v>
      </c>
      <c r="U29" s="139">
        <f>IF(Data_Override!P29="",Data!P29,Data_Override!P29)</f>
        <v>0</v>
      </c>
      <c r="V29" s="139">
        <f>IF(Data_Override!Q29="",Data!Q29,Data_Override!Q29)</f>
        <v>0</v>
      </c>
      <c r="W29" s="139">
        <f>IF(Data_Override!R29="",Data!R29,Data_Override!R29)</f>
        <v>7.44</v>
      </c>
      <c r="X29" s="139">
        <f>IF(Data_Override!S29="",Data!S29,Data_Override!S29)</f>
        <v>7.44</v>
      </c>
      <c r="Y29" s="140">
        <f t="shared" si="6"/>
        <v>0</v>
      </c>
      <c r="Z29" s="140">
        <f t="shared" si="7"/>
        <v>7.44</v>
      </c>
      <c r="AB29" s="139">
        <f>IF(Data_Override!U29="",Data!U29,Data_Override!U29)</f>
        <v>201.11</v>
      </c>
      <c r="AC29" s="139">
        <f>IF(Data_Override!V29="",Data!V29,Data_Override!V29)</f>
        <v>26018</v>
      </c>
      <c r="AD29" s="139">
        <f>IF(Data_Override!W29="",Data!W29,Data_Override!W29)</f>
        <v>2044.0360000000001</v>
      </c>
    </row>
    <row r="30" spans="1:30" hidden="1" x14ac:dyDescent="0.2">
      <c r="A30" s="141" t="s">
        <v>144</v>
      </c>
      <c r="B30" s="142" t="s">
        <v>28</v>
      </c>
      <c r="C30" s="142" t="s">
        <v>72</v>
      </c>
      <c r="D30" s="19" t="str">
        <f t="shared" si="1"/>
        <v>20</v>
      </c>
      <c r="E30" s="139">
        <f>IF(Data_Override!D30="",Data!D30,Data_Override!D30)</f>
        <v>0</v>
      </c>
      <c r="F30" s="139">
        <f>IF(Data_Override!E30="",Data!E30,Data_Override!E30)</f>
        <v>8.8381625441696698E-2</v>
      </c>
      <c r="G30" s="139">
        <f>IF(Data_Override!F30="",Data!F30,Data_Override!F30)</f>
        <v>0</v>
      </c>
      <c r="H30" s="139">
        <f>IF(Data_Override!G30="",Data!G30,Data_Override!G30)</f>
        <v>0</v>
      </c>
      <c r="I30" s="140">
        <f t="shared" si="2"/>
        <v>8.8381625441696698E-2</v>
      </c>
      <c r="J30" s="140">
        <f t="shared" si="3"/>
        <v>0</v>
      </c>
      <c r="L30" s="139">
        <f>IF(Data_Override!I30="",Data!I30,Data_Override!I30)</f>
        <v>0</v>
      </c>
      <c r="M30" s="139">
        <f>IF(Data_Override!J30="",Data!J30,Data_Override!J30)</f>
        <v>0</v>
      </c>
      <c r="N30" s="139">
        <f>IF(Data_Override!K30="",Data!K30,Data_Override!K30)</f>
        <v>0</v>
      </c>
      <c r="O30" s="139">
        <f>IF(Data_Override!L30="",Data!L30,Data_Override!L30)</f>
        <v>0</v>
      </c>
      <c r="P30" s="140">
        <f t="shared" si="8"/>
        <v>0</v>
      </c>
      <c r="Q30" s="140">
        <f t="shared" si="9"/>
        <v>0</v>
      </c>
      <c r="S30" s="139">
        <f>IF(Data_Override!N30="",Data!N30,Data_Override!N30)</f>
        <v>334.52541296666402</v>
      </c>
      <c r="U30" s="139">
        <f>IF(Data_Override!P30="",Data!P30,Data_Override!P30)</f>
        <v>0</v>
      </c>
      <c r="V30" s="139">
        <f>IF(Data_Override!Q30="",Data!Q30,Data_Override!Q30)</f>
        <v>0</v>
      </c>
      <c r="W30" s="139">
        <f>IF(Data_Override!R30="",Data!R30,Data_Override!R30)</f>
        <v>7.92</v>
      </c>
      <c r="X30" s="139">
        <f>IF(Data_Override!S30="",Data!S30,Data_Override!S30)</f>
        <v>7.92</v>
      </c>
      <c r="Y30" s="140">
        <f t="shared" si="6"/>
        <v>0</v>
      </c>
      <c r="Z30" s="140">
        <f t="shared" si="7"/>
        <v>7.92</v>
      </c>
      <c r="AB30" s="139">
        <f>IF(Data_Override!U30="",Data!U30,Data_Override!U30)</f>
        <v>201.11</v>
      </c>
      <c r="AC30" s="139">
        <f>IF(Data_Override!V30="",Data!V30,Data_Override!V30)</f>
        <v>26132</v>
      </c>
      <c r="AD30" s="139">
        <f>IF(Data_Override!W30="",Data!W30,Data_Override!W30)</f>
        <v>2061.067</v>
      </c>
    </row>
    <row r="31" spans="1:30" x14ac:dyDescent="0.2">
      <c r="A31" s="141" t="s">
        <v>145</v>
      </c>
      <c r="B31" s="142" t="s">
        <v>28</v>
      </c>
      <c r="C31" s="142" t="s">
        <v>73</v>
      </c>
      <c r="D31" s="19" t="str">
        <f t="shared" si="1"/>
        <v>21</v>
      </c>
      <c r="E31" s="139">
        <f>IF(Data_Override!D31="",Data!D31,Data_Override!D31)</f>
        <v>0</v>
      </c>
      <c r="F31" s="139">
        <f>IF(Data_Override!E31="",Data!E31,Data_Override!E31)</f>
        <v>0</v>
      </c>
      <c r="G31" s="139">
        <f>IF(Data_Override!F31="",Data!F31,Data_Override!F31)</f>
        <v>0</v>
      </c>
      <c r="H31" s="139">
        <f>IF(Data_Override!G31="",Data!G31,Data_Override!G31)</f>
        <v>0</v>
      </c>
      <c r="I31" s="140">
        <f t="shared" si="2"/>
        <v>0</v>
      </c>
      <c r="J31" s="140">
        <f t="shared" si="3"/>
        <v>0</v>
      </c>
      <c r="L31" s="139">
        <f>IF(Data_Override!I31="",Data!I31,Data_Override!I31)</f>
        <v>0</v>
      </c>
      <c r="M31" s="139">
        <f>IF(Data_Override!J31="",Data!J31,Data_Override!J31)</f>
        <v>0</v>
      </c>
      <c r="N31" s="139">
        <f>IF(Data_Override!K31="",Data!K31,Data_Override!K31)</f>
        <v>0</v>
      </c>
      <c r="O31" s="139">
        <f>IF(Data_Override!L31="",Data!L31,Data_Override!L31)</f>
        <v>0</v>
      </c>
      <c r="P31" s="140">
        <f t="shared" si="8"/>
        <v>0</v>
      </c>
      <c r="Q31" s="140">
        <f t="shared" si="9"/>
        <v>0</v>
      </c>
      <c r="S31" s="139">
        <f>IF(Data_Override!N31="",Data!N31,Data_Override!N31)</f>
        <v>348.07799999999997</v>
      </c>
      <c r="U31" s="139">
        <f>IF(Data_Override!P31="",Data!P31,Data_Override!P31)</f>
        <v>0</v>
      </c>
      <c r="V31" s="139">
        <f>IF(Data_Override!Q31="",Data!Q31,Data_Override!Q31)</f>
        <v>0</v>
      </c>
      <c r="W31" s="139">
        <f>IF(Data_Override!R31="",Data!R31,Data_Override!R31)</f>
        <v>16.25</v>
      </c>
      <c r="X31" s="139">
        <f>IF(Data_Override!S31="",Data!S31,Data_Override!S31)</f>
        <v>16.25</v>
      </c>
      <c r="Y31" s="140">
        <f t="shared" si="6"/>
        <v>0</v>
      </c>
      <c r="Z31" s="140">
        <f t="shared" si="7"/>
        <v>16.25</v>
      </c>
      <c r="AB31" s="139">
        <f>IF(Data_Override!U31="",Data!U31,Data_Override!U31)</f>
        <v>194.76</v>
      </c>
      <c r="AC31" s="139">
        <f>IF(Data_Override!V31="",Data!V31,Data_Override!V31)</f>
        <v>26217</v>
      </c>
      <c r="AD31" s="139">
        <f>IF(Data_Override!W31="",Data!W31,Data_Override!W31)</f>
        <v>2078.6469999999999</v>
      </c>
    </row>
    <row r="32" spans="1:30" x14ac:dyDescent="0.2">
      <c r="A32" s="141" t="s">
        <v>146</v>
      </c>
      <c r="B32" s="142" t="s">
        <v>28</v>
      </c>
      <c r="C32" s="142" t="s">
        <v>74</v>
      </c>
      <c r="D32" s="19" t="str">
        <f t="shared" si="1"/>
        <v>22</v>
      </c>
      <c r="E32" s="139">
        <f>IF(Data_Override!D32="",Data!D32,Data_Override!D32)</f>
        <v>0</v>
      </c>
      <c r="F32" s="139">
        <f>IF(Data_Override!E32="",Data!E32,Data_Override!E32)</f>
        <v>0</v>
      </c>
      <c r="G32" s="139">
        <f>IF(Data_Override!F32="",Data!F32,Data_Override!F32)</f>
        <v>0</v>
      </c>
      <c r="H32" s="139">
        <f>IF(Data_Override!G32="",Data!G32,Data_Override!G32)</f>
        <v>0</v>
      </c>
      <c r="I32" s="140">
        <f t="shared" si="2"/>
        <v>0</v>
      </c>
      <c r="J32" s="140">
        <f t="shared" si="3"/>
        <v>0</v>
      </c>
      <c r="L32" s="139">
        <f>IF(Data_Override!I32="",Data!I32,Data_Override!I32)</f>
        <v>0</v>
      </c>
      <c r="M32" s="139">
        <f>IF(Data_Override!J32="",Data!J32,Data_Override!J32)</f>
        <v>0</v>
      </c>
      <c r="N32" s="139">
        <f>IF(Data_Override!K32="",Data!K32,Data_Override!K32)</f>
        <v>0</v>
      </c>
      <c r="O32" s="139">
        <f>IF(Data_Override!L32="",Data!L32,Data_Override!L32)</f>
        <v>0</v>
      </c>
      <c r="P32" s="140">
        <f t="shared" si="8"/>
        <v>0</v>
      </c>
      <c r="Q32" s="140">
        <f t="shared" si="9"/>
        <v>0</v>
      </c>
      <c r="S32" s="139">
        <f>IF(Data_Override!N32="",Data!N32,Data_Override!N32)</f>
        <v>368.71699999999998</v>
      </c>
      <c r="U32" s="139">
        <f>IF(Data_Override!P32="",Data!P32,Data_Override!P32)</f>
        <v>0</v>
      </c>
      <c r="V32" s="139">
        <f>IF(Data_Override!Q32="",Data!Q32,Data_Override!Q32)</f>
        <v>0</v>
      </c>
      <c r="W32" s="139">
        <f>IF(Data_Override!R32="",Data!R32,Data_Override!R32)</f>
        <v>30.9</v>
      </c>
      <c r="X32" s="139">
        <f>IF(Data_Override!S32="",Data!S32,Data_Override!S32)</f>
        <v>30.9</v>
      </c>
      <c r="Y32" s="140">
        <f t="shared" si="6"/>
        <v>0</v>
      </c>
      <c r="Z32" s="140">
        <f t="shared" si="7"/>
        <v>30.9</v>
      </c>
      <c r="AB32" s="139">
        <f>IF(Data_Override!U32="",Data!U32,Data_Override!U32)</f>
        <v>188.42</v>
      </c>
      <c r="AC32" s="139">
        <f>IF(Data_Override!V32="",Data!V32,Data_Override!V32)</f>
        <v>26367</v>
      </c>
      <c r="AD32" s="139">
        <f>IF(Data_Override!W32="",Data!W32,Data_Override!W32)</f>
        <v>2096.0149999999999</v>
      </c>
    </row>
    <row r="33" spans="1:30" x14ac:dyDescent="0.2">
      <c r="A33" s="141" t="s">
        <v>147</v>
      </c>
      <c r="B33" s="142" t="s">
        <v>28</v>
      </c>
      <c r="C33" s="142" t="s">
        <v>75</v>
      </c>
      <c r="D33" s="19" t="str">
        <f t="shared" si="1"/>
        <v>23</v>
      </c>
      <c r="E33" s="139">
        <f>IF(Data_Override!D33="",Data!D33,Data_Override!D33)</f>
        <v>0</v>
      </c>
      <c r="F33" s="139">
        <f>IF(Data_Override!E33="",Data!E33,Data_Override!E33)</f>
        <v>0</v>
      </c>
      <c r="G33" s="139">
        <f>IF(Data_Override!F33="",Data!F33,Data_Override!F33)</f>
        <v>0</v>
      </c>
      <c r="H33" s="139">
        <f>IF(Data_Override!G33="",Data!G33,Data_Override!G33)</f>
        <v>0</v>
      </c>
      <c r="I33" s="140">
        <f t="shared" si="2"/>
        <v>0</v>
      </c>
      <c r="J33" s="140">
        <f t="shared" si="3"/>
        <v>0</v>
      </c>
      <c r="L33" s="139">
        <f>IF(Data_Override!I33="",Data!I33,Data_Override!I33)</f>
        <v>0</v>
      </c>
      <c r="M33" s="139">
        <f>IF(Data_Override!J33="",Data!J33,Data_Override!J33)</f>
        <v>0</v>
      </c>
      <c r="N33" s="139">
        <f>IF(Data_Override!K33="",Data!K33,Data_Override!K33)</f>
        <v>0</v>
      </c>
      <c r="O33" s="139">
        <f>IF(Data_Override!L33="",Data!L33,Data_Override!L33)</f>
        <v>0</v>
      </c>
      <c r="P33" s="140">
        <f t="shared" si="8"/>
        <v>0</v>
      </c>
      <c r="Q33" s="140">
        <f t="shared" si="9"/>
        <v>0</v>
      </c>
      <c r="S33" s="139">
        <f>IF(Data_Override!N33="",Data!N33,Data_Override!N33)</f>
        <v>360.49900000000002</v>
      </c>
      <c r="U33" s="139">
        <f>IF(Data_Override!P33="",Data!P33,Data_Override!P33)</f>
        <v>0</v>
      </c>
      <c r="V33" s="139">
        <f>IF(Data_Override!Q33="",Data!Q33,Data_Override!Q33)</f>
        <v>0</v>
      </c>
      <c r="W33" s="139">
        <f>IF(Data_Override!R33="",Data!R33,Data_Override!R33)</f>
        <v>31.3</v>
      </c>
      <c r="X33" s="139">
        <f>IF(Data_Override!S33="",Data!S33,Data_Override!S33)</f>
        <v>31.3</v>
      </c>
      <c r="Y33" s="140">
        <f t="shared" si="6"/>
        <v>0</v>
      </c>
      <c r="Z33" s="140">
        <f t="shared" si="7"/>
        <v>31.3</v>
      </c>
      <c r="AB33" s="139">
        <f>IF(Data_Override!U33="",Data!U33,Data_Override!U33)</f>
        <v>182.07</v>
      </c>
      <c r="AC33" s="139">
        <f>IF(Data_Override!V33="",Data!V33,Data_Override!V33)</f>
        <v>26509</v>
      </c>
      <c r="AD33" s="139">
        <f>IF(Data_Override!W33="",Data!W33,Data_Override!W33)</f>
        <v>2112.8389999999999</v>
      </c>
    </row>
    <row r="34" spans="1:30" x14ac:dyDescent="0.2">
      <c r="A34" s="141" t="s">
        <v>148</v>
      </c>
      <c r="B34" s="142" t="s">
        <v>28</v>
      </c>
      <c r="C34" s="142" t="s">
        <v>76</v>
      </c>
      <c r="D34" s="19" t="str">
        <f t="shared" si="1"/>
        <v>24</v>
      </c>
      <c r="E34" s="139">
        <f>IF(Data_Override!D34="",Data!D34,Data_Override!D34)</f>
        <v>0</v>
      </c>
      <c r="F34" s="139">
        <f>IF(Data_Override!E34="",Data!E34,Data_Override!E34)</f>
        <v>0</v>
      </c>
      <c r="G34" s="139">
        <f>IF(Data_Override!F34="",Data!F34,Data_Override!F34)</f>
        <v>0</v>
      </c>
      <c r="H34" s="139">
        <f>IF(Data_Override!G34="",Data!G34,Data_Override!G34)</f>
        <v>0</v>
      </c>
      <c r="I34" s="140">
        <f t="shared" si="2"/>
        <v>0</v>
      </c>
      <c r="J34" s="140">
        <f t="shared" si="3"/>
        <v>0</v>
      </c>
      <c r="L34" s="139">
        <f>IF(Data_Override!I34="",Data!I34,Data_Override!I34)</f>
        <v>0</v>
      </c>
      <c r="M34" s="139">
        <f>IF(Data_Override!J34="",Data!J34,Data_Override!J34)</f>
        <v>0</v>
      </c>
      <c r="N34" s="139">
        <f>IF(Data_Override!K34="",Data!K34,Data_Override!K34)</f>
        <v>0</v>
      </c>
      <c r="O34" s="139">
        <f>IF(Data_Override!L34="",Data!L34,Data_Override!L34)</f>
        <v>0</v>
      </c>
      <c r="P34" s="140">
        <f t="shared" si="8"/>
        <v>0</v>
      </c>
      <c r="Q34" s="140">
        <f t="shared" si="9"/>
        <v>0</v>
      </c>
      <c r="S34" s="139">
        <f>IF(Data_Override!N34="",Data!N34,Data_Override!N34)</f>
        <v>337.22899999999998</v>
      </c>
      <c r="U34" s="139">
        <f>IF(Data_Override!P34="",Data!P34,Data_Override!P34)</f>
        <v>0</v>
      </c>
      <c r="V34" s="139">
        <f>IF(Data_Override!Q34="",Data!Q34,Data_Override!Q34)</f>
        <v>0</v>
      </c>
      <c r="W34" s="139">
        <f>IF(Data_Override!R34="",Data!R34,Data_Override!R34)</f>
        <v>30.78</v>
      </c>
      <c r="X34" s="139">
        <f>IF(Data_Override!S34="",Data!S34,Data_Override!S34)</f>
        <v>30.78</v>
      </c>
      <c r="Y34" s="140">
        <f t="shared" si="6"/>
        <v>0</v>
      </c>
      <c r="Z34" s="140">
        <f t="shared" si="7"/>
        <v>30.78</v>
      </c>
      <c r="AB34" s="139">
        <f>IF(Data_Override!U34="",Data!U34,Data_Override!U34)</f>
        <v>175.72</v>
      </c>
      <c r="AC34" s="139">
        <f>IF(Data_Override!V34="",Data!V34,Data_Override!V34)</f>
        <v>26662</v>
      </c>
      <c r="AD34" s="139">
        <f>IF(Data_Override!W34="",Data!W34,Data_Override!W34)</f>
        <v>2129.0250000000001</v>
      </c>
    </row>
    <row r="35" spans="1:30" x14ac:dyDescent="0.2">
      <c r="A35" s="141" t="s">
        <v>149</v>
      </c>
      <c r="B35" s="142" t="s">
        <v>28</v>
      </c>
      <c r="C35" s="142" t="s">
        <v>24</v>
      </c>
      <c r="D35" s="19" t="str">
        <f t="shared" si="1"/>
        <v>25</v>
      </c>
      <c r="E35" s="139">
        <f>IF(Data_Override!D35="",Data!D35,Data_Override!D35)</f>
        <v>0</v>
      </c>
      <c r="F35" s="139">
        <f>IF(Data_Override!E35="",Data!E35,Data_Override!E35)</f>
        <v>0</v>
      </c>
      <c r="G35" s="139">
        <f>IF(Data_Override!F35="",Data!F35,Data_Override!F35)</f>
        <v>0</v>
      </c>
      <c r="H35" s="139">
        <f>IF(Data_Override!G35="",Data!G35,Data_Override!G35)</f>
        <v>0</v>
      </c>
      <c r="I35" s="140">
        <f t="shared" si="2"/>
        <v>0</v>
      </c>
      <c r="J35" s="140">
        <f t="shared" si="3"/>
        <v>0</v>
      </c>
      <c r="L35" s="139">
        <f>IF(Data_Override!I35="",Data!I35,Data_Override!I35)</f>
        <v>0</v>
      </c>
      <c r="M35" s="139">
        <f>IF(Data_Override!J35="",Data!J35,Data_Override!J35)</f>
        <v>0</v>
      </c>
      <c r="N35" s="139">
        <f>IF(Data_Override!K35="",Data!K35,Data_Override!K35)</f>
        <v>0</v>
      </c>
      <c r="O35" s="139">
        <f>IF(Data_Override!L35="",Data!L35,Data_Override!L35)</f>
        <v>0</v>
      </c>
      <c r="P35" s="140">
        <f t="shared" si="8"/>
        <v>0</v>
      </c>
      <c r="Q35" s="140">
        <f t="shared" si="9"/>
        <v>0</v>
      </c>
      <c r="S35" s="139">
        <f>IF(Data_Override!N35="",Data!N35,Data_Override!N35)</f>
        <v>311.733</v>
      </c>
      <c r="U35" s="139">
        <f>IF(Data_Override!P35="",Data!P35,Data_Override!P35)</f>
        <v>0</v>
      </c>
      <c r="V35" s="139">
        <f>IF(Data_Override!Q35="",Data!Q35,Data_Override!Q35)</f>
        <v>0</v>
      </c>
      <c r="W35" s="139">
        <f>IF(Data_Override!R35="",Data!R35,Data_Override!R35)</f>
        <v>30.47</v>
      </c>
      <c r="X35" s="139">
        <f>IF(Data_Override!S35="",Data!S35,Data_Override!S35)</f>
        <v>30.47</v>
      </c>
      <c r="Y35" s="140">
        <f t="shared" si="6"/>
        <v>0</v>
      </c>
      <c r="Z35" s="140">
        <f t="shared" si="7"/>
        <v>30.47</v>
      </c>
      <c r="AB35" s="139">
        <f>IF(Data_Override!U35="",Data!U35,Data_Override!U35)</f>
        <v>169.38</v>
      </c>
      <c r="AC35" s="139">
        <f>IF(Data_Override!V35="",Data!V35,Data_Override!V35)</f>
        <v>26821</v>
      </c>
      <c r="AD35" s="139">
        <f>IF(Data_Override!W35="",Data!W35,Data_Override!W35)</f>
        <v>2145.3789999999999</v>
      </c>
    </row>
    <row r="36" spans="1:30" hidden="1" x14ac:dyDescent="0.2">
      <c r="A36" s="138" t="str">
        <f t="shared" ref="A36" si="11">B36&amp;RIGHT(C36,2)</f>
        <v>NWT12</v>
      </c>
      <c r="B36" s="19" t="s">
        <v>32</v>
      </c>
      <c r="C36" s="143" t="s">
        <v>64</v>
      </c>
      <c r="D36" s="19" t="str">
        <f t="shared" si="1"/>
        <v>12</v>
      </c>
      <c r="E36" s="139">
        <f>IF(Data_Override!D36="",Data!D36,Data_Override!D36)</f>
        <v>3.9837368638627302</v>
      </c>
      <c r="F36" s="139">
        <f>IF(Data_Override!E36="",Data!E36,Data_Override!E36)</f>
        <v>0</v>
      </c>
      <c r="G36" s="139">
        <f>IF(Data_Override!F36="",Data!F36,Data_Override!F36)</f>
        <v>6.6308581986449298</v>
      </c>
      <c r="H36" s="139">
        <f>IF(Data_Override!G36="",Data!G36,Data_Override!G36)</f>
        <v>0</v>
      </c>
      <c r="I36" s="140">
        <f t="shared" si="2"/>
        <v>3.9837368638627302</v>
      </c>
      <c r="J36" s="140">
        <f t="shared" si="3"/>
        <v>6.6308581986449298</v>
      </c>
      <c r="L36" s="139">
        <f>IF(Data_Override!I36="",Data!I36,Data_Override!I36)</f>
        <v>0</v>
      </c>
      <c r="M36" s="139">
        <f>IF(Data_Override!J36="",Data!J36,Data_Override!J36)</f>
        <v>0</v>
      </c>
      <c r="N36" s="139">
        <f>IF(Data_Override!K36="",Data!K36,Data_Override!K36)</f>
        <v>0</v>
      </c>
      <c r="O36" s="139">
        <f>IF(Data_Override!L36="",Data!L36,Data_Override!L36)</f>
        <v>0</v>
      </c>
      <c r="P36" s="140">
        <f t="shared" si="8"/>
        <v>0</v>
      </c>
      <c r="Q36" s="140">
        <f t="shared" si="9"/>
        <v>0</v>
      </c>
      <c r="S36" s="139">
        <f>IF(Data_Override!N36="",Data!N36,Data_Override!N36)</f>
        <v>531.29721876834401</v>
      </c>
      <c r="U36" s="139">
        <f>IF(Data_Override!P36="",Data!P36,Data_Override!P36)</f>
        <v>0</v>
      </c>
      <c r="V36" s="139">
        <f>IF(Data_Override!Q36="",Data!Q36,Data_Override!Q36)</f>
        <v>0</v>
      </c>
      <c r="W36" s="139">
        <f>IF(Data_Override!R36="",Data!R36,Data_Override!R36)</f>
        <v>0</v>
      </c>
      <c r="X36" s="139">
        <f>IF(Data_Override!S36="",Data!S36,Data_Override!S36)</f>
        <v>0</v>
      </c>
      <c r="Y36" s="140">
        <f t="shared" si="6"/>
        <v>0</v>
      </c>
      <c r="Z36" s="140">
        <f t="shared" si="7"/>
        <v>0</v>
      </c>
      <c r="AB36" s="139">
        <f>IF(Data_Override!U36="",Data!U36,Data_Override!U36)</f>
        <v>0</v>
      </c>
      <c r="AC36" s="139">
        <f>IF(Data_Override!V36="",Data!V36,Data_Override!V36)</f>
        <v>0</v>
      </c>
      <c r="AD36" s="139">
        <f>IF(Data_Override!W36="",Data!W36,Data_Override!W36)</f>
        <v>0</v>
      </c>
    </row>
    <row r="37" spans="1:30" hidden="1" x14ac:dyDescent="0.2">
      <c r="A37" s="138" t="str">
        <f>B37&amp;RIGHT(C37,2)</f>
        <v>NWT13</v>
      </c>
      <c r="B37" s="19" t="s">
        <v>32</v>
      </c>
      <c r="C37" s="143" t="s">
        <v>65</v>
      </c>
      <c r="D37" s="19" t="str">
        <f t="shared" si="1"/>
        <v>13</v>
      </c>
      <c r="E37" s="139">
        <f>IF(Data_Override!D37="",Data!D37,Data_Override!D37)</f>
        <v>0.40804596913852997</v>
      </c>
      <c r="F37" s="139">
        <f>IF(Data_Override!E37="",Data!E37,Data_Override!E37)</f>
        <v>0</v>
      </c>
      <c r="G37" s="139">
        <f>IF(Data_Override!F37="",Data!F37,Data_Override!F37)</f>
        <v>12.768281741420999</v>
      </c>
      <c r="H37" s="139">
        <f>IF(Data_Override!G37="",Data!G37,Data_Override!G37)</f>
        <v>0</v>
      </c>
      <c r="I37" s="140">
        <f t="shared" si="2"/>
        <v>0.40804596913852997</v>
      </c>
      <c r="J37" s="140">
        <f t="shared" si="3"/>
        <v>12.768281741420999</v>
      </c>
      <c r="L37" s="139">
        <f>IF(Data_Override!I37="",Data!I37,Data_Override!I37)</f>
        <v>0</v>
      </c>
      <c r="M37" s="139">
        <f>IF(Data_Override!J37="",Data!J37,Data_Override!J37)</f>
        <v>0</v>
      </c>
      <c r="N37" s="139">
        <f>IF(Data_Override!K37="",Data!K37,Data_Override!K37)</f>
        <v>0</v>
      </c>
      <c r="O37" s="139">
        <f>IF(Data_Override!L37="",Data!L37,Data_Override!L37)</f>
        <v>0</v>
      </c>
      <c r="P37" s="140">
        <f t="shared" si="8"/>
        <v>0</v>
      </c>
      <c r="Q37" s="140">
        <f t="shared" si="9"/>
        <v>0</v>
      </c>
      <c r="S37" s="139">
        <f>IF(Data_Override!N37="",Data!N37,Data_Override!N37)</f>
        <v>554.365810094106</v>
      </c>
      <c r="U37" s="139">
        <f>IF(Data_Override!P37="",Data!P37,Data_Override!P37)</f>
        <v>0</v>
      </c>
      <c r="V37" s="139">
        <f>IF(Data_Override!Q37="",Data!Q37,Data_Override!Q37)</f>
        <v>0</v>
      </c>
      <c r="W37" s="139">
        <f>IF(Data_Override!R37="",Data!R37,Data_Override!R37)</f>
        <v>0</v>
      </c>
      <c r="X37" s="139">
        <f>IF(Data_Override!S37="",Data!S37,Data_Override!S37)</f>
        <v>0</v>
      </c>
      <c r="Y37" s="140">
        <f t="shared" si="6"/>
        <v>0</v>
      </c>
      <c r="Z37" s="140">
        <f t="shared" si="7"/>
        <v>0</v>
      </c>
      <c r="AB37" s="139">
        <f>IF(Data_Override!U37="",Data!U37,Data_Override!U37)</f>
        <v>0</v>
      </c>
      <c r="AC37" s="139">
        <f>IF(Data_Override!V37="",Data!V37,Data_Override!V37)</f>
        <v>0</v>
      </c>
      <c r="AD37" s="139">
        <f>IF(Data_Override!W37="",Data!W37,Data_Override!W37)</f>
        <v>0</v>
      </c>
    </row>
    <row r="38" spans="1:30" hidden="1" x14ac:dyDescent="0.2">
      <c r="A38" s="138" t="str">
        <f>B38&amp;RIGHT(C38,2)</f>
        <v>NWT14</v>
      </c>
      <c r="B38" s="19" t="s">
        <v>32</v>
      </c>
      <c r="C38" s="143" t="s">
        <v>66</v>
      </c>
      <c r="D38" s="19" t="str">
        <f t="shared" si="1"/>
        <v>14</v>
      </c>
      <c r="E38" s="139">
        <f>IF(Data_Override!D38="",Data!D38,Data_Override!D38)</f>
        <v>1.3872362629082</v>
      </c>
      <c r="F38" s="139">
        <f>IF(Data_Override!E38="",Data!E38,Data_Override!E38)</f>
        <v>0</v>
      </c>
      <c r="G38" s="139">
        <f>IF(Data_Override!F38="",Data!F38,Data_Override!F38)</f>
        <v>4.8185751848526097</v>
      </c>
      <c r="H38" s="139">
        <f>IF(Data_Override!G38="",Data!G38,Data_Override!G38)</f>
        <v>0</v>
      </c>
      <c r="I38" s="140">
        <f t="shared" si="2"/>
        <v>1.3872362629082</v>
      </c>
      <c r="J38" s="140">
        <f t="shared" si="3"/>
        <v>4.8185751848526097</v>
      </c>
      <c r="L38" s="139">
        <f>IF(Data_Override!I38="",Data!I38,Data_Override!I38)</f>
        <v>0</v>
      </c>
      <c r="M38" s="139">
        <f>IF(Data_Override!J38="",Data!J38,Data_Override!J38)</f>
        <v>0</v>
      </c>
      <c r="N38" s="139">
        <f>IF(Data_Override!K38="",Data!K38,Data_Override!K38)</f>
        <v>0</v>
      </c>
      <c r="O38" s="139">
        <f>IF(Data_Override!L38="",Data!L38,Data_Override!L38)</f>
        <v>0</v>
      </c>
      <c r="P38" s="140">
        <f t="shared" si="8"/>
        <v>0</v>
      </c>
      <c r="Q38" s="140">
        <f t="shared" si="9"/>
        <v>0</v>
      </c>
      <c r="S38" s="139">
        <f>IF(Data_Override!N38="",Data!N38,Data_Override!N38)</f>
        <v>550.98658258033299</v>
      </c>
      <c r="U38" s="139">
        <f>IF(Data_Override!P38="",Data!P38,Data_Override!P38)</f>
        <v>0</v>
      </c>
      <c r="V38" s="139">
        <f>IF(Data_Override!Q38="",Data!Q38,Data_Override!Q38)</f>
        <v>0</v>
      </c>
      <c r="W38" s="139">
        <f>IF(Data_Override!R38="",Data!R38,Data_Override!R38)</f>
        <v>0</v>
      </c>
      <c r="X38" s="139">
        <f>IF(Data_Override!S38="",Data!S38,Data_Override!S38)</f>
        <v>0</v>
      </c>
      <c r="Y38" s="140">
        <f t="shared" si="6"/>
        <v>0</v>
      </c>
      <c r="Z38" s="140">
        <f t="shared" si="7"/>
        <v>0</v>
      </c>
      <c r="AB38" s="139">
        <f>IF(Data_Override!U38="",Data!U38,Data_Override!U38)</f>
        <v>0</v>
      </c>
      <c r="AC38" s="139">
        <f>IF(Data_Override!V38="",Data!V38,Data_Override!V38)</f>
        <v>0</v>
      </c>
      <c r="AD38" s="139">
        <f>IF(Data_Override!W38="",Data!W38,Data_Override!W38)</f>
        <v>0</v>
      </c>
    </row>
    <row r="39" spans="1:30" hidden="1" x14ac:dyDescent="0.2">
      <c r="A39" s="138" t="str">
        <f>B39&amp;RIGHT(C39,2)</f>
        <v>NWT15</v>
      </c>
      <c r="B39" s="19" t="s">
        <v>32</v>
      </c>
      <c r="C39" s="143" t="s">
        <v>67</v>
      </c>
      <c r="D39" s="19" t="str">
        <f t="shared" si="1"/>
        <v>15</v>
      </c>
      <c r="E39" s="139">
        <f>IF(Data_Override!D39="",Data!D39,Data_Override!D39)</f>
        <v>5.6390525741188604</v>
      </c>
      <c r="F39" s="139">
        <f>IF(Data_Override!E39="",Data!E39,Data_Override!E39)</f>
        <v>0</v>
      </c>
      <c r="G39" s="139">
        <f>IF(Data_Override!F39="",Data!F39,Data_Override!F39)</f>
        <v>3.3850244246005801</v>
      </c>
      <c r="H39" s="139">
        <f>IF(Data_Override!G39="",Data!G39,Data_Override!G39)</f>
        <v>0</v>
      </c>
      <c r="I39" s="140">
        <f t="shared" si="2"/>
        <v>5.6390525741188604</v>
      </c>
      <c r="J39" s="140">
        <f t="shared" si="3"/>
        <v>3.3850244246005801</v>
      </c>
      <c r="L39" s="139">
        <f>IF(Data_Override!I39="",Data!I39,Data_Override!I39)</f>
        <v>0</v>
      </c>
      <c r="M39" s="139">
        <f>IF(Data_Override!J39="",Data!J39,Data_Override!J39)</f>
        <v>0</v>
      </c>
      <c r="N39" s="139">
        <f>IF(Data_Override!K39="",Data!K39,Data_Override!K39)</f>
        <v>0</v>
      </c>
      <c r="O39" s="139">
        <f>IF(Data_Override!L39="",Data!L39,Data_Override!L39)</f>
        <v>0</v>
      </c>
      <c r="P39" s="140">
        <f t="shared" si="8"/>
        <v>0</v>
      </c>
      <c r="Q39" s="140">
        <f t="shared" si="9"/>
        <v>0</v>
      </c>
      <c r="S39" s="139">
        <f>IF(Data_Override!N39="",Data!N39,Data_Override!N39)</f>
        <v>545.10877467810997</v>
      </c>
      <c r="U39" s="139">
        <f>IF(Data_Override!P39="",Data!P39,Data_Override!P39)</f>
        <v>0</v>
      </c>
      <c r="V39" s="139">
        <f>IF(Data_Override!Q39="",Data!Q39,Data_Override!Q39)</f>
        <v>0</v>
      </c>
      <c r="W39" s="139">
        <f>IF(Data_Override!R39="",Data!R39,Data_Override!R39)</f>
        <v>0</v>
      </c>
      <c r="X39" s="139">
        <f>IF(Data_Override!S39="",Data!S39,Data_Override!S39)</f>
        <v>0</v>
      </c>
      <c r="Y39" s="140">
        <f t="shared" si="6"/>
        <v>0</v>
      </c>
      <c r="Z39" s="140">
        <f t="shared" si="7"/>
        <v>0</v>
      </c>
      <c r="AB39" s="139">
        <f>IF(Data_Override!U39="",Data!U39,Data_Override!U39)</f>
        <v>0</v>
      </c>
      <c r="AC39" s="139">
        <f>IF(Data_Override!V39="",Data!V39,Data_Override!V39)</f>
        <v>0</v>
      </c>
      <c r="AD39" s="139">
        <f>IF(Data_Override!W39="",Data!W39,Data_Override!W39)</f>
        <v>0</v>
      </c>
    </row>
    <row r="40" spans="1:30" hidden="1" x14ac:dyDescent="0.2">
      <c r="A40" s="138" t="str">
        <f>B40&amp;RIGHT(C40,2)</f>
        <v>NWT16</v>
      </c>
      <c r="B40" s="19" t="s">
        <v>32</v>
      </c>
      <c r="C40" s="143" t="s">
        <v>68</v>
      </c>
      <c r="D40" s="19" t="str">
        <f t="shared" ref="D40:D77" si="12">RIGHT(A40,2)</f>
        <v>16</v>
      </c>
      <c r="E40" s="139">
        <f>IF(Data_Override!D40="",Data!D40,Data_Override!D40)</f>
        <v>22.404109534860101</v>
      </c>
      <c r="F40" s="139">
        <f>IF(Data_Override!E40="",Data!E40,Data_Override!E40)</f>
        <v>0</v>
      </c>
      <c r="G40" s="139">
        <f>IF(Data_Override!F40="",Data!F40,Data_Override!F40)</f>
        <v>13.128178702163099</v>
      </c>
      <c r="H40" s="139">
        <f>IF(Data_Override!G40="",Data!G40,Data_Override!G40)</f>
        <v>0</v>
      </c>
      <c r="I40" s="140">
        <f t="shared" ref="I40:I77" si="13">IFERROR(SUM(E40:F40),"")</f>
        <v>22.404109534860101</v>
      </c>
      <c r="J40" s="140">
        <f t="shared" ref="J40:J77" si="14">IFERROR(SUM(G40:H40),"")</f>
        <v>13.128178702163099</v>
      </c>
      <c r="L40" s="139">
        <f>IF(Data_Override!I40="",Data!I40,Data_Override!I40)</f>
        <v>0</v>
      </c>
      <c r="M40" s="139">
        <f>IF(Data_Override!J40="",Data!J40,Data_Override!J40)</f>
        <v>0</v>
      </c>
      <c r="N40" s="139">
        <f>IF(Data_Override!K40="",Data!K40,Data_Override!K40)</f>
        <v>0</v>
      </c>
      <c r="O40" s="139">
        <f>IF(Data_Override!L40="",Data!L40,Data_Override!L40)</f>
        <v>0</v>
      </c>
      <c r="P40" s="140">
        <f t="shared" si="8"/>
        <v>0</v>
      </c>
      <c r="Q40" s="140">
        <f t="shared" si="9"/>
        <v>0</v>
      </c>
      <c r="S40" s="139">
        <f>IF(Data_Override!N40="",Data!N40,Data_Override!N40)</f>
        <v>549.52491572140104</v>
      </c>
      <c r="U40" s="139">
        <f>IF(Data_Override!P40="",Data!P40,Data_Override!P40)</f>
        <v>0</v>
      </c>
      <c r="V40" s="139">
        <f>IF(Data_Override!Q40="",Data!Q40,Data_Override!Q40)</f>
        <v>0</v>
      </c>
      <c r="W40" s="139">
        <f>IF(Data_Override!R40="",Data!R40,Data_Override!R40)</f>
        <v>0</v>
      </c>
      <c r="X40" s="139">
        <f>IF(Data_Override!S40="",Data!S40,Data_Override!S40)</f>
        <v>0</v>
      </c>
      <c r="Y40" s="140">
        <f t="shared" si="6"/>
        <v>0</v>
      </c>
      <c r="Z40" s="140">
        <f t="shared" si="7"/>
        <v>0</v>
      </c>
      <c r="AB40" s="139">
        <f>IF(Data_Override!U40="",Data!U40,Data_Override!U40)</f>
        <v>0</v>
      </c>
      <c r="AC40" s="139">
        <f>IF(Data_Override!V40="",Data!V40,Data_Override!V40)</f>
        <v>0</v>
      </c>
      <c r="AD40" s="139">
        <f>IF(Data_Override!W40="",Data!W40,Data_Override!W40)</f>
        <v>0</v>
      </c>
    </row>
    <row r="41" spans="1:30" hidden="1" x14ac:dyDescent="0.2">
      <c r="A41" s="138" t="str">
        <f>B41&amp;RIGHT(C41,2)</f>
        <v>NWT17</v>
      </c>
      <c r="B41" s="19" t="s">
        <v>32</v>
      </c>
      <c r="C41" s="143" t="s">
        <v>69</v>
      </c>
      <c r="D41" s="19" t="str">
        <f t="shared" si="12"/>
        <v>17</v>
      </c>
      <c r="E41" s="139">
        <f>IF(Data_Override!D41="",Data!D41,Data_Override!D41)</f>
        <v>1.9210217673186201</v>
      </c>
      <c r="F41" s="139">
        <f>IF(Data_Override!E41="",Data!E41,Data_Override!E41)</f>
        <v>0</v>
      </c>
      <c r="G41" s="139">
        <f>IF(Data_Override!F41="",Data!F41,Data_Override!F41)</f>
        <v>47.9966904545931</v>
      </c>
      <c r="H41" s="139">
        <f>IF(Data_Override!G41="",Data!G41,Data_Override!G41)</f>
        <v>0</v>
      </c>
      <c r="I41" s="140">
        <f t="shared" si="13"/>
        <v>1.9210217673186201</v>
      </c>
      <c r="J41" s="140">
        <f t="shared" si="14"/>
        <v>47.9966904545931</v>
      </c>
      <c r="L41" s="139">
        <f>IF(Data_Override!I41="",Data!I41,Data_Override!I41)</f>
        <v>0</v>
      </c>
      <c r="M41" s="139">
        <f>IF(Data_Override!J41="",Data!J41,Data_Override!J41)</f>
        <v>0</v>
      </c>
      <c r="N41" s="139">
        <f>IF(Data_Override!K41="",Data!K41,Data_Override!K41)</f>
        <v>0</v>
      </c>
      <c r="O41" s="139">
        <f>IF(Data_Override!L41="",Data!L41,Data_Override!L41)</f>
        <v>0</v>
      </c>
      <c r="P41" s="140">
        <f t="shared" si="8"/>
        <v>0</v>
      </c>
      <c r="Q41" s="140">
        <f t="shared" si="9"/>
        <v>0</v>
      </c>
      <c r="S41" s="139">
        <f>IF(Data_Override!N41="",Data!N41,Data_Override!N41)</f>
        <v>612.83711295080104</v>
      </c>
      <c r="U41" s="139">
        <f>IF(Data_Override!P41="",Data!P41,Data_Override!P41)</f>
        <v>0</v>
      </c>
      <c r="V41" s="139">
        <f>IF(Data_Override!Q41="",Data!Q41,Data_Override!Q41)</f>
        <v>0</v>
      </c>
      <c r="W41" s="139">
        <f>IF(Data_Override!R41="",Data!R41,Data_Override!R41)</f>
        <v>0</v>
      </c>
      <c r="X41" s="139">
        <f>IF(Data_Override!S41="",Data!S41,Data_Override!S41)</f>
        <v>0</v>
      </c>
      <c r="Y41" s="140">
        <f t="shared" si="6"/>
        <v>0</v>
      </c>
      <c r="Z41" s="140">
        <f t="shared" si="7"/>
        <v>0</v>
      </c>
      <c r="AB41" s="139">
        <f>IF(Data_Override!U41="",Data!U41,Data_Override!U41)</f>
        <v>0</v>
      </c>
      <c r="AC41" s="139">
        <f>IF(Data_Override!V41="",Data!V41,Data_Override!V41)</f>
        <v>0</v>
      </c>
      <c r="AD41" s="139">
        <f>IF(Data_Override!W41="",Data!W41,Data_Override!W41)</f>
        <v>0</v>
      </c>
    </row>
    <row r="42" spans="1:30" hidden="1" x14ac:dyDescent="0.2">
      <c r="A42" s="141" t="s">
        <v>150</v>
      </c>
      <c r="B42" s="142" t="s">
        <v>32</v>
      </c>
      <c r="C42" s="142" t="s">
        <v>70</v>
      </c>
      <c r="D42" s="19" t="str">
        <f t="shared" si="12"/>
        <v>18</v>
      </c>
      <c r="E42" s="139">
        <f>IF(Data_Override!D42="",Data!D42,Data_Override!D42)</f>
        <v>0.80757541674</v>
      </c>
      <c r="F42" s="139">
        <f>IF(Data_Override!E42="",Data!E42,Data_Override!E42)</f>
        <v>0</v>
      </c>
      <c r="G42" s="139">
        <f>IF(Data_Override!F42="",Data!F42,Data_Override!F42)</f>
        <v>80.262070156463395</v>
      </c>
      <c r="H42" s="139">
        <f>IF(Data_Override!G42="",Data!G42,Data_Override!G42)</f>
        <v>0</v>
      </c>
      <c r="I42" s="140">
        <f t="shared" si="13"/>
        <v>0.80757541674</v>
      </c>
      <c r="J42" s="140">
        <f t="shared" si="14"/>
        <v>80.262070156463395</v>
      </c>
      <c r="L42" s="139">
        <f>IF(Data_Override!I42="",Data!I42,Data_Override!I42)</f>
        <v>0.87565898616515803</v>
      </c>
      <c r="M42" s="139">
        <f>IF(Data_Override!J42="",Data!J42,Data_Override!J42)</f>
        <v>0</v>
      </c>
      <c r="N42" s="139">
        <f>IF(Data_Override!K42="",Data!K42,Data_Override!K42)</f>
        <v>0</v>
      </c>
      <c r="O42" s="139">
        <f>IF(Data_Override!L42="",Data!L42,Data_Override!L42)</f>
        <v>0</v>
      </c>
      <c r="P42" s="140">
        <f t="shared" si="8"/>
        <v>0.87565898616515803</v>
      </c>
      <c r="Q42" s="140">
        <f t="shared" si="9"/>
        <v>0</v>
      </c>
      <c r="S42" s="139">
        <f>IF(Data_Override!N42="",Data!N42,Data_Override!N42)</f>
        <v>601.49757264262496</v>
      </c>
      <c r="U42" s="139">
        <f>IF(Data_Override!P42="",Data!P42,Data_Override!P42)</f>
        <v>3</v>
      </c>
      <c r="V42" s="139">
        <f>IF(Data_Override!Q42="",Data!Q42,Data_Override!Q42)</f>
        <v>3</v>
      </c>
      <c r="W42" s="139">
        <f>IF(Data_Override!R42="",Data!R42,Data_Override!R42)</f>
        <v>0</v>
      </c>
      <c r="X42" s="139">
        <f>IF(Data_Override!S42="",Data!S42,Data_Override!S42)</f>
        <v>0</v>
      </c>
      <c r="Y42" s="140">
        <f t="shared" si="6"/>
        <v>3</v>
      </c>
      <c r="Z42" s="140">
        <f t="shared" si="7"/>
        <v>0</v>
      </c>
      <c r="AB42" s="139">
        <f>IF(Data_Override!U42="",Data!U42,Data_Override!U42)</f>
        <v>453.52</v>
      </c>
      <c r="AC42" s="139">
        <f>IF(Data_Override!V42="",Data!V42,Data_Override!V42)</f>
        <v>42102.877915341996</v>
      </c>
      <c r="AD42" s="139">
        <f>IF(Data_Override!W42="",Data!W42,Data_Override!W42)</f>
        <v>3313.1869999999999</v>
      </c>
    </row>
    <row r="43" spans="1:30" hidden="1" x14ac:dyDescent="0.2">
      <c r="A43" s="141" t="s">
        <v>151</v>
      </c>
      <c r="B43" s="142" t="s">
        <v>32</v>
      </c>
      <c r="C43" s="142" t="s">
        <v>71</v>
      </c>
      <c r="D43" s="19" t="str">
        <f t="shared" si="12"/>
        <v>19</v>
      </c>
      <c r="E43" s="139">
        <f>IF(Data_Override!D43="",Data!D43,Data_Override!D43)</f>
        <v>0.35548024774610198</v>
      </c>
      <c r="F43" s="139">
        <f>IF(Data_Override!E43="",Data!E43,Data_Override!E43)</f>
        <v>0</v>
      </c>
      <c r="G43" s="139">
        <f>IF(Data_Override!F43="",Data!F43,Data_Override!F43)</f>
        <v>94.367314206244302</v>
      </c>
      <c r="H43" s="139">
        <f>IF(Data_Override!G43="",Data!G43,Data_Override!G43)</f>
        <v>0</v>
      </c>
      <c r="I43" s="140">
        <f t="shared" si="13"/>
        <v>0.35548024774610198</v>
      </c>
      <c r="J43" s="140">
        <f t="shared" si="14"/>
        <v>94.367314206244302</v>
      </c>
      <c r="L43" s="139">
        <f>IF(Data_Override!I43="",Data!I43,Data_Override!I43)</f>
        <v>0.90742003881129096</v>
      </c>
      <c r="M43" s="139">
        <f>IF(Data_Override!J43="",Data!J43,Data_Override!J43)</f>
        <v>0</v>
      </c>
      <c r="N43" s="139">
        <f>IF(Data_Override!K43="",Data!K43,Data_Override!K43)</f>
        <v>0</v>
      </c>
      <c r="O43" s="139">
        <f>IF(Data_Override!L43="",Data!L43,Data_Override!L43)</f>
        <v>0</v>
      </c>
      <c r="P43" s="140">
        <f t="shared" si="8"/>
        <v>0.90742003881129096</v>
      </c>
      <c r="Q43" s="140">
        <f t="shared" si="9"/>
        <v>0</v>
      </c>
      <c r="S43" s="139">
        <f>IF(Data_Override!N43="",Data!N43,Data_Override!N43)</f>
        <v>621.85288548097799</v>
      </c>
      <c r="U43" s="139">
        <f>IF(Data_Override!P43="",Data!P43,Data_Override!P43)</f>
        <v>0</v>
      </c>
      <c r="V43" s="139">
        <f>IF(Data_Override!Q43="",Data!Q43,Data_Override!Q43)</f>
        <v>0</v>
      </c>
      <c r="W43" s="139">
        <f>IF(Data_Override!R43="",Data!R43,Data_Override!R43)</f>
        <v>0</v>
      </c>
      <c r="X43" s="139">
        <f>IF(Data_Override!S43="",Data!S43,Data_Override!S43)</f>
        <v>0</v>
      </c>
      <c r="Y43" s="140">
        <f t="shared" si="6"/>
        <v>0</v>
      </c>
      <c r="Z43" s="140">
        <f t="shared" si="7"/>
        <v>0</v>
      </c>
      <c r="AB43" s="139">
        <f>IF(Data_Override!U43="",Data!U43,Data_Override!U43)</f>
        <v>448.23</v>
      </c>
      <c r="AC43" s="139">
        <f>IF(Data_Override!V43="",Data!V43,Data_Override!V43)</f>
        <v>42261.9570552</v>
      </c>
      <c r="AD43" s="139">
        <f>IF(Data_Override!W43="",Data!W43,Data_Override!W43)</f>
        <v>3333.5829862270598</v>
      </c>
    </row>
    <row r="44" spans="1:30" hidden="1" x14ac:dyDescent="0.2">
      <c r="A44" s="141" t="s">
        <v>152</v>
      </c>
      <c r="B44" s="142" t="s">
        <v>32</v>
      </c>
      <c r="C44" s="142" t="s">
        <v>72</v>
      </c>
      <c r="D44" s="19" t="str">
        <f t="shared" si="12"/>
        <v>20</v>
      </c>
      <c r="E44" s="139">
        <f>IF(Data_Override!D44="",Data!D44,Data_Override!D44)</f>
        <v>0</v>
      </c>
      <c r="F44" s="139">
        <f>IF(Data_Override!E44="",Data!E44,Data_Override!E44)</f>
        <v>0</v>
      </c>
      <c r="G44" s="139">
        <f>IF(Data_Override!F44="",Data!F44,Data_Override!F44)</f>
        <v>47.5335069226577</v>
      </c>
      <c r="H44" s="139">
        <f>IF(Data_Override!G44="",Data!G44,Data_Override!G44)</f>
        <v>0</v>
      </c>
      <c r="I44" s="140">
        <f t="shared" si="13"/>
        <v>0</v>
      </c>
      <c r="J44" s="140">
        <f t="shared" si="14"/>
        <v>47.5335069226577</v>
      </c>
      <c r="L44" s="139">
        <f>IF(Data_Override!I44="",Data!I44,Data_Override!I44)</f>
        <v>0.94892594311883904</v>
      </c>
      <c r="M44" s="139">
        <f>IF(Data_Override!J44="",Data!J44,Data_Override!J44)</f>
        <v>0</v>
      </c>
      <c r="N44" s="139">
        <f>IF(Data_Override!K44="",Data!K44,Data_Override!K44)</f>
        <v>0</v>
      </c>
      <c r="O44" s="139">
        <f>IF(Data_Override!L44="",Data!L44,Data_Override!L44)</f>
        <v>0</v>
      </c>
      <c r="P44" s="140">
        <f t="shared" si="8"/>
        <v>0.94892594311883904</v>
      </c>
      <c r="Q44" s="140">
        <f t="shared" si="9"/>
        <v>0</v>
      </c>
      <c r="S44" s="139">
        <f>IF(Data_Override!N44="",Data!N44,Data_Override!N44)</f>
        <v>528.17222096499495</v>
      </c>
      <c r="U44" s="139">
        <f>IF(Data_Override!P44="",Data!P44,Data_Override!P44)</f>
        <v>0</v>
      </c>
      <c r="V44" s="139">
        <f>IF(Data_Override!Q44="",Data!Q44,Data_Override!Q44)</f>
        <v>0</v>
      </c>
      <c r="W44" s="139">
        <f>IF(Data_Override!R44="",Data!R44,Data_Override!R44)</f>
        <v>0</v>
      </c>
      <c r="X44" s="139">
        <f>IF(Data_Override!S44="",Data!S44,Data_Override!S44)</f>
        <v>0</v>
      </c>
      <c r="Y44" s="140">
        <f t="shared" si="6"/>
        <v>0</v>
      </c>
      <c r="Z44" s="140">
        <f t="shared" si="7"/>
        <v>0</v>
      </c>
      <c r="AB44" s="139">
        <f>IF(Data_Override!U44="",Data!U44,Data_Override!U44)</f>
        <v>448.23</v>
      </c>
      <c r="AC44" s="139">
        <f>IF(Data_Override!V44="",Data!V44,Data_Override!V44)</f>
        <v>42376.019600599997</v>
      </c>
      <c r="AD44" s="139">
        <f>IF(Data_Override!W44="",Data!W44,Data_Override!W44)</f>
        <v>3353.7589060355399</v>
      </c>
    </row>
    <row r="45" spans="1:30" x14ac:dyDescent="0.2">
      <c r="A45" s="141" t="s">
        <v>153</v>
      </c>
      <c r="B45" s="142" t="s">
        <v>32</v>
      </c>
      <c r="C45" s="142" t="s">
        <v>73</v>
      </c>
      <c r="D45" s="19" t="str">
        <f t="shared" si="12"/>
        <v>21</v>
      </c>
      <c r="E45" s="139">
        <f>IF(Data_Override!D45="",Data!D45,Data_Override!D45)</f>
        <v>0</v>
      </c>
      <c r="F45" s="139">
        <f>IF(Data_Override!E45="",Data!E45,Data_Override!E45)</f>
        <v>0</v>
      </c>
      <c r="G45" s="139">
        <f>IF(Data_Override!F45="",Data!F45,Data_Override!F45)</f>
        <v>27.240200000000002</v>
      </c>
      <c r="H45" s="139">
        <f>IF(Data_Override!G45="",Data!G45,Data_Override!G45)</f>
        <v>0</v>
      </c>
      <c r="I45" s="140">
        <f t="shared" si="13"/>
        <v>0</v>
      </c>
      <c r="J45" s="140">
        <f t="shared" si="14"/>
        <v>27.240200000000002</v>
      </c>
      <c r="L45" s="139">
        <f>IF(Data_Override!I45="",Data!I45,Data_Override!I45)</f>
        <v>2.5999999999999999E-2</v>
      </c>
      <c r="M45" s="139">
        <f>IF(Data_Override!J45="",Data!J45,Data_Override!J45)</f>
        <v>0</v>
      </c>
      <c r="N45" s="139">
        <f>IF(Data_Override!K45="",Data!K45,Data_Override!K45)</f>
        <v>0</v>
      </c>
      <c r="O45" s="139">
        <f>IF(Data_Override!L45="",Data!L45,Data_Override!L45)</f>
        <v>0.20580277314335399</v>
      </c>
      <c r="P45" s="140">
        <f t="shared" si="8"/>
        <v>2.5999999999999999E-2</v>
      </c>
      <c r="Q45" s="140">
        <f t="shared" si="9"/>
        <v>0.20580277314335399</v>
      </c>
      <c r="S45" s="139">
        <f>IF(Data_Override!N45="",Data!N45,Data_Override!N45)</f>
        <v>546.91416406629901</v>
      </c>
      <c r="U45" s="139">
        <f>IF(Data_Override!P45="",Data!P45,Data_Override!P45)</f>
        <v>0</v>
      </c>
      <c r="V45" s="139">
        <f>IF(Data_Override!Q45="",Data!Q45,Data_Override!Q45)</f>
        <v>0</v>
      </c>
      <c r="W45" s="139">
        <f>IF(Data_Override!R45="",Data!R45,Data_Override!R45)</f>
        <v>0</v>
      </c>
      <c r="X45" s="139">
        <f>IF(Data_Override!S45="",Data!S45,Data_Override!S45)</f>
        <v>0</v>
      </c>
      <c r="Y45" s="140">
        <f t="shared" si="6"/>
        <v>0</v>
      </c>
      <c r="Z45" s="140">
        <f t="shared" si="7"/>
        <v>0</v>
      </c>
      <c r="AB45" s="139">
        <f>IF(Data_Override!U45="",Data!U45,Data_Override!U45)</f>
        <v>448.23</v>
      </c>
      <c r="AC45" s="139">
        <f>IF(Data_Override!V45="",Data!V45,Data_Override!V45)</f>
        <v>42481.143851399996</v>
      </c>
      <c r="AD45" s="139">
        <f>IF(Data_Override!W45="",Data!W45,Data_Override!W45)</f>
        <v>3375.88271194356</v>
      </c>
    </row>
    <row r="46" spans="1:30" x14ac:dyDescent="0.2">
      <c r="A46" s="141" t="s">
        <v>154</v>
      </c>
      <c r="B46" s="142" t="s">
        <v>32</v>
      </c>
      <c r="C46" s="142" t="s">
        <v>74</v>
      </c>
      <c r="D46" s="19" t="str">
        <f t="shared" si="12"/>
        <v>22</v>
      </c>
      <c r="E46" s="139">
        <f>IF(Data_Override!D46="",Data!D46,Data_Override!D46)</f>
        <v>0</v>
      </c>
      <c r="F46" s="139">
        <f>IF(Data_Override!E46="",Data!E46,Data_Override!E46)</f>
        <v>0</v>
      </c>
      <c r="G46" s="139">
        <f>IF(Data_Override!F46="",Data!F46,Data_Override!F46)</f>
        <v>22.2804</v>
      </c>
      <c r="H46" s="139">
        <f>IF(Data_Override!G46="",Data!G46,Data_Override!G46)</f>
        <v>0</v>
      </c>
      <c r="I46" s="140">
        <f t="shared" si="13"/>
        <v>0</v>
      </c>
      <c r="J46" s="140">
        <f t="shared" si="14"/>
        <v>22.2804</v>
      </c>
      <c r="L46" s="139">
        <f>IF(Data_Override!I46="",Data!I46,Data_Override!I46)</f>
        <v>2.7E-2</v>
      </c>
      <c r="M46" s="139">
        <f>IF(Data_Override!J46="",Data!J46,Data_Override!J46)</f>
        <v>0</v>
      </c>
      <c r="N46" s="139">
        <f>IF(Data_Override!K46="",Data!K46,Data_Override!K46)</f>
        <v>0</v>
      </c>
      <c r="O46" s="139">
        <f>IF(Data_Override!L46="",Data!L46,Data_Override!L46)</f>
        <v>0.20681161026660499</v>
      </c>
      <c r="P46" s="140">
        <f t="shared" si="8"/>
        <v>2.7E-2</v>
      </c>
      <c r="Q46" s="140">
        <f t="shared" si="9"/>
        <v>0.20681161026660499</v>
      </c>
      <c r="S46" s="139">
        <f>IF(Data_Override!N46="",Data!N46,Data_Override!N46)</f>
        <v>511.02602983742503</v>
      </c>
      <c r="U46" s="139">
        <f>IF(Data_Override!P46="",Data!P46,Data_Override!P46)</f>
        <v>0</v>
      </c>
      <c r="V46" s="139">
        <f>IF(Data_Override!Q46="",Data!Q46,Data_Override!Q46)</f>
        <v>0</v>
      </c>
      <c r="W46" s="139">
        <f>IF(Data_Override!R46="",Data!R46,Data_Override!R46)</f>
        <v>8.93454535198663</v>
      </c>
      <c r="X46" s="139">
        <f>IF(Data_Override!S46="",Data!S46,Data_Override!S46)</f>
        <v>8.93454535198663</v>
      </c>
      <c r="Y46" s="140">
        <f t="shared" si="6"/>
        <v>0</v>
      </c>
      <c r="Z46" s="140">
        <f t="shared" si="7"/>
        <v>8.93454535198663</v>
      </c>
      <c r="AB46" s="139">
        <f>IF(Data_Override!U46="",Data!U46,Data_Override!U46)</f>
        <v>439.27</v>
      </c>
      <c r="AC46" s="139">
        <f>IF(Data_Override!V46="",Data!V46,Data_Override!V46)</f>
        <v>42549.292057958002</v>
      </c>
      <c r="AD46" s="139">
        <f>IF(Data_Override!W46="",Data!W46,Data_Override!W46)</f>
        <v>3399.56608462738</v>
      </c>
    </row>
    <row r="47" spans="1:30" x14ac:dyDescent="0.2">
      <c r="A47" s="141" t="s">
        <v>155</v>
      </c>
      <c r="B47" s="142" t="s">
        <v>32</v>
      </c>
      <c r="C47" s="142" t="s">
        <v>75</v>
      </c>
      <c r="D47" s="19" t="str">
        <f t="shared" si="12"/>
        <v>23</v>
      </c>
      <c r="E47" s="139">
        <f>IF(Data_Override!D47="",Data!D47,Data_Override!D47)</f>
        <v>0</v>
      </c>
      <c r="F47" s="139">
        <f>IF(Data_Override!E47="",Data!E47,Data_Override!E47)</f>
        <v>0</v>
      </c>
      <c r="G47" s="139">
        <f>IF(Data_Override!F47="",Data!F47,Data_Override!F47)</f>
        <v>0.48</v>
      </c>
      <c r="H47" s="139">
        <f>IF(Data_Override!G47="",Data!G47,Data_Override!G47)</f>
        <v>0</v>
      </c>
      <c r="I47" s="140">
        <f t="shared" si="13"/>
        <v>0</v>
      </c>
      <c r="J47" s="140">
        <f t="shared" si="14"/>
        <v>0.48</v>
      </c>
      <c r="L47" s="139">
        <f>IF(Data_Override!I47="",Data!I47,Data_Override!I47)</f>
        <v>3.3000000000000002E-2</v>
      </c>
      <c r="M47" s="139">
        <f>IF(Data_Override!J47="",Data!J47,Data_Override!J47)</f>
        <v>0</v>
      </c>
      <c r="N47" s="139">
        <f>IF(Data_Override!K47="",Data!K47,Data_Override!K47)</f>
        <v>0</v>
      </c>
      <c r="O47" s="139">
        <f>IF(Data_Override!L47="",Data!L47,Data_Override!L47)</f>
        <v>0.20731850146823899</v>
      </c>
      <c r="P47" s="140">
        <f t="shared" si="8"/>
        <v>3.3000000000000002E-2</v>
      </c>
      <c r="Q47" s="140">
        <f t="shared" si="9"/>
        <v>0.20731850146823899</v>
      </c>
      <c r="S47" s="139">
        <f>IF(Data_Override!N47="",Data!N47,Data_Override!N47)</f>
        <v>491.88321983896702</v>
      </c>
      <c r="U47" s="139">
        <f>IF(Data_Override!P47="",Data!P47,Data_Override!P47)</f>
        <v>0</v>
      </c>
      <c r="V47" s="139">
        <f>IF(Data_Override!Q47="",Data!Q47,Data_Override!Q47)</f>
        <v>0</v>
      </c>
      <c r="W47" s="139">
        <f>IF(Data_Override!R47="",Data!R47,Data_Override!R47)</f>
        <v>8.9700000000000006</v>
      </c>
      <c r="X47" s="139">
        <f>IF(Data_Override!S47="",Data!S47,Data_Override!S47)</f>
        <v>8.9700000000000006</v>
      </c>
      <c r="Y47" s="140">
        <f t="shared" si="6"/>
        <v>0</v>
      </c>
      <c r="Z47" s="140">
        <f t="shared" si="7"/>
        <v>8.9700000000000006</v>
      </c>
      <c r="AB47" s="139">
        <f>IF(Data_Override!U47="",Data!U47,Data_Override!U47)</f>
        <v>430.3</v>
      </c>
      <c r="AC47" s="139">
        <f>IF(Data_Override!V47="",Data!V47,Data_Override!V47)</f>
        <v>42646.892057958001</v>
      </c>
      <c r="AD47" s="139">
        <f>IF(Data_Override!W47="",Data!W47,Data_Override!W47)</f>
        <v>3423.7950089276501</v>
      </c>
    </row>
    <row r="48" spans="1:30" x14ac:dyDescent="0.2">
      <c r="A48" s="141" t="s">
        <v>156</v>
      </c>
      <c r="B48" s="142" t="s">
        <v>32</v>
      </c>
      <c r="C48" s="142" t="s">
        <v>76</v>
      </c>
      <c r="D48" s="19" t="str">
        <f t="shared" si="12"/>
        <v>24</v>
      </c>
      <c r="E48" s="139">
        <f>IF(Data_Override!D48="",Data!D48,Data_Override!D48)</f>
        <v>0</v>
      </c>
      <c r="F48" s="139">
        <f>IF(Data_Override!E48="",Data!E48,Data_Override!E48)</f>
        <v>0</v>
      </c>
      <c r="G48" s="139">
        <f>IF(Data_Override!F48="",Data!F48,Data_Override!F48)</f>
        <v>0</v>
      </c>
      <c r="H48" s="139">
        <f>IF(Data_Override!G48="",Data!G48,Data_Override!G48)</f>
        <v>0</v>
      </c>
      <c r="I48" s="140">
        <f t="shared" si="13"/>
        <v>0</v>
      </c>
      <c r="J48" s="140">
        <f t="shared" si="14"/>
        <v>0</v>
      </c>
      <c r="L48" s="139">
        <f>IF(Data_Override!I48="",Data!I48,Data_Override!I48)</f>
        <v>3.9E-2</v>
      </c>
      <c r="M48" s="139">
        <f>IF(Data_Override!J48="",Data!J48,Data_Override!J48)</f>
        <v>0</v>
      </c>
      <c r="N48" s="139">
        <f>IF(Data_Override!K48="",Data!K48,Data_Override!K48)</f>
        <v>0</v>
      </c>
      <c r="O48" s="139">
        <f>IF(Data_Override!L48="",Data!L48,Data_Override!L48)</f>
        <v>0.20731850146823899</v>
      </c>
      <c r="P48" s="140">
        <f t="shared" si="8"/>
        <v>3.9E-2</v>
      </c>
      <c r="Q48" s="140">
        <f t="shared" si="9"/>
        <v>0.20731850146823899</v>
      </c>
      <c r="S48" s="139">
        <f>IF(Data_Override!N48="",Data!N48,Data_Override!N48)</f>
        <v>466.261810421863</v>
      </c>
      <c r="U48" s="139">
        <f>IF(Data_Override!P48="",Data!P48,Data_Override!P48)</f>
        <v>0</v>
      </c>
      <c r="V48" s="139">
        <f>IF(Data_Override!Q48="",Data!Q48,Data_Override!Q48)</f>
        <v>0</v>
      </c>
      <c r="W48" s="139">
        <f>IF(Data_Override!R48="",Data!R48,Data_Override!R48)</f>
        <v>13.45</v>
      </c>
      <c r="X48" s="139">
        <f>IF(Data_Override!S48="",Data!S48,Data_Override!S48)</f>
        <v>13.45</v>
      </c>
      <c r="Y48" s="140">
        <f t="shared" si="6"/>
        <v>0</v>
      </c>
      <c r="Z48" s="140">
        <f t="shared" si="7"/>
        <v>13.45</v>
      </c>
      <c r="AB48" s="139">
        <f>IF(Data_Override!U48="",Data!U48,Data_Override!U48)</f>
        <v>416.85</v>
      </c>
      <c r="AC48" s="139">
        <f>IF(Data_Override!V48="",Data!V48,Data_Override!V48)</f>
        <v>42744.592057957998</v>
      </c>
      <c r="AD48" s="139">
        <f>IF(Data_Override!W48="",Data!W48,Data_Override!W48)</f>
        <v>3449.11040733761</v>
      </c>
    </row>
    <row r="49" spans="1:30" x14ac:dyDescent="0.2">
      <c r="A49" s="141" t="s">
        <v>157</v>
      </c>
      <c r="B49" s="142" t="s">
        <v>32</v>
      </c>
      <c r="C49" s="142" t="s">
        <v>24</v>
      </c>
      <c r="D49" s="19" t="str">
        <f t="shared" si="12"/>
        <v>25</v>
      </c>
      <c r="E49" s="139">
        <f>IF(Data_Override!D49="",Data!D49,Data_Override!D49)</f>
        <v>0</v>
      </c>
      <c r="F49" s="139">
        <f>IF(Data_Override!E49="",Data!E49,Data_Override!E49)</f>
        <v>0</v>
      </c>
      <c r="G49" s="139">
        <f>IF(Data_Override!F49="",Data!F49,Data_Override!F49)</f>
        <v>0</v>
      </c>
      <c r="H49" s="139">
        <f>IF(Data_Override!G49="",Data!G49,Data_Override!G49)</f>
        <v>0</v>
      </c>
      <c r="I49" s="140">
        <f t="shared" si="13"/>
        <v>0</v>
      </c>
      <c r="J49" s="140">
        <f t="shared" si="14"/>
        <v>0</v>
      </c>
      <c r="L49" s="139">
        <f>IF(Data_Override!I49="",Data!I49,Data_Override!I49)</f>
        <v>4.5999999999999999E-2</v>
      </c>
      <c r="M49" s="139">
        <f>IF(Data_Override!J49="",Data!J49,Data_Override!J49)</f>
        <v>0</v>
      </c>
      <c r="N49" s="139">
        <f>IF(Data_Override!K49="",Data!K49,Data_Override!K49)</f>
        <v>0</v>
      </c>
      <c r="O49" s="139">
        <f>IF(Data_Override!L49="",Data!L49,Data_Override!L49)</f>
        <v>0.20731850146823899</v>
      </c>
      <c r="P49" s="140">
        <f t="shared" si="8"/>
        <v>4.5999999999999999E-2</v>
      </c>
      <c r="Q49" s="140">
        <f t="shared" si="9"/>
        <v>0.20731850146823899</v>
      </c>
      <c r="S49" s="139">
        <f>IF(Data_Override!N49="",Data!N49,Data_Override!N49)</f>
        <v>461.41828629616703</v>
      </c>
      <c r="U49" s="139">
        <f>IF(Data_Override!P49="",Data!P49,Data_Override!P49)</f>
        <v>0</v>
      </c>
      <c r="V49" s="139">
        <f>IF(Data_Override!Q49="",Data!Q49,Data_Override!Q49)</f>
        <v>0</v>
      </c>
      <c r="W49" s="139">
        <f>IF(Data_Override!R49="",Data!R49,Data_Override!R49)</f>
        <v>35.85</v>
      </c>
      <c r="X49" s="139">
        <f>IF(Data_Override!S49="",Data!S49,Data_Override!S49)</f>
        <v>35.85</v>
      </c>
      <c r="Y49" s="140">
        <f t="shared" si="6"/>
        <v>0</v>
      </c>
      <c r="Z49" s="140">
        <f t="shared" si="7"/>
        <v>35.85</v>
      </c>
      <c r="AB49" s="139">
        <f>IF(Data_Override!U49="",Data!U49,Data_Override!U49)</f>
        <v>381</v>
      </c>
      <c r="AC49" s="139">
        <f>IF(Data_Override!V49="",Data!V49,Data_Override!V49)</f>
        <v>42842.292057958002</v>
      </c>
      <c r="AD49" s="139">
        <f>IF(Data_Override!W49="",Data!W49,Data_Override!W49)</f>
        <v>3475.50235997355</v>
      </c>
    </row>
    <row r="50" spans="1:30" hidden="1" x14ac:dyDescent="0.2">
      <c r="A50" s="138" t="str">
        <f t="shared" ref="A50" si="15">B50&amp;RIGHT(C50,2)</f>
        <v>SRN12</v>
      </c>
      <c r="B50" s="19" t="s">
        <v>30</v>
      </c>
      <c r="C50" s="143" t="s">
        <v>64</v>
      </c>
      <c r="D50" s="19" t="str">
        <f t="shared" si="12"/>
        <v>12</v>
      </c>
      <c r="E50" s="139">
        <f>IF(Data_Override!D50="",Data!D50,Data_Override!D50)</f>
        <v>0</v>
      </c>
      <c r="F50" s="139">
        <f>IF(Data_Override!E50="",Data!E50,Data_Override!E50)</f>
        <v>0.50722399929309803</v>
      </c>
      <c r="G50" s="139">
        <f>IF(Data_Override!F50="",Data!F50,Data_Override!F50)</f>
        <v>0</v>
      </c>
      <c r="H50" s="139">
        <f>IF(Data_Override!G50="",Data!G50,Data_Override!G50)</f>
        <v>32.628095431651502</v>
      </c>
      <c r="I50" s="140">
        <f t="shared" si="13"/>
        <v>0.50722399929309803</v>
      </c>
      <c r="J50" s="140">
        <f t="shared" si="14"/>
        <v>32.628095431651502</v>
      </c>
      <c r="L50" s="139">
        <f>IF(Data_Override!I50="",Data!I50,Data_Override!I50)</f>
        <v>0</v>
      </c>
      <c r="M50" s="139">
        <f>IF(Data_Override!J50="",Data!J50,Data_Override!J50)</f>
        <v>0</v>
      </c>
      <c r="N50" s="139">
        <f>IF(Data_Override!K50="",Data!K50,Data_Override!K50)</f>
        <v>0</v>
      </c>
      <c r="O50" s="139">
        <f>IF(Data_Override!L50="",Data!L50,Data_Override!L50)</f>
        <v>0</v>
      </c>
      <c r="P50" s="140">
        <f t="shared" ref="P50:P81" si="16">IFERROR(SUM(L50:M50),"")</f>
        <v>0</v>
      </c>
      <c r="Q50" s="140">
        <f t="shared" ref="Q50:Q81" si="17">IFERROR(SUM(N50:O50),"")</f>
        <v>0</v>
      </c>
      <c r="S50" s="139">
        <f>IF(Data_Override!N50="",Data!N50,Data_Override!N50)</f>
        <v>208.08524522100399</v>
      </c>
      <c r="U50" s="139">
        <f>IF(Data_Override!P50="",Data!P50,Data_Override!P50)</f>
        <v>0</v>
      </c>
      <c r="V50" s="139">
        <f>IF(Data_Override!Q50="",Data!Q50,Data_Override!Q50)</f>
        <v>0</v>
      </c>
      <c r="W50" s="139">
        <f>IF(Data_Override!R50="",Data!R50,Data_Override!R50)</f>
        <v>0</v>
      </c>
      <c r="X50" s="139">
        <f>IF(Data_Override!S50="",Data!S50,Data_Override!S50)</f>
        <v>0</v>
      </c>
      <c r="Y50" s="140">
        <f t="shared" ref="Y50:Y80" si="18">IFERROR(MAX(U50,V50),"")</f>
        <v>0</v>
      </c>
      <c r="Z50" s="140">
        <f t="shared" ref="Z50:Z80" si="19">IFERROR(MAX(W50,X50),"")</f>
        <v>0</v>
      </c>
      <c r="AB50" s="139">
        <f>IF(Data_Override!U50="",Data!U50,Data_Override!U50)</f>
        <v>0</v>
      </c>
      <c r="AC50" s="139">
        <f>IF(Data_Override!V50="",Data!V50,Data_Override!V50)</f>
        <v>0</v>
      </c>
      <c r="AD50" s="139">
        <f>IF(Data_Override!W50="",Data!W50,Data_Override!W50)</f>
        <v>0</v>
      </c>
    </row>
    <row r="51" spans="1:30" hidden="1" x14ac:dyDescent="0.2">
      <c r="A51" s="138" t="str">
        <f>B51&amp;RIGHT(C51,2)</f>
        <v>SRN13</v>
      </c>
      <c r="B51" s="19" t="s">
        <v>30</v>
      </c>
      <c r="C51" s="143" t="s">
        <v>65</v>
      </c>
      <c r="D51" s="19" t="str">
        <f t="shared" si="12"/>
        <v>13</v>
      </c>
      <c r="E51" s="139">
        <f>IF(Data_Override!D51="",Data!D51,Data_Override!D51)</f>
        <v>0</v>
      </c>
      <c r="F51" s="139">
        <f>IF(Data_Override!E51="",Data!E51,Data_Override!E51)</f>
        <v>1.48798740293356</v>
      </c>
      <c r="G51" s="139">
        <f>IF(Data_Override!F51="",Data!F51,Data_Override!F51)</f>
        <v>0</v>
      </c>
      <c r="H51" s="139">
        <f>IF(Data_Override!G51="",Data!G51,Data_Override!G51)</f>
        <v>33.964742191544403</v>
      </c>
      <c r="I51" s="140">
        <f t="shared" si="13"/>
        <v>1.48798740293356</v>
      </c>
      <c r="J51" s="140">
        <f t="shared" si="14"/>
        <v>33.964742191544403</v>
      </c>
      <c r="L51" s="139">
        <f>IF(Data_Override!I51="",Data!I51,Data_Override!I51)</f>
        <v>0</v>
      </c>
      <c r="M51" s="139">
        <f>IF(Data_Override!J51="",Data!J51,Data_Override!J51)</f>
        <v>0</v>
      </c>
      <c r="N51" s="139">
        <f>IF(Data_Override!K51="",Data!K51,Data_Override!K51)</f>
        <v>0</v>
      </c>
      <c r="O51" s="139">
        <f>IF(Data_Override!L51="",Data!L51,Data_Override!L51)</f>
        <v>0</v>
      </c>
      <c r="P51" s="140">
        <f t="shared" si="16"/>
        <v>0</v>
      </c>
      <c r="Q51" s="140">
        <f t="shared" si="17"/>
        <v>0</v>
      </c>
      <c r="S51" s="139">
        <f>IF(Data_Override!N51="",Data!N51,Data_Override!N51)</f>
        <v>162.44073223190401</v>
      </c>
      <c r="U51" s="139">
        <f>IF(Data_Override!P51="",Data!P51,Data_Override!P51)</f>
        <v>0</v>
      </c>
      <c r="V51" s="139">
        <f>IF(Data_Override!Q51="",Data!Q51,Data_Override!Q51)</f>
        <v>0</v>
      </c>
      <c r="W51" s="139">
        <f>IF(Data_Override!R51="",Data!R51,Data_Override!R51)</f>
        <v>0</v>
      </c>
      <c r="X51" s="139">
        <f>IF(Data_Override!S51="",Data!S51,Data_Override!S51)</f>
        <v>0</v>
      </c>
      <c r="Y51" s="140">
        <f t="shared" si="18"/>
        <v>0</v>
      </c>
      <c r="Z51" s="140">
        <f t="shared" si="19"/>
        <v>0</v>
      </c>
      <c r="AB51" s="139">
        <f>IF(Data_Override!U51="",Data!U51,Data_Override!U51)</f>
        <v>0</v>
      </c>
      <c r="AC51" s="139">
        <f>IF(Data_Override!V51="",Data!V51,Data_Override!V51)</f>
        <v>0</v>
      </c>
      <c r="AD51" s="139">
        <f>IF(Data_Override!W51="",Data!W51,Data_Override!W51)</f>
        <v>0</v>
      </c>
    </row>
    <row r="52" spans="1:30" hidden="1" x14ac:dyDescent="0.2">
      <c r="A52" s="138" t="str">
        <f>B52&amp;RIGHT(C52,2)</f>
        <v>SRN14</v>
      </c>
      <c r="B52" s="19" t="s">
        <v>30</v>
      </c>
      <c r="C52" s="143" t="s">
        <v>66</v>
      </c>
      <c r="D52" s="19" t="str">
        <f t="shared" si="12"/>
        <v>14</v>
      </c>
      <c r="E52" s="139">
        <f>IF(Data_Override!D52="",Data!D52,Data_Override!D52)</f>
        <v>0</v>
      </c>
      <c r="F52" s="139">
        <f>IF(Data_Override!E52="",Data!E52,Data_Override!E52)</f>
        <v>0.80646365787694396</v>
      </c>
      <c r="G52" s="139">
        <f>IF(Data_Override!F52="",Data!F52,Data_Override!F52)</f>
        <v>0</v>
      </c>
      <c r="H52" s="139">
        <f>IF(Data_Override!G52="",Data!G52,Data_Override!G52)</f>
        <v>30.085427991886402</v>
      </c>
      <c r="I52" s="140">
        <f t="shared" si="13"/>
        <v>0.80646365787694396</v>
      </c>
      <c r="J52" s="140">
        <f t="shared" si="14"/>
        <v>30.085427991886402</v>
      </c>
      <c r="L52" s="139">
        <f>IF(Data_Override!I52="",Data!I52,Data_Override!I52)</f>
        <v>0</v>
      </c>
      <c r="M52" s="139">
        <f>IF(Data_Override!J52="",Data!J52,Data_Override!J52)</f>
        <v>0</v>
      </c>
      <c r="N52" s="139">
        <f>IF(Data_Override!K52="",Data!K52,Data_Override!K52)</f>
        <v>0</v>
      </c>
      <c r="O52" s="139">
        <f>IF(Data_Override!L52="",Data!L52,Data_Override!L52)</f>
        <v>0</v>
      </c>
      <c r="P52" s="140">
        <f t="shared" si="16"/>
        <v>0</v>
      </c>
      <c r="Q52" s="140">
        <f t="shared" si="17"/>
        <v>0</v>
      </c>
      <c r="S52" s="139">
        <f>IF(Data_Override!N52="",Data!N52,Data_Override!N52)</f>
        <v>158.099920010912</v>
      </c>
      <c r="U52" s="139">
        <f>IF(Data_Override!P52="",Data!P52,Data_Override!P52)</f>
        <v>0</v>
      </c>
      <c r="V52" s="139">
        <f>IF(Data_Override!Q52="",Data!Q52,Data_Override!Q52)</f>
        <v>0</v>
      </c>
      <c r="W52" s="139">
        <f>IF(Data_Override!R52="",Data!R52,Data_Override!R52)</f>
        <v>0</v>
      </c>
      <c r="X52" s="139">
        <f>IF(Data_Override!S52="",Data!S52,Data_Override!S52)</f>
        <v>0</v>
      </c>
      <c r="Y52" s="140">
        <f t="shared" si="18"/>
        <v>0</v>
      </c>
      <c r="Z52" s="140">
        <f t="shared" si="19"/>
        <v>0</v>
      </c>
      <c r="AB52" s="139">
        <f>IF(Data_Override!U52="",Data!U52,Data_Override!U52)</f>
        <v>0</v>
      </c>
      <c r="AC52" s="139">
        <f>IF(Data_Override!V52="",Data!V52,Data_Override!V52)</f>
        <v>0</v>
      </c>
      <c r="AD52" s="139">
        <f>IF(Data_Override!W52="",Data!W52,Data_Override!W52)</f>
        <v>0</v>
      </c>
    </row>
    <row r="53" spans="1:30" hidden="1" x14ac:dyDescent="0.2">
      <c r="A53" s="138" t="str">
        <f>B53&amp;RIGHT(C53,2)</f>
        <v>SRN15</v>
      </c>
      <c r="B53" s="19" t="s">
        <v>30</v>
      </c>
      <c r="C53" s="143" t="s">
        <v>67</v>
      </c>
      <c r="D53" s="19" t="str">
        <f t="shared" si="12"/>
        <v>15</v>
      </c>
      <c r="E53" s="139">
        <f>IF(Data_Override!D53="",Data!D53,Data_Override!D53)</f>
        <v>0</v>
      </c>
      <c r="F53" s="139">
        <f>IF(Data_Override!E53="",Data!E53,Data_Override!E53)</f>
        <v>0.28529606417648501</v>
      </c>
      <c r="G53" s="139">
        <f>IF(Data_Override!F53="",Data!F53,Data_Override!F53)</f>
        <v>0</v>
      </c>
      <c r="H53" s="139">
        <f>IF(Data_Override!G53="",Data!G53,Data_Override!G53)</f>
        <v>25.7748795855269</v>
      </c>
      <c r="I53" s="140">
        <f t="shared" si="13"/>
        <v>0.28529606417648501</v>
      </c>
      <c r="J53" s="140">
        <f t="shared" si="14"/>
        <v>25.7748795855269</v>
      </c>
      <c r="L53" s="139">
        <f>IF(Data_Override!I53="",Data!I53,Data_Override!I53)</f>
        <v>0</v>
      </c>
      <c r="M53" s="139">
        <f>IF(Data_Override!J53="",Data!J53,Data_Override!J53)</f>
        <v>0</v>
      </c>
      <c r="N53" s="139">
        <f>IF(Data_Override!K53="",Data!K53,Data_Override!K53)</f>
        <v>0</v>
      </c>
      <c r="O53" s="139">
        <f>IF(Data_Override!L53="",Data!L53,Data_Override!L53)</f>
        <v>0</v>
      </c>
      <c r="P53" s="140">
        <f t="shared" si="16"/>
        <v>0</v>
      </c>
      <c r="Q53" s="140">
        <f t="shared" si="17"/>
        <v>0</v>
      </c>
      <c r="S53" s="139">
        <f>IF(Data_Override!N53="",Data!N53,Data_Override!N53)</f>
        <v>150.636645015553</v>
      </c>
      <c r="U53" s="139">
        <f>IF(Data_Override!P53="",Data!P53,Data_Override!P53)</f>
        <v>0</v>
      </c>
      <c r="V53" s="139">
        <f>IF(Data_Override!Q53="",Data!Q53,Data_Override!Q53)</f>
        <v>0</v>
      </c>
      <c r="W53" s="139">
        <f>IF(Data_Override!R53="",Data!R53,Data_Override!R53)</f>
        <v>0</v>
      </c>
      <c r="X53" s="139">
        <f>IF(Data_Override!S53="",Data!S53,Data_Override!S53)</f>
        <v>0</v>
      </c>
      <c r="Y53" s="140">
        <f t="shared" si="18"/>
        <v>0</v>
      </c>
      <c r="Z53" s="140">
        <f t="shared" si="19"/>
        <v>0</v>
      </c>
      <c r="AB53" s="139">
        <f>IF(Data_Override!U53="",Data!U53,Data_Override!U53)</f>
        <v>0</v>
      </c>
      <c r="AC53" s="139">
        <f>IF(Data_Override!V53="",Data!V53,Data_Override!V53)</f>
        <v>0</v>
      </c>
      <c r="AD53" s="139">
        <f>IF(Data_Override!W53="",Data!W53,Data_Override!W53)</f>
        <v>0</v>
      </c>
    </row>
    <row r="54" spans="1:30" hidden="1" x14ac:dyDescent="0.2">
      <c r="A54" s="138" t="str">
        <f>B54&amp;RIGHT(C54,2)</f>
        <v>SRN16</v>
      </c>
      <c r="B54" s="19" t="s">
        <v>30</v>
      </c>
      <c r="C54" s="143" t="s">
        <v>68</v>
      </c>
      <c r="D54" s="19" t="str">
        <f t="shared" si="12"/>
        <v>16</v>
      </c>
      <c r="E54" s="139">
        <f>IF(Data_Override!D54="",Data!D54,Data_Override!D54)</f>
        <v>0.75639450915141404</v>
      </c>
      <c r="F54" s="139">
        <f>IF(Data_Override!E54="",Data!E54,Data_Override!E54)</f>
        <v>0.190399168053245</v>
      </c>
      <c r="G54" s="139">
        <f>IF(Data_Override!F54="",Data!F54,Data_Override!F54)</f>
        <v>0</v>
      </c>
      <c r="H54" s="139">
        <f>IF(Data_Override!G54="",Data!G54,Data_Override!G54)</f>
        <v>16.801946256239599</v>
      </c>
      <c r="I54" s="140">
        <f t="shared" si="13"/>
        <v>0.94679367720465901</v>
      </c>
      <c r="J54" s="140">
        <f t="shared" si="14"/>
        <v>16.801946256239599</v>
      </c>
      <c r="L54" s="139">
        <f>IF(Data_Override!I54="",Data!I54,Data_Override!I54)</f>
        <v>0</v>
      </c>
      <c r="M54" s="139">
        <f>IF(Data_Override!J54="",Data!J54,Data_Override!J54)</f>
        <v>0</v>
      </c>
      <c r="N54" s="139">
        <f>IF(Data_Override!K54="",Data!K54,Data_Override!K54)</f>
        <v>0</v>
      </c>
      <c r="O54" s="139">
        <f>IF(Data_Override!L54="",Data!L54,Data_Override!L54)</f>
        <v>0</v>
      </c>
      <c r="P54" s="140">
        <f t="shared" si="16"/>
        <v>0</v>
      </c>
      <c r="Q54" s="140">
        <f t="shared" si="17"/>
        <v>0</v>
      </c>
      <c r="S54" s="139">
        <f>IF(Data_Override!N54="",Data!N54,Data_Override!N54)</f>
        <v>132.008285396757</v>
      </c>
      <c r="U54" s="139">
        <f>IF(Data_Override!P54="",Data!P54,Data_Override!P54)</f>
        <v>0</v>
      </c>
      <c r="V54" s="139">
        <f>IF(Data_Override!Q54="",Data!Q54,Data_Override!Q54)</f>
        <v>0</v>
      </c>
      <c r="W54" s="139">
        <f>IF(Data_Override!R54="",Data!R54,Data_Override!R54)</f>
        <v>0</v>
      </c>
      <c r="X54" s="139">
        <f>IF(Data_Override!S54="",Data!S54,Data_Override!S54)</f>
        <v>0</v>
      </c>
      <c r="Y54" s="140">
        <f t="shared" si="18"/>
        <v>0</v>
      </c>
      <c r="Z54" s="140">
        <f t="shared" si="19"/>
        <v>0</v>
      </c>
      <c r="AB54" s="139">
        <f>IF(Data_Override!U54="",Data!U54,Data_Override!U54)</f>
        <v>0</v>
      </c>
      <c r="AC54" s="139">
        <f>IF(Data_Override!V54="",Data!V54,Data_Override!V54)</f>
        <v>0</v>
      </c>
      <c r="AD54" s="139">
        <f>IF(Data_Override!W54="",Data!W54,Data_Override!W54)</f>
        <v>0</v>
      </c>
    </row>
    <row r="55" spans="1:30" hidden="1" x14ac:dyDescent="0.2">
      <c r="A55" s="138" t="str">
        <f t="shared" ref="A55" si="20">B55&amp;RIGHT(C55,2)</f>
        <v>SRN17</v>
      </c>
      <c r="B55" s="19" t="s">
        <v>30</v>
      </c>
      <c r="C55" s="143" t="s">
        <v>69</v>
      </c>
      <c r="D55" s="19" t="str">
        <f t="shared" si="12"/>
        <v>17</v>
      </c>
      <c r="E55" s="139">
        <f>IF(Data_Override!D55="",Data!D55,Data_Override!D55)</f>
        <v>4.3814619614279904</v>
      </c>
      <c r="F55" s="139">
        <f>IF(Data_Override!E55="",Data!E55,Data_Override!E55)</f>
        <v>0.99760623717685704</v>
      </c>
      <c r="G55" s="139">
        <f>IF(Data_Override!F55="",Data!F55,Data_Override!F55)</f>
        <v>0</v>
      </c>
      <c r="H55" s="139">
        <f>IF(Data_Override!G55="",Data!G55,Data_Override!G55)</f>
        <v>3.2945638079606101</v>
      </c>
      <c r="I55" s="140">
        <f t="shared" si="13"/>
        <v>5.3790681986048474</v>
      </c>
      <c r="J55" s="140">
        <f t="shared" si="14"/>
        <v>3.2945638079606101</v>
      </c>
      <c r="L55" s="139">
        <f>IF(Data_Override!I55="",Data!I55,Data_Override!I55)</f>
        <v>0</v>
      </c>
      <c r="M55" s="139">
        <f>IF(Data_Override!J55="",Data!J55,Data_Override!J55)</f>
        <v>0</v>
      </c>
      <c r="N55" s="139">
        <f>IF(Data_Override!K55="",Data!K55,Data_Override!K55)</f>
        <v>0</v>
      </c>
      <c r="O55" s="139">
        <f>IF(Data_Override!L55="",Data!L55,Data_Override!L55)</f>
        <v>0</v>
      </c>
      <c r="P55" s="140">
        <f t="shared" si="16"/>
        <v>0</v>
      </c>
      <c r="Q55" s="140">
        <f t="shared" si="17"/>
        <v>0</v>
      </c>
      <c r="S55" s="139">
        <f>IF(Data_Override!N55="",Data!N55,Data_Override!N55)</f>
        <v>165.529807714399</v>
      </c>
      <c r="U55" s="139">
        <f>IF(Data_Override!P55="",Data!P55,Data_Override!P55)</f>
        <v>0</v>
      </c>
      <c r="V55" s="139">
        <f>IF(Data_Override!Q55="",Data!Q55,Data_Override!Q55)</f>
        <v>0</v>
      </c>
      <c r="W55" s="139">
        <f>IF(Data_Override!R55="",Data!R55,Data_Override!R55)</f>
        <v>0</v>
      </c>
      <c r="X55" s="139">
        <f>IF(Data_Override!S55="",Data!S55,Data_Override!S55)</f>
        <v>0</v>
      </c>
      <c r="Y55" s="140">
        <f t="shared" si="18"/>
        <v>0</v>
      </c>
      <c r="Z55" s="140">
        <f t="shared" si="19"/>
        <v>0</v>
      </c>
      <c r="AB55" s="139">
        <f>IF(Data_Override!U55="",Data!U55,Data_Override!U55)</f>
        <v>0</v>
      </c>
      <c r="AC55" s="139">
        <f>IF(Data_Override!V55="",Data!V55,Data_Override!V55)</f>
        <v>0</v>
      </c>
      <c r="AD55" s="139">
        <f>IF(Data_Override!W55="",Data!W55,Data_Override!W55)</f>
        <v>0</v>
      </c>
    </row>
    <row r="56" spans="1:30" hidden="1" x14ac:dyDescent="0.2">
      <c r="A56" s="141" t="s">
        <v>158</v>
      </c>
      <c r="B56" s="142" t="s">
        <v>30</v>
      </c>
      <c r="C56" s="142" t="s">
        <v>70</v>
      </c>
      <c r="D56" s="19" t="str">
        <f t="shared" si="12"/>
        <v>18</v>
      </c>
      <c r="E56" s="139">
        <f>IF(Data_Override!D56="",Data!D56,Data_Override!D56)</f>
        <v>2.1280000000000001</v>
      </c>
      <c r="F56" s="139">
        <f>IF(Data_Override!E56="",Data!E56,Data_Override!E56)</f>
        <v>1.764</v>
      </c>
      <c r="G56" s="139">
        <f>IF(Data_Override!F56="",Data!F56,Data_Override!F56)</f>
        <v>0</v>
      </c>
      <c r="H56" s="139">
        <f>IF(Data_Override!G56="",Data!G56,Data_Override!G56)</f>
        <v>0</v>
      </c>
      <c r="I56" s="140">
        <f t="shared" si="13"/>
        <v>3.8920000000000003</v>
      </c>
      <c r="J56" s="140">
        <f t="shared" si="14"/>
        <v>0</v>
      </c>
      <c r="L56" s="139">
        <f>IF(Data_Override!I56="",Data!I56,Data_Override!I56)</f>
        <v>6.0000000000000001E-3</v>
      </c>
      <c r="M56" s="139">
        <f>IF(Data_Override!J56="",Data!J56,Data_Override!J56)</f>
        <v>0</v>
      </c>
      <c r="N56" s="139">
        <f>IF(Data_Override!K56="",Data!K56,Data_Override!K56)</f>
        <v>0</v>
      </c>
      <c r="O56" s="139">
        <f>IF(Data_Override!L56="",Data!L56,Data_Override!L56)</f>
        <v>0</v>
      </c>
      <c r="P56" s="140">
        <f t="shared" si="16"/>
        <v>6.0000000000000001E-3</v>
      </c>
      <c r="Q56" s="140">
        <f t="shared" si="17"/>
        <v>0</v>
      </c>
      <c r="S56" s="139">
        <f>IF(Data_Override!N56="",Data!N56,Data_Override!N56)</f>
        <v>227.072</v>
      </c>
      <c r="U56" s="139">
        <f>IF(Data_Override!P56="",Data!P56,Data_Override!P56)</f>
        <v>4.7</v>
      </c>
      <c r="V56" s="139">
        <f>IF(Data_Override!Q56="",Data!Q56,Data_Override!Q56)</f>
        <v>4.7</v>
      </c>
      <c r="W56" s="139">
        <f>IF(Data_Override!R56="",Data!R56,Data_Override!R56)</f>
        <v>0.24</v>
      </c>
      <c r="X56" s="139">
        <f>IF(Data_Override!S56="",Data!S56,Data_Override!S56)</f>
        <v>0.24</v>
      </c>
      <c r="Y56" s="140">
        <f t="shared" si="18"/>
        <v>4.7</v>
      </c>
      <c r="Z56" s="140">
        <f t="shared" si="19"/>
        <v>0.24</v>
      </c>
      <c r="AB56" s="139">
        <f>IF(Data_Override!U56="",Data!U56,Data_Override!U56)</f>
        <v>102.64</v>
      </c>
      <c r="AC56" s="139">
        <f>IF(Data_Override!V56="",Data!V56,Data_Override!V56)</f>
        <v>13905</v>
      </c>
      <c r="AD56" s="139">
        <f>IF(Data_Override!W56="",Data!W56,Data_Override!W56)</f>
        <v>1114.1600000000001</v>
      </c>
    </row>
    <row r="57" spans="1:30" hidden="1" x14ac:dyDescent="0.2">
      <c r="A57" s="141" t="s">
        <v>159</v>
      </c>
      <c r="B57" s="142" t="s">
        <v>30</v>
      </c>
      <c r="C57" s="142" t="s">
        <v>71</v>
      </c>
      <c r="D57" s="19" t="str">
        <f t="shared" si="12"/>
        <v>19</v>
      </c>
      <c r="E57" s="139">
        <f>IF(Data_Override!D57="",Data!D57,Data_Override!D57)</f>
        <v>-8.7974050336095001E-3</v>
      </c>
      <c r="F57" s="139">
        <f>IF(Data_Override!E57="",Data!E57,Data_Override!E57)</f>
        <v>0.73409457558230395</v>
      </c>
      <c r="G57" s="139">
        <f>IF(Data_Override!F57="",Data!F57,Data_Override!F57)</f>
        <v>0</v>
      </c>
      <c r="H57" s="139">
        <f>IF(Data_Override!G57="",Data!G57,Data_Override!G57)</f>
        <v>2.7164431764889798</v>
      </c>
      <c r="I57" s="140">
        <f t="shared" si="13"/>
        <v>0.72529717054869447</v>
      </c>
      <c r="J57" s="140">
        <f t="shared" si="14"/>
        <v>2.7164431764889798</v>
      </c>
      <c r="L57" s="139">
        <f>IF(Data_Override!I57="",Data!I57,Data_Override!I57)</f>
        <v>0.18</v>
      </c>
      <c r="M57" s="139">
        <f>IF(Data_Override!J57="",Data!J57,Data_Override!J57)</f>
        <v>0</v>
      </c>
      <c r="N57" s="139">
        <f>IF(Data_Override!K57="",Data!K57,Data_Override!K57)</f>
        <v>0</v>
      </c>
      <c r="O57" s="139">
        <f>IF(Data_Override!L57="",Data!L57,Data_Override!L57)</f>
        <v>0</v>
      </c>
      <c r="P57" s="140">
        <f t="shared" si="16"/>
        <v>0.18</v>
      </c>
      <c r="Q57" s="140">
        <f t="shared" si="17"/>
        <v>0</v>
      </c>
      <c r="S57" s="139">
        <f>IF(Data_Override!N57="",Data!N57,Data_Override!N57)</f>
        <v>212.64891949351301</v>
      </c>
      <c r="U57" s="139">
        <f>IF(Data_Override!P57="",Data!P57,Data_Override!P57)</f>
        <v>31</v>
      </c>
      <c r="V57" s="139">
        <f>IF(Data_Override!Q57="",Data!Q57,Data_Override!Q57)</f>
        <v>22</v>
      </c>
      <c r="W57" s="139">
        <f>IF(Data_Override!R57="",Data!R57,Data_Override!R57)</f>
        <v>0.24</v>
      </c>
      <c r="X57" s="139">
        <f>IF(Data_Override!S57="",Data!S57,Data_Override!S57)</f>
        <v>0.24</v>
      </c>
      <c r="Y57" s="140">
        <f t="shared" si="18"/>
        <v>31</v>
      </c>
      <c r="Z57" s="140">
        <f t="shared" si="19"/>
        <v>0.24</v>
      </c>
      <c r="AB57" s="139">
        <f>IF(Data_Override!U57="",Data!U57,Data_Override!U57)</f>
        <v>107.2</v>
      </c>
      <c r="AC57" s="139">
        <f>IF(Data_Override!V57="",Data!V57,Data_Override!V57)</f>
        <v>13940</v>
      </c>
      <c r="AD57" s="139">
        <f>IF(Data_Override!W57="",Data!W57,Data_Override!W57)</f>
        <v>1121.8889999999999</v>
      </c>
    </row>
    <row r="58" spans="1:30" hidden="1" x14ac:dyDescent="0.2">
      <c r="A58" s="141" t="s">
        <v>160</v>
      </c>
      <c r="B58" s="142" t="s">
        <v>30</v>
      </c>
      <c r="C58" s="142" t="s">
        <v>72</v>
      </c>
      <c r="D58" s="19" t="str">
        <f t="shared" si="12"/>
        <v>20</v>
      </c>
      <c r="E58" s="139">
        <f>IF(Data_Override!D58="",Data!D58,Data_Override!D58)</f>
        <v>0</v>
      </c>
      <c r="F58" s="139">
        <f>IF(Data_Override!E58="",Data!E58,Data_Override!E58)</f>
        <v>2.1730419473361899</v>
      </c>
      <c r="G58" s="139">
        <f>IF(Data_Override!F58="",Data!F58,Data_Override!F58)</f>
        <v>0</v>
      </c>
      <c r="H58" s="139">
        <f>IF(Data_Override!G58="",Data!G58,Data_Override!G58)</f>
        <v>3.4567640845070402</v>
      </c>
      <c r="I58" s="140">
        <f t="shared" si="13"/>
        <v>2.1730419473361899</v>
      </c>
      <c r="J58" s="140">
        <f t="shared" si="14"/>
        <v>3.4567640845070402</v>
      </c>
      <c r="L58" s="139">
        <f>IF(Data_Override!I58="",Data!I58,Data_Override!I58)</f>
        <v>0.27900000000000003</v>
      </c>
      <c r="M58" s="139">
        <f>IF(Data_Override!J58="",Data!J58,Data_Override!J58)</f>
        <v>0</v>
      </c>
      <c r="N58" s="139">
        <f>IF(Data_Override!K58="",Data!K58,Data_Override!K58)</f>
        <v>0</v>
      </c>
      <c r="O58" s="139">
        <f>IF(Data_Override!L58="",Data!L58,Data_Override!L58)</f>
        <v>0</v>
      </c>
      <c r="P58" s="140">
        <f t="shared" si="16"/>
        <v>0.27900000000000003</v>
      </c>
      <c r="Q58" s="140">
        <f t="shared" si="17"/>
        <v>0</v>
      </c>
      <c r="S58" s="139">
        <f>IF(Data_Override!N58="",Data!N58,Data_Override!N58)</f>
        <v>211.297217544397</v>
      </c>
      <c r="U58" s="139">
        <f>IF(Data_Override!P58="",Data!P58,Data_Override!P58)</f>
        <v>7</v>
      </c>
      <c r="V58" s="139">
        <f>IF(Data_Override!Q58="",Data!Q58,Data_Override!Q58)</f>
        <v>8</v>
      </c>
      <c r="W58" s="139">
        <f>IF(Data_Override!R58="",Data!R58,Data_Override!R58)</f>
        <v>1.97</v>
      </c>
      <c r="X58" s="139">
        <f>IF(Data_Override!S58="",Data!S58,Data_Override!S58)</f>
        <v>1.97</v>
      </c>
      <c r="Y58" s="140">
        <f t="shared" si="18"/>
        <v>8</v>
      </c>
      <c r="Z58" s="140">
        <f t="shared" si="19"/>
        <v>1.97</v>
      </c>
      <c r="AB58" s="139">
        <f>IF(Data_Override!U58="",Data!U58,Data_Override!U58)</f>
        <v>105.4</v>
      </c>
      <c r="AC58" s="139">
        <f>IF(Data_Override!V58="",Data!V58,Data_Override!V58)</f>
        <v>13975</v>
      </c>
      <c r="AD58" s="139">
        <f>IF(Data_Override!W58="",Data!W58,Data_Override!W58)</f>
        <v>1129.319</v>
      </c>
    </row>
    <row r="59" spans="1:30" x14ac:dyDescent="0.2">
      <c r="A59" s="141" t="s">
        <v>161</v>
      </c>
      <c r="B59" s="142" t="s">
        <v>30</v>
      </c>
      <c r="C59" s="142" t="s">
        <v>73</v>
      </c>
      <c r="D59" s="19" t="str">
        <f t="shared" si="12"/>
        <v>21</v>
      </c>
      <c r="E59" s="139">
        <f>IF(Data_Override!D59="",Data!D59,Data_Override!D59)</f>
        <v>4.0990000000000002</v>
      </c>
      <c r="F59" s="139">
        <f>IF(Data_Override!E59="",Data!E59,Data_Override!E59)</f>
        <v>13.492000000000001</v>
      </c>
      <c r="G59" s="139">
        <f>IF(Data_Override!F59="",Data!F59,Data_Override!F59)</f>
        <v>0</v>
      </c>
      <c r="H59" s="139">
        <f>IF(Data_Override!G59="",Data!G59,Data_Override!G59)</f>
        <v>5.0839999999999996</v>
      </c>
      <c r="I59" s="140">
        <f t="shared" si="13"/>
        <v>17.591000000000001</v>
      </c>
      <c r="J59" s="140">
        <f t="shared" si="14"/>
        <v>5.0839999999999996</v>
      </c>
      <c r="L59" s="139">
        <f>IF(Data_Override!I59="",Data!I59,Data_Override!I59)</f>
        <v>0.2</v>
      </c>
      <c r="M59" s="139">
        <f>IF(Data_Override!J59="",Data!J59,Data_Override!J59)</f>
        <v>0</v>
      </c>
      <c r="N59" s="139">
        <f>IF(Data_Override!K59="",Data!K59,Data_Override!K59)</f>
        <v>0</v>
      </c>
      <c r="O59" s="139">
        <f>IF(Data_Override!L59="",Data!L59,Data_Override!L59)</f>
        <v>7.282</v>
      </c>
      <c r="P59" s="140">
        <f t="shared" si="16"/>
        <v>0.2</v>
      </c>
      <c r="Q59" s="140">
        <f t="shared" si="17"/>
        <v>7.282</v>
      </c>
      <c r="S59" s="139">
        <f>IF(Data_Override!N59="",Data!N59,Data_Override!N59)</f>
        <v>238.96899999999999</v>
      </c>
      <c r="U59" s="139">
        <f>IF(Data_Override!P59="",Data!P59,Data_Override!P59)</f>
        <v>0</v>
      </c>
      <c r="V59" s="139">
        <f>IF(Data_Override!Q59="",Data!Q59,Data_Override!Q59)</f>
        <v>0</v>
      </c>
      <c r="W59" s="139">
        <f>IF(Data_Override!R59="",Data!R59,Data_Override!R59)</f>
        <v>15.28</v>
      </c>
      <c r="X59" s="139">
        <f>IF(Data_Override!S59="",Data!S59,Data_Override!S59)</f>
        <v>10.15</v>
      </c>
      <c r="Y59" s="140">
        <f t="shared" si="18"/>
        <v>0</v>
      </c>
      <c r="Z59" s="140">
        <f t="shared" si="19"/>
        <v>15.28</v>
      </c>
      <c r="AB59" s="139">
        <f>IF(Data_Override!U59="",Data!U59,Data_Override!U59)</f>
        <v>102.3</v>
      </c>
      <c r="AC59" s="139">
        <f>IF(Data_Override!V59="",Data!V59,Data_Override!V59)</f>
        <v>14017</v>
      </c>
      <c r="AD59" s="139">
        <f>IF(Data_Override!W59="",Data!W59,Data_Override!W59)</f>
        <v>1143.2149999999999</v>
      </c>
    </row>
    <row r="60" spans="1:30" x14ac:dyDescent="0.2">
      <c r="A60" s="141" t="s">
        <v>162</v>
      </c>
      <c r="B60" s="142" t="s">
        <v>30</v>
      </c>
      <c r="C60" s="142" t="s">
        <v>74</v>
      </c>
      <c r="D60" s="19" t="str">
        <f t="shared" si="12"/>
        <v>22</v>
      </c>
      <c r="E60" s="139">
        <f>IF(Data_Override!D60="",Data!D60,Data_Override!D60)</f>
        <v>3.7989999999999999</v>
      </c>
      <c r="F60" s="139">
        <f>IF(Data_Override!E60="",Data!E60,Data_Override!E60)</f>
        <v>12.164</v>
      </c>
      <c r="G60" s="139">
        <f>IF(Data_Override!F60="",Data!F60,Data_Override!F60)</f>
        <v>0</v>
      </c>
      <c r="H60" s="139">
        <f>IF(Data_Override!G60="",Data!G60,Data_Override!G60)</f>
        <v>5.4690000000000003</v>
      </c>
      <c r="I60" s="140">
        <f t="shared" si="13"/>
        <v>15.962999999999999</v>
      </c>
      <c r="J60" s="140">
        <f t="shared" si="14"/>
        <v>5.4690000000000003</v>
      </c>
      <c r="L60" s="139">
        <f>IF(Data_Override!I60="",Data!I60,Data_Override!I60)</f>
        <v>0.2</v>
      </c>
      <c r="M60" s="139">
        <f>IF(Data_Override!J60="",Data!J60,Data_Override!J60)</f>
        <v>0</v>
      </c>
      <c r="N60" s="139">
        <f>IF(Data_Override!K60="",Data!K60,Data_Override!K60)</f>
        <v>0</v>
      </c>
      <c r="O60" s="139">
        <f>IF(Data_Override!L60="",Data!L60,Data_Override!L60)</f>
        <v>7.282</v>
      </c>
      <c r="P60" s="140">
        <f t="shared" si="16"/>
        <v>0.2</v>
      </c>
      <c r="Q60" s="140">
        <f t="shared" si="17"/>
        <v>7.282</v>
      </c>
      <c r="S60" s="139">
        <f>IF(Data_Override!N60="",Data!N60,Data_Override!N60)</f>
        <v>240.00800000000001</v>
      </c>
      <c r="U60" s="139">
        <f>IF(Data_Override!P60="",Data!P60,Data_Override!P60)</f>
        <v>23</v>
      </c>
      <c r="V60" s="139">
        <f>IF(Data_Override!Q60="",Data!Q60,Data_Override!Q60)</f>
        <v>20.100000000000001</v>
      </c>
      <c r="W60" s="139">
        <f>IF(Data_Override!R60="",Data!R60,Data_Override!R60)</f>
        <v>5.68</v>
      </c>
      <c r="X60" s="139">
        <f>IF(Data_Override!S60="",Data!S60,Data_Override!S60)</f>
        <v>5.29</v>
      </c>
      <c r="Y60" s="140">
        <f t="shared" si="18"/>
        <v>23</v>
      </c>
      <c r="Z60" s="140">
        <f t="shared" si="19"/>
        <v>5.68</v>
      </c>
      <c r="AB60" s="139">
        <f>IF(Data_Override!U60="",Data!U60,Data_Override!U60)</f>
        <v>99.1</v>
      </c>
      <c r="AC60" s="139">
        <f>IF(Data_Override!V60="",Data!V60,Data_Override!V60)</f>
        <v>14059</v>
      </c>
      <c r="AD60" s="139">
        <f>IF(Data_Override!W60="",Data!W60,Data_Override!W60)</f>
        <v>1156.473</v>
      </c>
    </row>
    <row r="61" spans="1:30" x14ac:dyDescent="0.2">
      <c r="A61" s="141" t="s">
        <v>163</v>
      </c>
      <c r="B61" s="142" t="s">
        <v>30</v>
      </c>
      <c r="C61" s="142" t="s">
        <v>75</v>
      </c>
      <c r="D61" s="19" t="str">
        <f t="shared" si="12"/>
        <v>23</v>
      </c>
      <c r="E61" s="139">
        <f>IF(Data_Override!D61="",Data!D61,Data_Override!D61)</f>
        <v>4.7210000000000001</v>
      </c>
      <c r="F61" s="139">
        <f>IF(Data_Override!E61="",Data!E61,Data_Override!E61)</f>
        <v>16.593</v>
      </c>
      <c r="G61" s="139">
        <f>IF(Data_Override!F61="",Data!F61,Data_Override!F61)</f>
        <v>0</v>
      </c>
      <c r="H61" s="139">
        <f>IF(Data_Override!G61="",Data!G61,Data_Override!G61)</f>
        <v>6.2380000000000004</v>
      </c>
      <c r="I61" s="140">
        <f t="shared" si="13"/>
        <v>21.314</v>
      </c>
      <c r="J61" s="140">
        <f t="shared" si="14"/>
        <v>6.2380000000000004</v>
      </c>
      <c r="L61" s="139">
        <f>IF(Data_Override!I61="",Data!I61,Data_Override!I61)</f>
        <v>0.2</v>
      </c>
      <c r="M61" s="139">
        <f>IF(Data_Override!J61="",Data!J61,Data_Override!J61)</f>
        <v>0</v>
      </c>
      <c r="N61" s="139">
        <f>IF(Data_Override!K61="",Data!K61,Data_Override!K61)</f>
        <v>0</v>
      </c>
      <c r="O61" s="139">
        <f>IF(Data_Override!L61="",Data!L61,Data_Override!L61)</f>
        <v>7.282</v>
      </c>
      <c r="P61" s="140">
        <f t="shared" si="16"/>
        <v>0.2</v>
      </c>
      <c r="Q61" s="140">
        <f t="shared" si="17"/>
        <v>7.282</v>
      </c>
      <c r="S61" s="139">
        <f>IF(Data_Override!N61="",Data!N61,Data_Override!N61)</f>
        <v>219.66</v>
      </c>
      <c r="U61" s="139">
        <f>IF(Data_Override!P61="",Data!P61,Data_Override!P61)</f>
        <v>33.68</v>
      </c>
      <c r="V61" s="139">
        <f>IF(Data_Override!Q61="",Data!Q61,Data_Override!Q61)</f>
        <v>31.62</v>
      </c>
      <c r="W61" s="139">
        <f>IF(Data_Override!R61="",Data!R61,Data_Override!R61)</f>
        <v>4.51</v>
      </c>
      <c r="X61" s="139">
        <f>IF(Data_Override!S61="",Data!S61,Data_Override!S61)</f>
        <v>4.13</v>
      </c>
      <c r="Y61" s="140">
        <f t="shared" si="18"/>
        <v>33.68</v>
      </c>
      <c r="Z61" s="140">
        <f t="shared" si="19"/>
        <v>4.51</v>
      </c>
      <c r="AB61" s="139">
        <f>IF(Data_Override!U61="",Data!U61,Data_Override!U61)</f>
        <v>95.9</v>
      </c>
      <c r="AC61" s="139">
        <f>IF(Data_Override!V61="",Data!V61,Data_Override!V61)</f>
        <v>14101</v>
      </c>
      <c r="AD61" s="139">
        <f>IF(Data_Override!W61="",Data!W61,Data_Override!W61)</f>
        <v>1169.3689999999999</v>
      </c>
    </row>
    <row r="62" spans="1:30" x14ac:dyDescent="0.2">
      <c r="A62" s="141" t="s">
        <v>164</v>
      </c>
      <c r="B62" s="142" t="s">
        <v>30</v>
      </c>
      <c r="C62" s="142" t="s">
        <v>76</v>
      </c>
      <c r="D62" s="19" t="str">
        <f t="shared" si="12"/>
        <v>24</v>
      </c>
      <c r="E62" s="139">
        <f>IF(Data_Override!D62="",Data!D62,Data_Override!D62)</f>
        <v>7.8520000000000003</v>
      </c>
      <c r="F62" s="139">
        <f>IF(Data_Override!E62="",Data!E62,Data_Override!E62)</f>
        <v>32.426000000000002</v>
      </c>
      <c r="G62" s="139">
        <f>IF(Data_Override!F62="",Data!F62,Data_Override!F62)</f>
        <v>0</v>
      </c>
      <c r="H62" s="139">
        <f>IF(Data_Override!G62="",Data!G62,Data_Override!G62)</f>
        <v>7.9710000000000001</v>
      </c>
      <c r="I62" s="140">
        <f t="shared" si="13"/>
        <v>40.278000000000006</v>
      </c>
      <c r="J62" s="140">
        <f t="shared" si="14"/>
        <v>7.9710000000000001</v>
      </c>
      <c r="L62" s="139">
        <f>IF(Data_Override!I62="",Data!I62,Data_Override!I62)</f>
        <v>0.2</v>
      </c>
      <c r="M62" s="139">
        <f>IF(Data_Override!J62="",Data!J62,Data_Override!J62)</f>
        <v>0</v>
      </c>
      <c r="N62" s="139">
        <f>IF(Data_Override!K62="",Data!K62,Data_Override!K62)</f>
        <v>0</v>
      </c>
      <c r="O62" s="139">
        <f>IF(Data_Override!L62="",Data!L62,Data_Override!L62)</f>
        <v>7.282</v>
      </c>
      <c r="P62" s="140">
        <f t="shared" si="16"/>
        <v>0.2</v>
      </c>
      <c r="Q62" s="140">
        <f t="shared" si="17"/>
        <v>7.282</v>
      </c>
      <c r="S62" s="139">
        <f>IF(Data_Override!N62="",Data!N62,Data_Override!N62)</f>
        <v>201.80199999999999</v>
      </c>
      <c r="U62" s="139">
        <f>IF(Data_Override!P62="",Data!P62,Data_Override!P62)</f>
        <v>15</v>
      </c>
      <c r="V62" s="139">
        <f>IF(Data_Override!Q62="",Data!Q62,Data_Override!Q62)</f>
        <v>8.6999999999999993</v>
      </c>
      <c r="W62" s="139">
        <f>IF(Data_Override!R62="",Data!R62,Data_Override!R62)</f>
        <v>6.67</v>
      </c>
      <c r="X62" s="139">
        <f>IF(Data_Override!S62="",Data!S62,Data_Override!S62)</f>
        <v>6.19</v>
      </c>
      <c r="Y62" s="140">
        <f t="shared" si="18"/>
        <v>15</v>
      </c>
      <c r="Z62" s="140">
        <f t="shared" si="19"/>
        <v>6.67</v>
      </c>
      <c r="AB62" s="139">
        <f>IF(Data_Override!U62="",Data!U62,Data_Override!U62)</f>
        <v>92.7</v>
      </c>
      <c r="AC62" s="139">
        <f>IF(Data_Override!V62="",Data!V62,Data_Override!V62)</f>
        <v>14143</v>
      </c>
      <c r="AD62" s="139">
        <f>IF(Data_Override!W62="",Data!W62,Data_Override!W62)</f>
        <v>1182.1510000000001</v>
      </c>
    </row>
    <row r="63" spans="1:30" x14ac:dyDescent="0.2">
      <c r="A63" s="141" t="s">
        <v>165</v>
      </c>
      <c r="B63" s="142" t="s">
        <v>30</v>
      </c>
      <c r="C63" s="142" t="s">
        <v>24</v>
      </c>
      <c r="D63" s="19" t="str">
        <f t="shared" si="12"/>
        <v>25</v>
      </c>
      <c r="E63" s="139">
        <f>IF(Data_Override!D63="",Data!D63,Data_Override!D63)</f>
        <v>11.367000000000001</v>
      </c>
      <c r="F63" s="139">
        <f>IF(Data_Override!E63="",Data!E63,Data_Override!E63)</f>
        <v>50.09</v>
      </c>
      <c r="G63" s="139">
        <f>IF(Data_Override!F63="",Data!F63,Data_Override!F63)</f>
        <v>0</v>
      </c>
      <c r="H63" s="139">
        <f>IF(Data_Override!G63="",Data!G63,Data_Override!G63)</f>
        <v>8.3559999999999999</v>
      </c>
      <c r="I63" s="140">
        <f t="shared" si="13"/>
        <v>61.457000000000008</v>
      </c>
      <c r="J63" s="140">
        <f t="shared" si="14"/>
        <v>8.3559999999999999</v>
      </c>
      <c r="L63" s="139">
        <f>IF(Data_Override!I63="",Data!I63,Data_Override!I63)</f>
        <v>0.2</v>
      </c>
      <c r="M63" s="139">
        <f>IF(Data_Override!J63="",Data!J63,Data_Override!J63)</f>
        <v>0</v>
      </c>
      <c r="N63" s="139">
        <f>IF(Data_Override!K63="",Data!K63,Data_Override!K63)</f>
        <v>0</v>
      </c>
      <c r="O63" s="139">
        <f>IF(Data_Override!L63="",Data!L63,Data_Override!L63)</f>
        <v>7.282</v>
      </c>
      <c r="P63" s="140">
        <f t="shared" si="16"/>
        <v>0.2</v>
      </c>
      <c r="Q63" s="140">
        <f t="shared" si="17"/>
        <v>7.282</v>
      </c>
      <c r="S63" s="139">
        <f>IF(Data_Override!N63="",Data!N63,Data_Override!N63)</f>
        <v>217.626</v>
      </c>
      <c r="U63" s="139">
        <f>IF(Data_Override!P63="",Data!P63,Data_Override!P63)</f>
        <v>12.12</v>
      </c>
      <c r="V63" s="139">
        <f>IF(Data_Override!Q63="",Data!Q63,Data_Override!Q63)</f>
        <v>12.12</v>
      </c>
      <c r="W63" s="139">
        <f>IF(Data_Override!R63="",Data!R63,Data_Override!R63)</f>
        <v>5.54</v>
      </c>
      <c r="X63" s="139">
        <f>IF(Data_Override!S63="",Data!S63,Data_Override!S63)</f>
        <v>5.14</v>
      </c>
      <c r="Y63" s="140">
        <f t="shared" si="18"/>
        <v>12.12</v>
      </c>
      <c r="Z63" s="140">
        <f t="shared" si="19"/>
        <v>5.54</v>
      </c>
      <c r="AB63" s="139">
        <f>IF(Data_Override!U63="",Data!U63,Data_Override!U63)</f>
        <v>89.6</v>
      </c>
      <c r="AC63" s="139">
        <f>IF(Data_Override!V63="",Data!V63,Data_Override!V63)</f>
        <v>14185</v>
      </c>
      <c r="AD63" s="139">
        <f>IF(Data_Override!W63="",Data!W63,Data_Override!W63)</f>
        <v>1194.2829999999999</v>
      </c>
    </row>
    <row r="64" spans="1:30" hidden="1" x14ac:dyDescent="0.2">
      <c r="A64" s="138" t="str">
        <f t="shared" ref="A64" si="21">B64&amp;RIGHT(C64,2)</f>
        <v>SVT12</v>
      </c>
      <c r="B64" s="19" t="s">
        <v>107</v>
      </c>
      <c r="C64" s="143" t="s">
        <v>64</v>
      </c>
      <c r="D64" s="19" t="str">
        <f t="shared" si="12"/>
        <v>12</v>
      </c>
      <c r="E64" s="139">
        <f>IF(Data_Override!D64="",Data!D64,Data_Override!D64)</f>
        <v>0</v>
      </c>
      <c r="F64" s="139">
        <f>IF(Data_Override!E64="",Data!E64,Data_Override!E64)</f>
        <v>4.2488636314171799</v>
      </c>
      <c r="G64" s="139">
        <f>IF(Data_Override!F64="",Data!F64,Data_Override!F64)</f>
        <v>0</v>
      </c>
      <c r="H64" s="139">
        <f>IF(Data_Override!G64="",Data!G64,Data_Override!G64)</f>
        <v>0</v>
      </c>
      <c r="I64" s="140">
        <f t="shared" si="13"/>
        <v>4.2488636314171799</v>
      </c>
      <c r="J64" s="140">
        <f t="shared" si="14"/>
        <v>0</v>
      </c>
      <c r="L64" s="139">
        <f>IF(Data_Override!I64="",Data!I64,Data_Override!I64)</f>
        <v>0</v>
      </c>
      <c r="M64" s="139">
        <f>IF(Data_Override!J64="",Data!J64,Data_Override!J64)</f>
        <v>0</v>
      </c>
      <c r="N64" s="139">
        <f>IF(Data_Override!K64="",Data!K64,Data_Override!K64)</f>
        <v>0</v>
      </c>
      <c r="O64" s="139">
        <f>IF(Data_Override!L64="",Data!L64,Data_Override!L64)</f>
        <v>0</v>
      </c>
      <c r="P64" s="140">
        <f t="shared" si="16"/>
        <v>0</v>
      </c>
      <c r="Q64" s="140">
        <f t="shared" si="17"/>
        <v>0</v>
      </c>
      <c r="S64" s="139">
        <f>IF(Data_Override!N64="",Data!N64,Data_Override!N64)</f>
        <v>518.00273540290698</v>
      </c>
      <c r="U64" s="139">
        <f>IF(Data_Override!P64="",Data!P64,Data_Override!P64)</f>
        <v>0</v>
      </c>
      <c r="V64" s="139">
        <f>IF(Data_Override!Q64="",Data!Q64,Data_Override!Q64)</f>
        <v>0</v>
      </c>
      <c r="W64" s="139">
        <f>IF(Data_Override!R64="",Data!R64,Data_Override!R64)</f>
        <v>0</v>
      </c>
      <c r="X64" s="139">
        <f>IF(Data_Override!S64="",Data!S64,Data_Override!S64)</f>
        <v>0</v>
      </c>
      <c r="Y64" s="140">
        <f t="shared" si="18"/>
        <v>0</v>
      </c>
      <c r="Z64" s="140">
        <f t="shared" si="19"/>
        <v>0</v>
      </c>
      <c r="AB64" s="139">
        <f>IF(Data_Override!U64="",Data!U64,Data_Override!U64)</f>
        <v>0</v>
      </c>
      <c r="AC64" s="139">
        <f>IF(Data_Override!V64="",Data!V64,Data_Override!V64)</f>
        <v>0</v>
      </c>
      <c r="AD64" s="139">
        <f>IF(Data_Override!W64="",Data!W64,Data_Override!W64)</f>
        <v>0</v>
      </c>
    </row>
    <row r="65" spans="1:30" hidden="1" x14ac:dyDescent="0.2">
      <c r="A65" s="138" t="str">
        <f>B65&amp;RIGHT(C65,2)</f>
        <v>SVT13</v>
      </c>
      <c r="B65" s="19" t="s">
        <v>107</v>
      </c>
      <c r="C65" s="143" t="s">
        <v>65</v>
      </c>
      <c r="D65" s="19" t="str">
        <f t="shared" si="12"/>
        <v>13</v>
      </c>
      <c r="E65" s="139">
        <f>IF(Data_Override!D65="",Data!D65,Data_Override!D65)</f>
        <v>0</v>
      </c>
      <c r="F65" s="139">
        <f>IF(Data_Override!E65="",Data!E65,Data_Override!E65)</f>
        <v>2.2452745096886502</v>
      </c>
      <c r="G65" s="139">
        <f>IF(Data_Override!F65="",Data!F65,Data_Override!F65)</f>
        <v>0</v>
      </c>
      <c r="H65" s="139">
        <f>IF(Data_Override!G65="",Data!G65,Data_Override!G65)</f>
        <v>0</v>
      </c>
      <c r="I65" s="140">
        <f t="shared" si="13"/>
        <v>2.2452745096886502</v>
      </c>
      <c r="J65" s="140">
        <f t="shared" si="14"/>
        <v>0</v>
      </c>
      <c r="L65" s="139">
        <f>IF(Data_Override!I65="",Data!I65,Data_Override!I65)</f>
        <v>0</v>
      </c>
      <c r="M65" s="139">
        <f>IF(Data_Override!J65="",Data!J65,Data_Override!J65)</f>
        <v>0</v>
      </c>
      <c r="N65" s="139">
        <f>IF(Data_Override!K65="",Data!K65,Data_Override!K65)</f>
        <v>0</v>
      </c>
      <c r="O65" s="139">
        <f>IF(Data_Override!L65="",Data!L65,Data_Override!L65)</f>
        <v>0</v>
      </c>
      <c r="P65" s="140">
        <f t="shared" si="16"/>
        <v>0</v>
      </c>
      <c r="Q65" s="140">
        <f t="shared" si="17"/>
        <v>0</v>
      </c>
      <c r="S65" s="139">
        <f>IF(Data_Override!N65="",Data!N65,Data_Override!N65)</f>
        <v>557.08687430292605</v>
      </c>
      <c r="U65" s="139">
        <f>IF(Data_Override!P65="",Data!P65,Data_Override!P65)</f>
        <v>0</v>
      </c>
      <c r="V65" s="139">
        <f>IF(Data_Override!Q65="",Data!Q65,Data_Override!Q65)</f>
        <v>0</v>
      </c>
      <c r="W65" s="139">
        <f>IF(Data_Override!R65="",Data!R65,Data_Override!R65)</f>
        <v>0</v>
      </c>
      <c r="X65" s="139">
        <f>IF(Data_Override!S65="",Data!S65,Data_Override!S65)</f>
        <v>0</v>
      </c>
      <c r="Y65" s="140">
        <f t="shared" si="18"/>
        <v>0</v>
      </c>
      <c r="Z65" s="140">
        <f t="shared" si="19"/>
        <v>0</v>
      </c>
      <c r="AB65" s="139">
        <f>IF(Data_Override!U65="",Data!U65,Data_Override!U65)</f>
        <v>0</v>
      </c>
      <c r="AC65" s="139">
        <f>IF(Data_Override!V65="",Data!V65,Data_Override!V65)</f>
        <v>0</v>
      </c>
      <c r="AD65" s="139">
        <f>IF(Data_Override!W65="",Data!W65,Data_Override!W65)</f>
        <v>0</v>
      </c>
    </row>
    <row r="66" spans="1:30" hidden="1" x14ac:dyDescent="0.2">
      <c r="A66" s="138" t="str">
        <f>B66&amp;RIGHT(C66,2)</f>
        <v>SVT14</v>
      </c>
      <c r="B66" s="19" t="s">
        <v>107</v>
      </c>
      <c r="C66" s="143" t="s">
        <v>66</v>
      </c>
      <c r="D66" s="19" t="str">
        <f t="shared" si="12"/>
        <v>14</v>
      </c>
      <c r="E66" s="139">
        <f>IF(Data_Override!D66="",Data!D66,Data_Override!D66)</f>
        <v>0</v>
      </c>
      <c r="F66" s="139">
        <f>IF(Data_Override!E66="",Data!E66,Data_Override!E66)</f>
        <v>3.2748245851029298</v>
      </c>
      <c r="G66" s="139">
        <f>IF(Data_Override!F66="",Data!F66,Data_Override!F66)</f>
        <v>0</v>
      </c>
      <c r="H66" s="139">
        <f>IF(Data_Override!G66="",Data!G66,Data_Override!G66)</f>
        <v>0</v>
      </c>
      <c r="I66" s="140">
        <f t="shared" si="13"/>
        <v>3.2748245851029298</v>
      </c>
      <c r="J66" s="140">
        <f t="shared" si="14"/>
        <v>0</v>
      </c>
      <c r="L66" s="139">
        <f>IF(Data_Override!I66="",Data!I66,Data_Override!I66)</f>
        <v>0</v>
      </c>
      <c r="M66" s="139">
        <f>IF(Data_Override!J66="",Data!J66,Data_Override!J66)</f>
        <v>0</v>
      </c>
      <c r="N66" s="139">
        <f>IF(Data_Override!K66="",Data!K66,Data_Override!K66)</f>
        <v>0</v>
      </c>
      <c r="O66" s="139">
        <f>IF(Data_Override!L66="",Data!L66,Data_Override!L66)</f>
        <v>0</v>
      </c>
      <c r="P66" s="140">
        <f t="shared" si="16"/>
        <v>0</v>
      </c>
      <c r="Q66" s="140">
        <f t="shared" si="17"/>
        <v>0</v>
      </c>
      <c r="S66" s="139">
        <f>IF(Data_Override!N66="",Data!N66,Data_Override!N66)</f>
        <v>583.14856946547002</v>
      </c>
      <c r="U66" s="139">
        <f>IF(Data_Override!P66="",Data!P66,Data_Override!P66)</f>
        <v>0</v>
      </c>
      <c r="V66" s="139">
        <f>IF(Data_Override!Q66="",Data!Q66,Data_Override!Q66)</f>
        <v>0</v>
      </c>
      <c r="W66" s="139">
        <f>IF(Data_Override!R66="",Data!R66,Data_Override!R66)</f>
        <v>0</v>
      </c>
      <c r="X66" s="139">
        <f>IF(Data_Override!S66="",Data!S66,Data_Override!S66)</f>
        <v>0</v>
      </c>
      <c r="Y66" s="140">
        <f t="shared" si="18"/>
        <v>0</v>
      </c>
      <c r="Z66" s="140">
        <f t="shared" si="19"/>
        <v>0</v>
      </c>
      <c r="AB66" s="139">
        <f>IF(Data_Override!U66="",Data!U66,Data_Override!U66)</f>
        <v>0</v>
      </c>
      <c r="AC66" s="139">
        <f>IF(Data_Override!V66="",Data!V66,Data_Override!V66)</f>
        <v>0</v>
      </c>
      <c r="AD66" s="139">
        <f>IF(Data_Override!W66="",Data!W66,Data_Override!W66)</f>
        <v>0</v>
      </c>
    </row>
    <row r="67" spans="1:30" hidden="1" x14ac:dyDescent="0.2">
      <c r="A67" s="138" t="str">
        <f>B67&amp;RIGHT(C67,2)</f>
        <v>SVT15</v>
      </c>
      <c r="B67" s="19" t="s">
        <v>107</v>
      </c>
      <c r="C67" s="143" t="s">
        <v>67</v>
      </c>
      <c r="D67" s="19" t="str">
        <f t="shared" si="12"/>
        <v>15</v>
      </c>
      <c r="E67" s="139">
        <f>IF(Data_Override!D67="",Data!D67,Data_Override!D67)</f>
        <v>0</v>
      </c>
      <c r="F67" s="139">
        <f>IF(Data_Override!E67="",Data!E67,Data_Override!E67)</f>
        <v>11.3390679317526</v>
      </c>
      <c r="G67" s="139">
        <f>IF(Data_Override!F67="",Data!F67,Data_Override!F67)</f>
        <v>0</v>
      </c>
      <c r="H67" s="139">
        <f>IF(Data_Override!G67="",Data!G67,Data_Override!G67)</f>
        <v>0</v>
      </c>
      <c r="I67" s="140">
        <f t="shared" si="13"/>
        <v>11.3390679317526</v>
      </c>
      <c r="J67" s="140">
        <f t="shared" si="14"/>
        <v>0</v>
      </c>
      <c r="L67" s="139">
        <f>IF(Data_Override!I67="",Data!I67,Data_Override!I67)</f>
        <v>0</v>
      </c>
      <c r="M67" s="139">
        <f>IF(Data_Override!J67="",Data!J67,Data_Override!J67)</f>
        <v>0</v>
      </c>
      <c r="N67" s="139">
        <f>IF(Data_Override!K67="",Data!K67,Data_Override!K67)</f>
        <v>0</v>
      </c>
      <c r="O67" s="139">
        <f>IF(Data_Override!L67="",Data!L67,Data_Override!L67)</f>
        <v>0</v>
      </c>
      <c r="P67" s="140">
        <f t="shared" si="16"/>
        <v>0</v>
      </c>
      <c r="Q67" s="140">
        <f t="shared" si="17"/>
        <v>0</v>
      </c>
      <c r="S67" s="139">
        <f>IF(Data_Override!N67="",Data!N67,Data_Override!N67)</f>
        <v>611.92452447891799</v>
      </c>
      <c r="U67" s="139">
        <f>IF(Data_Override!P67="",Data!P67,Data_Override!P67)</f>
        <v>0</v>
      </c>
      <c r="V67" s="139">
        <f>IF(Data_Override!Q67="",Data!Q67,Data_Override!Q67)</f>
        <v>0</v>
      </c>
      <c r="W67" s="139">
        <f>IF(Data_Override!R67="",Data!R67,Data_Override!R67)</f>
        <v>0</v>
      </c>
      <c r="X67" s="139">
        <f>IF(Data_Override!S67="",Data!S67,Data_Override!S67)</f>
        <v>0</v>
      </c>
      <c r="Y67" s="140">
        <f t="shared" si="18"/>
        <v>0</v>
      </c>
      <c r="Z67" s="140">
        <f t="shared" si="19"/>
        <v>0</v>
      </c>
      <c r="AB67" s="139">
        <f>IF(Data_Override!U67="",Data!U67,Data_Override!U67)</f>
        <v>0</v>
      </c>
      <c r="AC67" s="139">
        <f>IF(Data_Override!V67="",Data!V67,Data_Override!V67)</f>
        <v>0</v>
      </c>
      <c r="AD67" s="139">
        <f>IF(Data_Override!W67="",Data!W67,Data_Override!W67)</f>
        <v>0</v>
      </c>
    </row>
    <row r="68" spans="1:30" hidden="1" x14ac:dyDescent="0.2">
      <c r="A68" s="138" t="str">
        <f>B68&amp;RIGHT(C68,2)</f>
        <v>SVT16</v>
      </c>
      <c r="B68" s="19" t="s">
        <v>107</v>
      </c>
      <c r="C68" s="143" t="s">
        <v>68</v>
      </c>
      <c r="D68" s="19" t="str">
        <f t="shared" si="12"/>
        <v>16</v>
      </c>
      <c r="E68" s="139">
        <f>IF(Data_Override!D68="",Data!D68,Data_Override!D68)</f>
        <v>0</v>
      </c>
      <c r="F68" s="139">
        <f>IF(Data_Override!E68="",Data!E68,Data_Override!E68)</f>
        <v>5.0366302329450896</v>
      </c>
      <c r="G68" s="139">
        <f>IF(Data_Override!F68="",Data!F68,Data_Override!F68)</f>
        <v>0</v>
      </c>
      <c r="H68" s="139">
        <f>IF(Data_Override!G68="",Data!G68,Data_Override!G68)</f>
        <v>0</v>
      </c>
      <c r="I68" s="140">
        <f t="shared" si="13"/>
        <v>5.0366302329450896</v>
      </c>
      <c r="J68" s="140">
        <f t="shared" si="14"/>
        <v>0</v>
      </c>
      <c r="L68" s="139">
        <f>IF(Data_Override!I68="",Data!I68,Data_Override!I68)</f>
        <v>0</v>
      </c>
      <c r="M68" s="139">
        <f>IF(Data_Override!J68="",Data!J68,Data_Override!J68)</f>
        <v>0</v>
      </c>
      <c r="N68" s="139">
        <f>IF(Data_Override!K68="",Data!K68,Data_Override!K68)</f>
        <v>0</v>
      </c>
      <c r="O68" s="139">
        <f>IF(Data_Override!L68="",Data!L68,Data_Override!L68)</f>
        <v>0</v>
      </c>
      <c r="P68" s="140">
        <f t="shared" si="16"/>
        <v>0</v>
      </c>
      <c r="Q68" s="140">
        <f t="shared" si="17"/>
        <v>0</v>
      </c>
      <c r="S68" s="139">
        <f>IF(Data_Override!N68="",Data!N68,Data_Override!N68)</f>
        <v>587.18720381968706</v>
      </c>
      <c r="U68" s="139">
        <f>IF(Data_Override!P68="",Data!P68,Data_Override!P68)</f>
        <v>0</v>
      </c>
      <c r="V68" s="139">
        <f>IF(Data_Override!Q68="",Data!Q68,Data_Override!Q68)</f>
        <v>0</v>
      </c>
      <c r="W68" s="139">
        <f>IF(Data_Override!R68="",Data!R68,Data_Override!R68)</f>
        <v>0</v>
      </c>
      <c r="X68" s="139">
        <f>IF(Data_Override!S68="",Data!S68,Data_Override!S68)</f>
        <v>0</v>
      </c>
      <c r="Y68" s="140">
        <f t="shared" si="18"/>
        <v>0</v>
      </c>
      <c r="Z68" s="140">
        <f t="shared" si="19"/>
        <v>0</v>
      </c>
      <c r="AB68" s="139">
        <f>IF(Data_Override!U68="",Data!U68,Data_Override!U68)</f>
        <v>0</v>
      </c>
      <c r="AC68" s="139">
        <f>IF(Data_Override!V68="",Data!V68,Data_Override!V68)</f>
        <v>0</v>
      </c>
      <c r="AD68" s="139">
        <f>IF(Data_Override!W68="",Data!W68,Data_Override!W68)</f>
        <v>0</v>
      </c>
    </row>
    <row r="69" spans="1:30" hidden="1" x14ac:dyDescent="0.2">
      <c r="A69" s="138" t="str">
        <f t="shared" ref="A69" si="22">B69&amp;RIGHT(C69,2)</f>
        <v>SVT17</v>
      </c>
      <c r="B69" s="19" t="s">
        <v>107</v>
      </c>
      <c r="C69" s="143" t="s">
        <v>69</v>
      </c>
      <c r="D69" s="19" t="str">
        <f t="shared" si="12"/>
        <v>17</v>
      </c>
      <c r="E69" s="139">
        <f>IF(Data_Override!D69="",Data!D69,Data_Override!D69)</f>
        <v>0</v>
      </c>
      <c r="F69" s="139">
        <f>IF(Data_Override!E69="",Data!E69,Data_Override!E69)</f>
        <v>5.2625781698809897</v>
      </c>
      <c r="G69" s="139">
        <f>IF(Data_Override!F69="",Data!F69,Data_Override!F69)</f>
        <v>0</v>
      </c>
      <c r="H69" s="139">
        <f>IF(Data_Override!G69="",Data!G69,Data_Override!G69)</f>
        <v>0</v>
      </c>
      <c r="I69" s="140">
        <f t="shared" si="13"/>
        <v>5.2625781698809897</v>
      </c>
      <c r="J69" s="140">
        <f t="shared" si="14"/>
        <v>0</v>
      </c>
      <c r="L69" s="139">
        <f>IF(Data_Override!I69="",Data!I69,Data_Override!I69)</f>
        <v>0</v>
      </c>
      <c r="M69" s="139">
        <f>IF(Data_Override!J69="",Data!J69,Data_Override!J69)</f>
        <v>0</v>
      </c>
      <c r="N69" s="139">
        <f>IF(Data_Override!K69="",Data!K69,Data_Override!K69)</f>
        <v>0</v>
      </c>
      <c r="O69" s="139">
        <f>IF(Data_Override!L69="",Data!L69,Data_Override!L69)</f>
        <v>0</v>
      </c>
      <c r="P69" s="140">
        <f t="shared" si="16"/>
        <v>0</v>
      </c>
      <c r="Q69" s="140">
        <f t="shared" si="17"/>
        <v>0</v>
      </c>
      <c r="S69" s="139">
        <f>IF(Data_Override!N69="",Data!N69,Data_Override!N69)</f>
        <v>609.94506897156396</v>
      </c>
      <c r="U69" s="139">
        <f>IF(Data_Override!P69="",Data!P69,Data_Override!P69)</f>
        <v>0</v>
      </c>
      <c r="V69" s="139">
        <f>IF(Data_Override!Q69="",Data!Q69,Data_Override!Q69)</f>
        <v>0</v>
      </c>
      <c r="W69" s="139">
        <f>IF(Data_Override!R69="",Data!R69,Data_Override!R69)</f>
        <v>0</v>
      </c>
      <c r="X69" s="139">
        <f>IF(Data_Override!S69="",Data!S69,Data_Override!S69)</f>
        <v>0</v>
      </c>
      <c r="Y69" s="140">
        <f t="shared" si="18"/>
        <v>0</v>
      </c>
      <c r="Z69" s="140">
        <f t="shared" si="19"/>
        <v>0</v>
      </c>
      <c r="AB69" s="139">
        <f>IF(Data_Override!U69="",Data!U69,Data_Override!U69)</f>
        <v>0</v>
      </c>
      <c r="AC69" s="139">
        <f>IF(Data_Override!V69="",Data!V69,Data_Override!V69)</f>
        <v>0</v>
      </c>
      <c r="AD69" s="139">
        <f>IF(Data_Override!W69="",Data!W69,Data_Override!W69)</f>
        <v>0</v>
      </c>
    </row>
    <row r="70" spans="1:30" hidden="1" x14ac:dyDescent="0.2">
      <c r="A70" s="141" t="s">
        <v>166</v>
      </c>
      <c r="B70" s="142" t="s">
        <v>107</v>
      </c>
      <c r="C70" s="142" t="s">
        <v>70</v>
      </c>
      <c r="D70" s="19" t="str">
        <f t="shared" si="12"/>
        <v>18</v>
      </c>
      <c r="E70" s="139">
        <f>IF(Data_Override!D70="",Data!D70,Data_Override!D70)</f>
        <v>0</v>
      </c>
      <c r="F70" s="139">
        <f>IF(Data_Override!E70="",Data!E70,Data_Override!E70)</f>
        <v>1.1299999999999999</v>
      </c>
      <c r="G70" s="139">
        <f>IF(Data_Override!F70="",Data!F70,Data_Override!F70)</f>
        <v>0</v>
      </c>
      <c r="H70" s="139">
        <f>IF(Data_Override!G70="",Data!G70,Data_Override!G70)</f>
        <v>0</v>
      </c>
      <c r="I70" s="140">
        <f t="shared" si="13"/>
        <v>1.1299999999999999</v>
      </c>
      <c r="J70" s="140">
        <f t="shared" si="14"/>
        <v>0</v>
      </c>
      <c r="L70" s="139">
        <f>IF(Data_Override!I70="",Data!I70,Data_Override!I70)</f>
        <v>0</v>
      </c>
      <c r="M70" s="139">
        <f>IF(Data_Override!J70="",Data!J70,Data_Override!J70)</f>
        <v>0</v>
      </c>
      <c r="N70" s="139">
        <f>IF(Data_Override!K70="",Data!K70,Data_Override!K70)</f>
        <v>0</v>
      </c>
      <c r="O70" s="139">
        <f>IF(Data_Override!L70="",Data!L70,Data_Override!L70)</f>
        <v>0</v>
      </c>
      <c r="P70" s="140">
        <f t="shared" si="16"/>
        <v>0</v>
      </c>
      <c r="Q70" s="140">
        <f t="shared" si="17"/>
        <v>0</v>
      </c>
      <c r="S70" s="139">
        <f>IF(Data_Override!N70="",Data!N70,Data_Override!N70)</f>
        <v>683.78599999999994</v>
      </c>
      <c r="U70" s="139">
        <f>IF(Data_Override!P70="",Data!P70,Data_Override!P70)</f>
        <v>5.21</v>
      </c>
      <c r="V70" s="139">
        <f>IF(Data_Override!Q70="",Data!Q70,Data_Override!Q70)</f>
        <v>5.21</v>
      </c>
      <c r="W70" s="139">
        <f>IF(Data_Override!R70="",Data!R70,Data_Override!R70)</f>
        <v>1.65</v>
      </c>
      <c r="X70" s="139">
        <f>IF(Data_Override!S70="",Data!S70,Data_Override!S70)</f>
        <v>1.65</v>
      </c>
      <c r="Y70" s="140">
        <f t="shared" si="18"/>
        <v>5.21</v>
      </c>
      <c r="Z70" s="140">
        <f t="shared" si="19"/>
        <v>1.65</v>
      </c>
      <c r="AB70" s="139">
        <f>IF(Data_Override!U70="",Data!U70,Data_Override!U70)</f>
        <v>442.52</v>
      </c>
      <c r="AC70" s="139">
        <f>IF(Data_Override!V70="",Data!V70,Data_Override!V70)</f>
        <v>47151.4</v>
      </c>
      <c r="AD70" s="139">
        <f>IF(Data_Override!W70="",Data!W70,Data_Override!W70)</f>
        <v>3588.7159999999999</v>
      </c>
    </row>
    <row r="71" spans="1:30" hidden="1" x14ac:dyDescent="0.2">
      <c r="A71" s="141" t="s">
        <v>167</v>
      </c>
      <c r="B71" s="142" t="s">
        <v>107</v>
      </c>
      <c r="C71" s="142" t="s">
        <v>71</v>
      </c>
      <c r="D71" s="19" t="str">
        <f t="shared" si="12"/>
        <v>19</v>
      </c>
      <c r="E71" s="139">
        <f>IF(Data_Override!D71="",Data!D71,Data_Override!D71)</f>
        <v>0</v>
      </c>
      <c r="F71" s="139">
        <f>IF(Data_Override!E71="",Data!E71,Data_Override!E71)</f>
        <v>0</v>
      </c>
      <c r="G71" s="139">
        <f>IF(Data_Override!F71="",Data!F71,Data_Override!F71)</f>
        <v>0</v>
      </c>
      <c r="H71" s="139">
        <f>IF(Data_Override!G71="",Data!G71,Data_Override!G71)</f>
        <v>0</v>
      </c>
      <c r="I71" s="140">
        <f t="shared" si="13"/>
        <v>0</v>
      </c>
      <c r="J71" s="140">
        <f t="shared" si="14"/>
        <v>0</v>
      </c>
      <c r="L71" s="139">
        <f>IF(Data_Override!I71="",Data!I71,Data_Override!I71)</f>
        <v>0</v>
      </c>
      <c r="M71" s="139">
        <f>IF(Data_Override!J71="",Data!J71,Data_Override!J71)</f>
        <v>0</v>
      </c>
      <c r="N71" s="139">
        <f>IF(Data_Override!K71="",Data!K71,Data_Override!K71)</f>
        <v>0</v>
      </c>
      <c r="O71" s="139">
        <f>IF(Data_Override!L71="",Data!L71,Data_Override!L71)</f>
        <v>0</v>
      </c>
      <c r="P71" s="140">
        <f t="shared" si="16"/>
        <v>0</v>
      </c>
      <c r="Q71" s="140">
        <f t="shared" si="17"/>
        <v>0</v>
      </c>
      <c r="S71" s="139">
        <f>IF(Data_Override!N71="",Data!N71,Data_Override!N71)</f>
        <v>0</v>
      </c>
      <c r="U71" s="139">
        <f>IF(Data_Override!P71="",Data!P71,Data_Override!P71)</f>
        <v>0</v>
      </c>
      <c r="V71" s="139">
        <f>IF(Data_Override!Q71="",Data!Q71,Data_Override!Q71)</f>
        <v>0</v>
      </c>
      <c r="W71" s="139">
        <f>IF(Data_Override!R71="",Data!R71,Data_Override!R71)</f>
        <v>0</v>
      </c>
      <c r="X71" s="139">
        <f>IF(Data_Override!S71="",Data!S71,Data_Override!S71)</f>
        <v>0</v>
      </c>
      <c r="Y71" s="140">
        <f t="shared" si="18"/>
        <v>0</v>
      </c>
      <c r="Z71" s="140">
        <f t="shared" si="19"/>
        <v>0</v>
      </c>
      <c r="AB71" s="139">
        <f>IF(Data_Override!U71="",Data!U71,Data_Override!U71)</f>
        <v>0</v>
      </c>
      <c r="AC71" s="139">
        <f>IF(Data_Override!V71="",Data!V71,Data_Override!V71)</f>
        <v>0</v>
      </c>
      <c r="AD71" s="139">
        <f>IF(Data_Override!W71="",Data!W71,Data_Override!W71)</f>
        <v>0</v>
      </c>
    </row>
    <row r="72" spans="1:30" hidden="1" x14ac:dyDescent="0.2">
      <c r="A72" s="141" t="s">
        <v>168</v>
      </c>
      <c r="B72" s="142" t="s">
        <v>107</v>
      </c>
      <c r="C72" s="142" t="s">
        <v>72</v>
      </c>
      <c r="D72" s="19" t="str">
        <f t="shared" si="12"/>
        <v>20</v>
      </c>
      <c r="E72" s="139">
        <f>IF(Data_Override!D72="",Data!D72,Data_Override!D72)</f>
        <v>0</v>
      </c>
      <c r="F72" s="139">
        <f>IF(Data_Override!E72="",Data!E72,Data_Override!E72)</f>
        <v>0</v>
      </c>
      <c r="G72" s="139">
        <f>IF(Data_Override!F72="",Data!F72,Data_Override!F72)</f>
        <v>0</v>
      </c>
      <c r="H72" s="139">
        <f>IF(Data_Override!G72="",Data!G72,Data_Override!G72)</f>
        <v>0</v>
      </c>
      <c r="I72" s="140">
        <f t="shared" si="13"/>
        <v>0</v>
      </c>
      <c r="J72" s="140">
        <f t="shared" si="14"/>
        <v>0</v>
      </c>
      <c r="L72" s="139">
        <f>IF(Data_Override!I72="",Data!I72,Data_Override!I72)</f>
        <v>0</v>
      </c>
      <c r="M72" s="139">
        <f>IF(Data_Override!J72="",Data!J72,Data_Override!J72)</f>
        <v>0</v>
      </c>
      <c r="N72" s="139">
        <f>IF(Data_Override!K72="",Data!K72,Data_Override!K72)</f>
        <v>0</v>
      </c>
      <c r="O72" s="139">
        <f>IF(Data_Override!L72="",Data!L72,Data_Override!L72)</f>
        <v>0</v>
      </c>
      <c r="P72" s="140">
        <f t="shared" si="16"/>
        <v>0</v>
      </c>
      <c r="Q72" s="140">
        <f t="shared" si="17"/>
        <v>0</v>
      </c>
      <c r="S72" s="139">
        <f>IF(Data_Override!N72="",Data!N72,Data_Override!N72)</f>
        <v>0</v>
      </c>
      <c r="U72" s="139">
        <f>IF(Data_Override!P72="",Data!P72,Data_Override!P72)</f>
        <v>0</v>
      </c>
      <c r="V72" s="139">
        <f>IF(Data_Override!Q72="",Data!Q72,Data_Override!Q72)</f>
        <v>0</v>
      </c>
      <c r="W72" s="139">
        <f>IF(Data_Override!R72="",Data!R72,Data_Override!R72)</f>
        <v>0</v>
      </c>
      <c r="X72" s="139">
        <f>IF(Data_Override!S72="",Data!S72,Data_Override!S72)</f>
        <v>0</v>
      </c>
      <c r="Y72" s="140">
        <f t="shared" si="18"/>
        <v>0</v>
      </c>
      <c r="Z72" s="140">
        <f t="shared" si="19"/>
        <v>0</v>
      </c>
      <c r="AB72" s="139">
        <f>IF(Data_Override!U72="",Data!U72,Data_Override!U72)</f>
        <v>0</v>
      </c>
      <c r="AC72" s="139">
        <f>IF(Data_Override!V72="",Data!V72,Data_Override!V72)</f>
        <v>0</v>
      </c>
      <c r="AD72" s="139">
        <f>IF(Data_Override!W72="",Data!W72,Data_Override!W72)</f>
        <v>0</v>
      </c>
    </row>
    <row r="73" spans="1:30" x14ac:dyDescent="0.2">
      <c r="A73" s="141" t="s">
        <v>169</v>
      </c>
      <c r="B73" s="142" t="s">
        <v>107</v>
      </c>
      <c r="C73" s="142" t="s">
        <v>73</v>
      </c>
      <c r="D73" s="19" t="str">
        <f t="shared" si="12"/>
        <v>21</v>
      </c>
      <c r="E73" s="139">
        <f>IF(Data_Override!D73="",Data!D73,Data_Override!D73)</f>
        <v>0</v>
      </c>
      <c r="F73" s="139">
        <f>IF(Data_Override!E73="",Data!E73,Data_Override!E73)</f>
        <v>0</v>
      </c>
      <c r="G73" s="139">
        <f>IF(Data_Override!F73="",Data!F73,Data_Override!F73)</f>
        <v>0</v>
      </c>
      <c r="H73" s="139">
        <f>IF(Data_Override!G73="",Data!G73,Data_Override!G73)</f>
        <v>0</v>
      </c>
      <c r="I73" s="140">
        <f t="shared" si="13"/>
        <v>0</v>
      </c>
      <c r="J73" s="140">
        <f t="shared" si="14"/>
        <v>0</v>
      </c>
      <c r="L73" s="139">
        <f>IF(Data_Override!I73="",Data!I73,Data_Override!I73)</f>
        <v>0</v>
      </c>
      <c r="M73" s="139">
        <f>IF(Data_Override!J73="",Data!J73,Data_Override!J73)</f>
        <v>0</v>
      </c>
      <c r="N73" s="139">
        <f>IF(Data_Override!K73="",Data!K73,Data_Override!K73)</f>
        <v>0</v>
      </c>
      <c r="O73" s="139">
        <f>IF(Data_Override!L73="",Data!L73,Data_Override!L73)</f>
        <v>0</v>
      </c>
      <c r="P73" s="140">
        <f t="shared" si="16"/>
        <v>0</v>
      </c>
      <c r="Q73" s="140">
        <f t="shared" si="17"/>
        <v>0</v>
      </c>
      <c r="S73" s="139">
        <f>IF(Data_Override!N73="",Data!N73,Data_Override!N73)</f>
        <v>0</v>
      </c>
      <c r="U73" s="139">
        <f>IF(Data_Override!P73="",Data!P73,Data_Override!P73)</f>
        <v>0</v>
      </c>
      <c r="V73" s="139">
        <f>IF(Data_Override!Q73="",Data!Q73,Data_Override!Q73)</f>
        <v>0</v>
      </c>
      <c r="W73" s="139">
        <f>IF(Data_Override!R73="",Data!R73,Data_Override!R73)</f>
        <v>0</v>
      </c>
      <c r="X73" s="139">
        <f>IF(Data_Override!S73="",Data!S73,Data_Override!S73)</f>
        <v>0</v>
      </c>
      <c r="Y73" s="140">
        <f t="shared" si="18"/>
        <v>0</v>
      </c>
      <c r="Z73" s="140">
        <f t="shared" si="19"/>
        <v>0</v>
      </c>
      <c r="AB73" s="139">
        <f>IF(Data_Override!U73="",Data!U73,Data_Override!U73)</f>
        <v>0</v>
      </c>
      <c r="AC73" s="139">
        <f>IF(Data_Override!V73="",Data!V73,Data_Override!V73)</f>
        <v>0</v>
      </c>
      <c r="AD73" s="139">
        <f>IF(Data_Override!W73="",Data!W73,Data_Override!W73)</f>
        <v>0</v>
      </c>
    </row>
    <row r="74" spans="1:30" x14ac:dyDescent="0.2">
      <c r="A74" s="141" t="s">
        <v>170</v>
      </c>
      <c r="B74" s="142" t="s">
        <v>107</v>
      </c>
      <c r="C74" s="142" t="s">
        <v>74</v>
      </c>
      <c r="D74" s="19" t="str">
        <f t="shared" si="12"/>
        <v>22</v>
      </c>
      <c r="E74" s="139">
        <f>IF(Data_Override!D74="",Data!D74,Data_Override!D74)</f>
        <v>0</v>
      </c>
      <c r="F74" s="139">
        <f>IF(Data_Override!E74="",Data!E74,Data_Override!E74)</f>
        <v>0</v>
      </c>
      <c r="G74" s="139">
        <f>IF(Data_Override!F74="",Data!F74,Data_Override!F74)</f>
        <v>0</v>
      </c>
      <c r="H74" s="139">
        <f>IF(Data_Override!G74="",Data!G74,Data_Override!G74)</f>
        <v>0</v>
      </c>
      <c r="I74" s="140">
        <f t="shared" si="13"/>
        <v>0</v>
      </c>
      <c r="J74" s="140">
        <f t="shared" si="14"/>
        <v>0</v>
      </c>
      <c r="L74" s="139">
        <f>IF(Data_Override!I74="",Data!I74,Data_Override!I74)</f>
        <v>0</v>
      </c>
      <c r="M74" s="139">
        <f>IF(Data_Override!J74="",Data!J74,Data_Override!J74)</f>
        <v>0</v>
      </c>
      <c r="N74" s="139">
        <f>IF(Data_Override!K74="",Data!K74,Data_Override!K74)</f>
        <v>0</v>
      </c>
      <c r="O74" s="139">
        <f>IF(Data_Override!L74="",Data!L74,Data_Override!L74)</f>
        <v>0</v>
      </c>
      <c r="P74" s="140">
        <f t="shared" si="16"/>
        <v>0</v>
      </c>
      <c r="Q74" s="140">
        <f t="shared" si="17"/>
        <v>0</v>
      </c>
      <c r="S74" s="139">
        <f>IF(Data_Override!N74="",Data!N74,Data_Override!N74)</f>
        <v>0</v>
      </c>
      <c r="U74" s="139">
        <f>IF(Data_Override!P74="",Data!P74,Data_Override!P74)</f>
        <v>0</v>
      </c>
      <c r="V74" s="139">
        <f>IF(Data_Override!Q74="",Data!Q74,Data_Override!Q74)</f>
        <v>0</v>
      </c>
      <c r="W74" s="139">
        <f>IF(Data_Override!R74="",Data!R74,Data_Override!R74)</f>
        <v>0</v>
      </c>
      <c r="X74" s="139">
        <f>IF(Data_Override!S74="",Data!S74,Data_Override!S74)</f>
        <v>0</v>
      </c>
      <c r="Y74" s="140">
        <f t="shared" si="18"/>
        <v>0</v>
      </c>
      <c r="Z74" s="140">
        <f t="shared" si="19"/>
        <v>0</v>
      </c>
      <c r="AB74" s="139">
        <f>IF(Data_Override!U74="",Data!U74,Data_Override!U74)</f>
        <v>0</v>
      </c>
      <c r="AC74" s="139">
        <f>IF(Data_Override!V74="",Data!V74,Data_Override!V74)</f>
        <v>0</v>
      </c>
      <c r="AD74" s="139">
        <f>IF(Data_Override!W74="",Data!W74,Data_Override!W74)</f>
        <v>0</v>
      </c>
    </row>
    <row r="75" spans="1:30" x14ac:dyDescent="0.2">
      <c r="A75" s="141" t="s">
        <v>171</v>
      </c>
      <c r="B75" s="142" t="s">
        <v>107</v>
      </c>
      <c r="C75" s="142" t="s">
        <v>75</v>
      </c>
      <c r="D75" s="19" t="str">
        <f t="shared" si="12"/>
        <v>23</v>
      </c>
      <c r="E75" s="139">
        <f>IF(Data_Override!D75="",Data!D75,Data_Override!D75)</f>
        <v>0</v>
      </c>
      <c r="F75" s="139">
        <f>IF(Data_Override!E75="",Data!E75,Data_Override!E75)</f>
        <v>0</v>
      </c>
      <c r="G75" s="139">
        <f>IF(Data_Override!F75="",Data!F75,Data_Override!F75)</f>
        <v>0</v>
      </c>
      <c r="H75" s="139">
        <f>IF(Data_Override!G75="",Data!G75,Data_Override!G75)</f>
        <v>0</v>
      </c>
      <c r="I75" s="140">
        <f t="shared" si="13"/>
        <v>0</v>
      </c>
      <c r="J75" s="140">
        <f t="shared" si="14"/>
        <v>0</v>
      </c>
      <c r="L75" s="139">
        <f>IF(Data_Override!I75="",Data!I75,Data_Override!I75)</f>
        <v>0</v>
      </c>
      <c r="M75" s="139">
        <f>IF(Data_Override!J75="",Data!J75,Data_Override!J75)</f>
        <v>0</v>
      </c>
      <c r="N75" s="139">
        <f>IF(Data_Override!K75="",Data!K75,Data_Override!K75)</f>
        <v>0</v>
      </c>
      <c r="O75" s="139">
        <f>IF(Data_Override!L75="",Data!L75,Data_Override!L75)</f>
        <v>0</v>
      </c>
      <c r="P75" s="140">
        <f t="shared" si="16"/>
        <v>0</v>
      </c>
      <c r="Q75" s="140">
        <f t="shared" si="17"/>
        <v>0</v>
      </c>
      <c r="S75" s="139">
        <f>IF(Data_Override!N75="",Data!N75,Data_Override!N75)</f>
        <v>0</v>
      </c>
      <c r="U75" s="139">
        <f>IF(Data_Override!P75="",Data!P75,Data_Override!P75)</f>
        <v>0</v>
      </c>
      <c r="V75" s="139">
        <f>IF(Data_Override!Q75="",Data!Q75,Data_Override!Q75)</f>
        <v>0</v>
      </c>
      <c r="W75" s="139">
        <f>IF(Data_Override!R75="",Data!R75,Data_Override!R75)</f>
        <v>0</v>
      </c>
      <c r="X75" s="139">
        <f>IF(Data_Override!S75="",Data!S75,Data_Override!S75)</f>
        <v>0</v>
      </c>
      <c r="Y75" s="140">
        <f t="shared" si="18"/>
        <v>0</v>
      </c>
      <c r="Z75" s="140">
        <f t="shared" si="19"/>
        <v>0</v>
      </c>
      <c r="AB75" s="139">
        <f>IF(Data_Override!U75="",Data!U75,Data_Override!U75)</f>
        <v>0</v>
      </c>
      <c r="AC75" s="139">
        <f>IF(Data_Override!V75="",Data!V75,Data_Override!V75)</f>
        <v>0</v>
      </c>
      <c r="AD75" s="139">
        <f>IF(Data_Override!W75="",Data!W75,Data_Override!W75)</f>
        <v>0</v>
      </c>
    </row>
    <row r="76" spans="1:30" x14ac:dyDescent="0.2">
      <c r="A76" s="141" t="s">
        <v>172</v>
      </c>
      <c r="B76" s="142" t="s">
        <v>107</v>
      </c>
      <c r="C76" s="142" t="s">
        <v>76</v>
      </c>
      <c r="D76" s="19" t="str">
        <f t="shared" si="12"/>
        <v>24</v>
      </c>
      <c r="E76" s="139">
        <f>IF(Data_Override!D76="",Data!D76,Data_Override!D76)</f>
        <v>0</v>
      </c>
      <c r="F76" s="139">
        <f>IF(Data_Override!E76="",Data!E76,Data_Override!E76)</f>
        <v>0</v>
      </c>
      <c r="G76" s="139">
        <f>IF(Data_Override!F76="",Data!F76,Data_Override!F76)</f>
        <v>0</v>
      </c>
      <c r="H76" s="139">
        <f>IF(Data_Override!G76="",Data!G76,Data_Override!G76)</f>
        <v>0</v>
      </c>
      <c r="I76" s="140">
        <f t="shared" si="13"/>
        <v>0</v>
      </c>
      <c r="J76" s="140">
        <f t="shared" si="14"/>
        <v>0</v>
      </c>
      <c r="L76" s="139">
        <f>IF(Data_Override!I76="",Data!I76,Data_Override!I76)</f>
        <v>0</v>
      </c>
      <c r="M76" s="139">
        <f>IF(Data_Override!J76="",Data!J76,Data_Override!J76)</f>
        <v>0</v>
      </c>
      <c r="N76" s="139">
        <f>IF(Data_Override!K76="",Data!K76,Data_Override!K76)</f>
        <v>0</v>
      </c>
      <c r="O76" s="139">
        <f>IF(Data_Override!L76="",Data!L76,Data_Override!L76)</f>
        <v>0</v>
      </c>
      <c r="P76" s="140">
        <f t="shared" si="16"/>
        <v>0</v>
      </c>
      <c r="Q76" s="140">
        <f t="shared" si="17"/>
        <v>0</v>
      </c>
      <c r="S76" s="139">
        <f>IF(Data_Override!N76="",Data!N76,Data_Override!N76)</f>
        <v>0</v>
      </c>
      <c r="U76" s="139">
        <f>IF(Data_Override!P76="",Data!P76,Data_Override!P76)</f>
        <v>0</v>
      </c>
      <c r="V76" s="139">
        <f>IF(Data_Override!Q76="",Data!Q76,Data_Override!Q76)</f>
        <v>0</v>
      </c>
      <c r="W76" s="139">
        <f>IF(Data_Override!R76="",Data!R76,Data_Override!R76)</f>
        <v>0</v>
      </c>
      <c r="X76" s="139">
        <f>IF(Data_Override!S76="",Data!S76,Data_Override!S76)</f>
        <v>0</v>
      </c>
      <c r="Y76" s="140">
        <f t="shared" si="18"/>
        <v>0</v>
      </c>
      <c r="Z76" s="140">
        <f t="shared" si="19"/>
        <v>0</v>
      </c>
      <c r="AB76" s="139">
        <f>IF(Data_Override!U76="",Data!U76,Data_Override!U76)</f>
        <v>0</v>
      </c>
      <c r="AC76" s="139">
        <f>IF(Data_Override!V76="",Data!V76,Data_Override!V76)</f>
        <v>0</v>
      </c>
      <c r="AD76" s="139">
        <f>IF(Data_Override!W76="",Data!W76,Data_Override!W76)</f>
        <v>0</v>
      </c>
    </row>
    <row r="77" spans="1:30" x14ac:dyDescent="0.2">
      <c r="A77" s="141" t="s">
        <v>173</v>
      </c>
      <c r="B77" s="142" t="s">
        <v>107</v>
      </c>
      <c r="C77" s="142" t="s">
        <v>24</v>
      </c>
      <c r="D77" s="19" t="str">
        <f t="shared" si="12"/>
        <v>25</v>
      </c>
      <c r="E77" s="139">
        <f>IF(Data_Override!D77="",Data!D77,Data_Override!D77)</f>
        <v>0</v>
      </c>
      <c r="F77" s="139">
        <f>IF(Data_Override!E77="",Data!E77,Data_Override!E77)</f>
        <v>0</v>
      </c>
      <c r="G77" s="139">
        <f>IF(Data_Override!F77="",Data!F77,Data_Override!F77)</f>
        <v>0</v>
      </c>
      <c r="H77" s="139">
        <f>IF(Data_Override!G77="",Data!G77,Data_Override!G77)</f>
        <v>0</v>
      </c>
      <c r="I77" s="140">
        <f t="shared" si="13"/>
        <v>0</v>
      </c>
      <c r="J77" s="140">
        <f t="shared" si="14"/>
        <v>0</v>
      </c>
      <c r="L77" s="139">
        <f>IF(Data_Override!I77="",Data!I77,Data_Override!I77)</f>
        <v>0</v>
      </c>
      <c r="M77" s="139">
        <f>IF(Data_Override!J77="",Data!J77,Data_Override!J77)</f>
        <v>0</v>
      </c>
      <c r="N77" s="139">
        <f>IF(Data_Override!K77="",Data!K77,Data_Override!K77)</f>
        <v>0</v>
      </c>
      <c r="O77" s="139">
        <f>IF(Data_Override!L77="",Data!L77,Data_Override!L77)</f>
        <v>0</v>
      </c>
      <c r="P77" s="140">
        <f t="shared" si="16"/>
        <v>0</v>
      </c>
      <c r="Q77" s="140">
        <f t="shared" si="17"/>
        <v>0</v>
      </c>
      <c r="S77" s="139">
        <f>IF(Data_Override!N77="",Data!N77,Data_Override!N77)</f>
        <v>0</v>
      </c>
      <c r="U77" s="139">
        <f>IF(Data_Override!P77="",Data!P77,Data_Override!P77)</f>
        <v>0</v>
      </c>
      <c r="V77" s="139">
        <f>IF(Data_Override!Q77="",Data!Q77,Data_Override!Q77)</f>
        <v>0</v>
      </c>
      <c r="W77" s="139">
        <f>IF(Data_Override!R77="",Data!R77,Data_Override!R77)</f>
        <v>0</v>
      </c>
      <c r="X77" s="139">
        <f>IF(Data_Override!S77="",Data!S77,Data_Override!S77)</f>
        <v>0</v>
      </c>
      <c r="Y77" s="140">
        <f t="shared" si="18"/>
        <v>0</v>
      </c>
      <c r="Z77" s="140">
        <f t="shared" si="19"/>
        <v>0</v>
      </c>
      <c r="AB77" s="139">
        <f>IF(Data_Override!U77="",Data!U77,Data_Override!U77)</f>
        <v>0</v>
      </c>
      <c r="AC77" s="139">
        <f>IF(Data_Override!V77="",Data!V77,Data_Override!V77)</f>
        <v>0</v>
      </c>
      <c r="AD77" s="139">
        <f>IF(Data_Override!W77="",Data!W77,Data_Override!W77)</f>
        <v>0</v>
      </c>
    </row>
    <row r="78" spans="1:30" hidden="1" x14ac:dyDescent="0.2">
      <c r="A78" s="138" t="str">
        <f t="shared" ref="A78:A83" si="23">B78&amp;RIGHT(C78,2)</f>
        <v>SWT12</v>
      </c>
      <c r="B78" s="19" t="s">
        <v>109</v>
      </c>
      <c r="C78" s="143" t="s">
        <v>64</v>
      </c>
      <c r="D78" s="19" t="str">
        <f t="shared" ref="D78:D114" si="24">RIGHT(A78,2)</f>
        <v>12</v>
      </c>
      <c r="E78" s="139">
        <f>IF(Data_Override!D78="",Data!D78,Data_Override!D78)</f>
        <v>0</v>
      </c>
      <c r="F78" s="139">
        <f>IF(Data_Override!E78="",Data!E78,Data_Override!E78)</f>
        <v>5.3043032605814201E-2</v>
      </c>
      <c r="G78" s="139">
        <f>IF(Data_Override!F78="",Data!F78,Data_Override!F78)</f>
        <v>0</v>
      </c>
      <c r="H78" s="139">
        <f>IF(Data_Override!G78="",Data!G78,Data_Override!G78)</f>
        <v>0</v>
      </c>
      <c r="I78" s="140">
        <f t="shared" ref="I78:I114" si="25">IFERROR(SUM(E78:F78),"")</f>
        <v>5.3043032605814201E-2</v>
      </c>
      <c r="J78" s="140">
        <f t="shared" ref="J78:J114" si="26">IFERROR(SUM(G78:H78),"")</f>
        <v>0</v>
      </c>
      <c r="L78" s="139">
        <f>IF(Data_Override!I78="",Data!I78,Data_Override!I78)</f>
        <v>0</v>
      </c>
      <c r="M78" s="139">
        <f>IF(Data_Override!J78="",Data!J78,Data_Override!J78)</f>
        <v>0</v>
      </c>
      <c r="N78" s="139">
        <f>IF(Data_Override!K78="",Data!K78,Data_Override!K78)</f>
        <v>0</v>
      </c>
      <c r="O78" s="139">
        <f>IF(Data_Override!L78="",Data!L78,Data_Override!L78)</f>
        <v>0</v>
      </c>
      <c r="P78" s="140">
        <f t="shared" si="16"/>
        <v>0</v>
      </c>
      <c r="Q78" s="140">
        <f t="shared" si="17"/>
        <v>0</v>
      </c>
      <c r="S78" s="139">
        <f>IF(Data_Override!N78="",Data!N78,Data_Override!N78)</f>
        <v>140.70106423963901</v>
      </c>
      <c r="U78" s="139">
        <f>IF(Data_Override!P78="",Data!P78,Data_Override!P78)</f>
        <v>0</v>
      </c>
      <c r="V78" s="139">
        <f>IF(Data_Override!Q78="",Data!Q78,Data_Override!Q78)</f>
        <v>0</v>
      </c>
      <c r="W78" s="139">
        <f>IF(Data_Override!R78="",Data!R78,Data_Override!R78)</f>
        <v>0</v>
      </c>
      <c r="X78" s="139">
        <f>IF(Data_Override!S78="",Data!S78,Data_Override!S78)</f>
        <v>0</v>
      </c>
      <c r="Y78" s="140">
        <f t="shared" si="18"/>
        <v>0</v>
      </c>
      <c r="Z78" s="140">
        <f t="shared" si="19"/>
        <v>0</v>
      </c>
      <c r="AB78" s="139">
        <f>IF(Data_Override!U78="",Data!U78,Data_Override!U78)</f>
        <v>0</v>
      </c>
      <c r="AC78" s="139">
        <f>IF(Data_Override!V78="",Data!V78,Data_Override!V78)</f>
        <v>0</v>
      </c>
      <c r="AD78" s="139">
        <f>IF(Data_Override!W78="",Data!W78,Data_Override!W78)</f>
        <v>0</v>
      </c>
    </row>
    <row r="79" spans="1:30" hidden="1" x14ac:dyDescent="0.2">
      <c r="A79" s="138" t="str">
        <f t="shared" si="23"/>
        <v>SWT13</v>
      </c>
      <c r="B79" s="19" t="s">
        <v>109</v>
      </c>
      <c r="C79" s="143" t="s">
        <v>65</v>
      </c>
      <c r="D79" s="19" t="str">
        <f t="shared" si="24"/>
        <v>13</v>
      </c>
      <c r="E79" s="139">
        <f>IF(Data_Override!D79="",Data!D79,Data_Override!D79)</f>
        <v>0</v>
      </c>
      <c r="F79" s="139">
        <f>IF(Data_Override!E79="",Data!E79,Data_Override!E79)</f>
        <v>3.1291975841242298E-2</v>
      </c>
      <c r="G79" s="139">
        <f>IF(Data_Override!F79="",Data!F79,Data_Override!F79)</f>
        <v>0</v>
      </c>
      <c r="H79" s="139">
        <f>IF(Data_Override!G79="",Data!G79,Data_Override!G79)</f>
        <v>0</v>
      </c>
      <c r="I79" s="140">
        <f t="shared" si="25"/>
        <v>3.1291975841242298E-2</v>
      </c>
      <c r="J79" s="140">
        <f t="shared" si="26"/>
        <v>0</v>
      </c>
      <c r="L79" s="139">
        <f>IF(Data_Override!I79="",Data!I79,Data_Override!I79)</f>
        <v>0</v>
      </c>
      <c r="M79" s="139">
        <f>IF(Data_Override!J79="",Data!J79,Data_Override!J79)</f>
        <v>0</v>
      </c>
      <c r="N79" s="139">
        <f>IF(Data_Override!K79="",Data!K79,Data_Override!K79)</f>
        <v>0</v>
      </c>
      <c r="O79" s="139">
        <f>IF(Data_Override!L79="",Data!L79,Data_Override!L79)</f>
        <v>0</v>
      </c>
      <c r="P79" s="140">
        <f t="shared" si="16"/>
        <v>0</v>
      </c>
      <c r="Q79" s="140">
        <f t="shared" si="17"/>
        <v>0</v>
      </c>
      <c r="S79" s="139">
        <f>IF(Data_Override!N79="",Data!N79,Data_Override!N79)</f>
        <v>113.375252510785</v>
      </c>
      <c r="U79" s="139">
        <f>IF(Data_Override!P79="",Data!P79,Data_Override!P79)</f>
        <v>0</v>
      </c>
      <c r="V79" s="139">
        <f>IF(Data_Override!Q79="",Data!Q79,Data_Override!Q79)</f>
        <v>0</v>
      </c>
      <c r="W79" s="139">
        <f>IF(Data_Override!R79="",Data!R79,Data_Override!R79)</f>
        <v>0</v>
      </c>
      <c r="X79" s="139">
        <f>IF(Data_Override!S79="",Data!S79,Data_Override!S79)</f>
        <v>0</v>
      </c>
      <c r="Y79" s="140">
        <f t="shared" si="18"/>
        <v>0</v>
      </c>
      <c r="Z79" s="140">
        <f t="shared" si="19"/>
        <v>0</v>
      </c>
      <c r="AB79" s="139">
        <f>IF(Data_Override!U79="",Data!U79,Data_Override!U79)</f>
        <v>0</v>
      </c>
      <c r="AC79" s="139">
        <f>IF(Data_Override!V79="",Data!V79,Data_Override!V79)</f>
        <v>0</v>
      </c>
      <c r="AD79" s="139">
        <f>IF(Data_Override!W79="",Data!W79,Data_Override!W79)</f>
        <v>0</v>
      </c>
    </row>
    <row r="80" spans="1:30" hidden="1" x14ac:dyDescent="0.2">
      <c r="A80" s="138" t="str">
        <f t="shared" si="23"/>
        <v>SWT14</v>
      </c>
      <c r="B80" s="19" t="s">
        <v>109</v>
      </c>
      <c r="C80" s="143" t="s">
        <v>66</v>
      </c>
      <c r="D80" s="19" t="str">
        <f t="shared" si="24"/>
        <v>14</v>
      </c>
      <c r="E80" s="139">
        <f>IF(Data_Override!D80="",Data!D80,Data_Override!D80)</f>
        <v>0</v>
      </c>
      <c r="F80" s="139">
        <f>IF(Data_Override!E80="",Data!E80,Data_Override!E80)</f>
        <v>2.1139283299526699E-3</v>
      </c>
      <c r="G80" s="139">
        <f>IF(Data_Override!F80="",Data!F80,Data_Override!F80)</f>
        <v>0</v>
      </c>
      <c r="H80" s="139">
        <f>IF(Data_Override!G80="",Data!G80,Data_Override!G80)</f>
        <v>0</v>
      </c>
      <c r="I80" s="140">
        <f t="shared" si="25"/>
        <v>2.1139283299526699E-3</v>
      </c>
      <c r="J80" s="140">
        <f t="shared" si="26"/>
        <v>0</v>
      </c>
      <c r="L80" s="139">
        <f>IF(Data_Override!I80="",Data!I80,Data_Override!I80)</f>
        <v>0</v>
      </c>
      <c r="M80" s="139">
        <f>IF(Data_Override!J80="",Data!J80,Data_Override!J80)</f>
        <v>0</v>
      </c>
      <c r="N80" s="139">
        <f>IF(Data_Override!K80="",Data!K80,Data_Override!K80)</f>
        <v>0</v>
      </c>
      <c r="O80" s="139">
        <f>IF(Data_Override!L80="",Data!L80,Data_Override!L80)</f>
        <v>0</v>
      </c>
      <c r="P80" s="140">
        <f t="shared" si="16"/>
        <v>0</v>
      </c>
      <c r="Q80" s="140">
        <f t="shared" si="17"/>
        <v>0</v>
      </c>
      <c r="S80" s="139">
        <f>IF(Data_Override!N80="",Data!N80,Data_Override!N80)</f>
        <v>129.491850743746</v>
      </c>
      <c r="U80" s="139">
        <f>IF(Data_Override!P80="",Data!P80,Data_Override!P80)</f>
        <v>0</v>
      </c>
      <c r="V80" s="139">
        <f>IF(Data_Override!Q80="",Data!Q80,Data_Override!Q80)</f>
        <v>0</v>
      </c>
      <c r="W80" s="139">
        <f>IF(Data_Override!R80="",Data!R80,Data_Override!R80)</f>
        <v>0</v>
      </c>
      <c r="X80" s="139">
        <f>IF(Data_Override!S80="",Data!S80,Data_Override!S80)</f>
        <v>0</v>
      </c>
      <c r="Y80" s="140">
        <f t="shared" si="18"/>
        <v>0</v>
      </c>
      <c r="Z80" s="140">
        <f t="shared" si="19"/>
        <v>0</v>
      </c>
      <c r="AB80" s="139">
        <f>IF(Data_Override!U80="",Data!U80,Data_Override!U80)</f>
        <v>0</v>
      </c>
      <c r="AC80" s="139">
        <f>IF(Data_Override!V80="",Data!V80,Data_Override!V80)</f>
        <v>0</v>
      </c>
      <c r="AD80" s="139">
        <f>IF(Data_Override!W80="",Data!W80,Data_Override!W80)</f>
        <v>0</v>
      </c>
    </row>
    <row r="81" spans="1:30" hidden="1" x14ac:dyDescent="0.2">
      <c r="A81" s="138" t="str">
        <f t="shared" si="23"/>
        <v>SWT15</v>
      </c>
      <c r="B81" s="19" t="s">
        <v>109</v>
      </c>
      <c r="C81" s="143" t="s">
        <v>67</v>
      </c>
      <c r="D81" s="19" t="str">
        <f t="shared" si="24"/>
        <v>15</v>
      </c>
      <c r="E81" s="139">
        <f>IF(Data_Override!D81="",Data!D81,Data_Override!D81)</f>
        <v>0</v>
      </c>
      <c r="F81" s="139">
        <f>IF(Data_Override!E81="",Data!E81,Data_Override!E81)</f>
        <v>0</v>
      </c>
      <c r="G81" s="139">
        <f>IF(Data_Override!F81="",Data!F81,Data_Override!F81)</f>
        <v>0</v>
      </c>
      <c r="H81" s="139">
        <f>IF(Data_Override!G81="",Data!G81,Data_Override!G81)</f>
        <v>0</v>
      </c>
      <c r="I81" s="140">
        <f t="shared" si="25"/>
        <v>0</v>
      </c>
      <c r="J81" s="140">
        <f t="shared" si="26"/>
        <v>0</v>
      </c>
      <c r="L81" s="139">
        <f>IF(Data_Override!I81="",Data!I81,Data_Override!I81)</f>
        <v>0</v>
      </c>
      <c r="M81" s="139">
        <f>IF(Data_Override!J81="",Data!J81,Data_Override!J81)</f>
        <v>0</v>
      </c>
      <c r="N81" s="139">
        <f>IF(Data_Override!K81="",Data!K81,Data_Override!K81)</f>
        <v>0</v>
      </c>
      <c r="O81" s="139">
        <f>IF(Data_Override!L81="",Data!L81,Data_Override!L81)</f>
        <v>0</v>
      </c>
      <c r="P81" s="140">
        <f t="shared" si="16"/>
        <v>0</v>
      </c>
      <c r="Q81" s="140">
        <f t="shared" si="17"/>
        <v>0</v>
      </c>
      <c r="S81" s="139">
        <f>IF(Data_Override!N81="",Data!N81,Data_Override!N81)</f>
        <v>130.175473385142</v>
      </c>
      <c r="U81" s="139">
        <f>IF(Data_Override!P81="",Data!P81,Data_Override!P81)</f>
        <v>0</v>
      </c>
      <c r="V81" s="139">
        <f>IF(Data_Override!Q81="",Data!Q81,Data_Override!Q81)</f>
        <v>0</v>
      </c>
      <c r="W81" s="139">
        <f>IF(Data_Override!R81="",Data!R81,Data_Override!R81)</f>
        <v>0</v>
      </c>
      <c r="X81" s="139">
        <f>IF(Data_Override!S81="",Data!S81,Data_Override!S81)</f>
        <v>0</v>
      </c>
      <c r="Y81" s="140">
        <f t="shared" ref="Y81:Y122" si="27">IFERROR(MAX(U81,V81),"")</f>
        <v>0</v>
      </c>
      <c r="Z81" s="140">
        <f t="shared" ref="Z81:Z122" si="28">IFERROR(MAX(W81,X81),"")</f>
        <v>0</v>
      </c>
      <c r="AB81" s="139">
        <f>IF(Data_Override!U81="",Data!U81,Data_Override!U81)</f>
        <v>0</v>
      </c>
      <c r="AC81" s="139">
        <f>IF(Data_Override!V81="",Data!V81,Data_Override!V81)</f>
        <v>0</v>
      </c>
      <c r="AD81" s="139">
        <f>IF(Data_Override!W81="",Data!W81,Data_Override!W81)</f>
        <v>0</v>
      </c>
    </row>
    <row r="82" spans="1:30" hidden="1" x14ac:dyDescent="0.2">
      <c r="A82" s="138" t="str">
        <f t="shared" si="23"/>
        <v>SWT16</v>
      </c>
      <c r="B82" s="19" t="s">
        <v>109</v>
      </c>
      <c r="C82" s="143" t="s">
        <v>68</v>
      </c>
      <c r="D82" s="19" t="str">
        <f t="shared" si="24"/>
        <v>16</v>
      </c>
      <c r="E82" s="139">
        <f>IF(Data_Override!D82="",Data!D82,Data_Override!D82)</f>
        <v>0</v>
      </c>
      <c r="F82" s="139">
        <f>IF(Data_Override!E82="",Data!E82,Data_Override!E82)</f>
        <v>0</v>
      </c>
      <c r="G82" s="139">
        <f>IF(Data_Override!F82="",Data!F82,Data_Override!F82)</f>
        <v>0</v>
      </c>
      <c r="H82" s="139">
        <f>IF(Data_Override!G82="",Data!G82,Data_Override!G82)</f>
        <v>0</v>
      </c>
      <c r="I82" s="140">
        <f t="shared" si="25"/>
        <v>0</v>
      </c>
      <c r="J82" s="140">
        <f t="shared" si="26"/>
        <v>0</v>
      </c>
      <c r="L82" s="139">
        <f>IF(Data_Override!I82="",Data!I82,Data_Override!I82)</f>
        <v>0</v>
      </c>
      <c r="M82" s="139">
        <f>IF(Data_Override!J82="",Data!J82,Data_Override!J82)</f>
        <v>0</v>
      </c>
      <c r="N82" s="139">
        <f>IF(Data_Override!K82="",Data!K82,Data_Override!K82)</f>
        <v>0</v>
      </c>
      <c r="O82" s="139">
        <f>IF(Data_Override!L82="",Data!L82,Data_Override!L82)</f>
        <v>0</v>
      </c>
      <c r="P82" s="140">
        <f t="shared" ref="P82:P123" si="29">IFERROR(SUM(L82:M82),"")</f>
        <v>0</v>
      </c>
      <c r="Q82" s="140">
        <f t="shared" ref="Q82:Q123" si="30">IFERROR(SUM(N82:O82),"")</f>
        <v>0</v>
      </c>
      <c r="S82" s="139">
        <f>IF(Data_Override!N82="",Data!N82,Data_Override!N82)</f>
        <v>128.93040931780399</v>
      </c>
      <c r="U82" s="139">
        <f>IF(Data_Override!P82="",Data!P82,Data_Override!P82)</f>
        <v>0</v>
      </c>
      <c r="V82" s="139">
        <f>IF(Data_Override!Q82="",Data!Q82,Data_Override!Q82)</f>
        <v>0</v>
      </c>
      <c r="W82" s="139">
        <f>IF(Data_Override!R82="",Data!R82,Data_Override!R82)</f>
        <v>0</v>
      </c>
      <c r="X82" s="139">
        <f>IF(Data_Override!S82="",Data!S82,Data_Override!S82)</f>
        <v>0</v>
      </c>
      <c r="Y82" s="140">
        <f t="shared" si="27"/>
        <v>0</v>
      </c>
      <c r="Z82" s="140">
        <f t="shared" si="28"/>
        <v>0</v>
      </c>
      <c r="AB82" s="139">
        <f>IF(Data_Override!U82="",Data!U82,Data_Override!U82)</f>
        <v>0</v>
      </c>
      <c r="AC82" s="139">
        <f>IF(Data_Override!V82="",Data!V82,Data_Override!V82)</f>
        <v>0</v>
      </c>
      <c r="AD82" s="139">
        <f>IF(Data_Override!W82="",Data!W82,Data_Override!W82)</f>
        <v>0</v>
      </c>
    </row>
    <row r="83" spans="1:30" hidden="1" x14ac:dyDescent="0.2">
      <c r="A83" s="138" t="str">
        <f t="shared" si="23"/>
        <v>SWT17</v>
      </c>
      <c r="B83" s="19" t="s">
        <v>109</v>
      </c>
      <c r="C83" s="143" t="s">
        <v>69</v>
      </c>
      <c r="D83" s="19" t="str">
        <f t="shared" si="24"/>
        <v>17</v>
      </c>
      <c r="E83" s="139">
        <f>IF(Data_Override!D83="",Data!D83,Data_Override!D83)</f>
        <v>0</v>
      </c>
      <c r="F83" s="139">
        <f>IF(Data_Override!E83="",Data!E83,Data_Override!E83)</f>
        <v>0</v>
      </c>
      <c r="G83" s="139">
        <f>IF(Data_Override!F83="",Data!F83,Data_Override!F83)</f>
        <v>0</v>
      </c>
      <c r="H83" s="139">
        <f>IF(Data_Override!G83="",Data!G83,Data_Override!G83)</f>
        <v>0</v>
      </c>
      <c r="I83" s="140">
        <f t="shared" si="25"/>
        <v>0</v>
      </c>
      <c r="J83" s="140">
        <f t="shared" si="26"/>
        <v>0</v>
      </c>
      <c r="L83" s="139">
        <f>IF(Data_Override!I83="",Data!I83,Data_Override!I83)</f>
        <v>0</v>
      </c>
      <c r="M83" s="139">
        <f>IF(Data_Override!J83="",Data!J83,Data_Override!J83)</f>
        <v>0</v>
      </c>
      <c r="N83" s="139">
        <f>IF(Data_Override!K83="",Data!K83,Data_Override!K83)</f>
        <v>0</v>
      </c>
      <c r="O83" s="139">
        <f>IF(Data_Override!L83="",Data!L83,Data_Override!L83)</f>
        <v>0</v>
      </c>
      <c r="P83" s="140">
        <f t="shared" si="29"/>
        <v>0</v>
      </c>
      <c r="Q83" s="140">
        <f t="shared" si="30"/>
        <v>0</v>
      </c>
      <c r="S83" s="139">
        <f>IF(Data_Override!N83="",Data!N83,Data_Override!N83)</f>
        <v>0</v>
      </c>
      <c r="U83" s="139">
        <f>IF(Data_Override!P83="",Data!P83,Data_Override!P83)</f>
        <v>0</v>
      </c>
      <c r="V83" s="139">
        <f>IF(Data_Override!Q83="",Data!Q83,Data_Override!Q83)</f>
        <v>0</v>
      </c>
      <c r="W83" s="139">
        <f>IF(Data_Override!R83="",Data!R83,Data_Override!R83)</f>
        <v>0</v>
      </c>
      <c r="X83" s="139">
        <f>IF(Data_Override!S83="",Data!S83,Data_Override!S83)</f>
        <v>0</v>
      </c>
      <c r="Y83" s="140">
        <f t="shared" si="27"/>
        <v>0</v>
      </c>
      <c r="Z83" s="140">
        <f t="shared" si="28"/>
        <v>0</v>
      </c>
      <c r="AB83" s="139">
        <f>IF(Data_Override!U83="",Data!U83,Data_Override!U83)</f>
        <v>0</v>
      </c>
      <c r="AC83" s="139">
        <f>IF(Data_Override!V83="",Data!V83,Data_Override!V83)</f>
        <v>0</v>
      </c>
      <c r="AD83" s="139">
        <f>IF(Data_Override!W83="",Data!W83,Data_Override!W83)</f>
        <v>0</v>
      </c>
    </row>
    <row r="84" spans="1:30" hidden="1" x14ac:dyDescent="0.2">
      <c r="A84" s="141" t="s">
        <v>174</v>
      </c>
      <c r="B84" s="142" t="s">
        <v>109</v>
      </c>
      <c r="C84" s="142" t="s">
        <v>70</v>
      </c>
      <c r="D84" s="19" t="str">
        <f t="shared" si="24"/>
        <v>18</v>
      </c>
      <c r="E84" s="139">
        <f>IF(Data_Override!D84="",Data!D84,Data_Override!D84)</f>
        <v>0</v>
      </c>
      <c r="F84" s="139">
        <f>IF(Data_Override!E84="",Data!E84,Data_Override!E84)</f>
        <v>0</v>
      </c>
      <c r="G84" s="139">
        <f>IF(Data_Override!F84="",Data!F84,Data_Override!F84)</f>
        <v>0</v>
      </c>
      <c r="H84" s="139">
        <f>IF(Data_Override!G84="",Data!G84,Data_Override!G84)</f>
        <v>0</v>
      </c>
      <c r="I84" s="140">
        <f t="shared" si="25"/>
        <v>0</v>
      </c>
      <c r="J84" s="140">
        <f t="shared" si="26"/>
        <v>0</v>
      </c>
      <c r="L84" s="139">
        <f>IF(Data_Override!I84="",Data!I84,Data_Override!I84)</f>
        <v>0</v>
      </c>
      <c r="M84" s="139">
        <f>IF(Data_Override!J84="",Data!J84,Data_Override!J84)</f>
        <v>0</v>
      </c>
      <c r="N84" s="139">
        <f>IF(Data_Override!K84="",Data!K84,Data_Override!K84)</f>
        <v>0</v>
      </c>
      <c r="O84" s="139">
        <f>IF(Data_Override!L84="",Data!L84,Data_Override!L84)</f>
        <v>0</v>
      </c>
      <c r="P84" s="140">
        <f t="shared" si="29"/>
        <v>0</v>
      </c>
      <c r="Q84" s="140">
        <f t="shared" si="30"/>
        <v>0</v>
      </c>
      <c r="S84" s="139">
        <f>IF(Data_Override!N84="",Data!N84,Data_Override!N84)</f>
        <v>0</v>
      </c>
      <c r="U84" s="139">
        <f>IF(Data_Override!P84="",Data!P84,Data_Override!P84)</f>
        <v>0</v>
      </c>
      <c r="V84" s="139">
        <f>IF(Data_Override!Q84="",Data!Q84,Data_Override!Q84)</f>
        <v>0</v>
      </c>
      <c r="W84" s="139">
        <f>IF(Data_Override!R84="",Data!R84,Data_Override!R84)</f>
        <v>0</v>
      </c>
      <c r="X84" s="139">
        <f>IF(Data_Override!S84="",Data!S84,Data_Override!S84)</f>
        <v>0</v>
      </c>
      <c r="Y84" s="140">
        <f t="shared" si="27"/>
        <v>0</v>
      </c>
      <c r="Z84" s="140">
        <f t="shared" si="28"/>
        <v>0</v>
      </c>
      <c r="AB84" s="139">
        <f>IF(Data_Override!U84="",Data!U84,Data_Override!U84)</f>
        <v>0</v>
      </c>
      <c r="AC84" s="139">
        <f>IF(Data_Override!V84="",Data!V84,Data_Override!V84)</f>
        <v>0</v>
      </c>
      <c r="AD84" s="139">
        <f>IF(Data_Override!W84="",Data!W84,Data_Override!W84)</f>
        <v>0</v>
      </c>
    </row>
    <row r="85" spans="1:30" hidden="1" x14ac:dyDescent="0.2">
      <c r="A85" s="141" t="s">
        <v>175</v>
      </c>
      <c r="B85" s="142" t="s">
        <v>109</v>
      </c>
      <c r="C85" s="142" t="s">
        <v>71</v>
      </c>
      <c r="D85" s="19" t="str">
        <f t="shared" si="24"/>
        <v>19</v>
      </c>
      <c r="E85" s="139">
        <f>IF(Data_Override!D85="",Data!D85,Data_Override!D85)</f>
        <v>0</v>
      </c>
      <c r="F85" s="139">
        <f>IF(Data_Override!E85="",Data!E85,Data_Override!E85)</f>
        <v>0</v>
      </c>
      <c r="G85" s="139">
        <f>IF(Data_Override!F85="",Data!F85,Data_Override!F85)</f>
        <v>0</v>
      </c>
      <c r="H85" s="139">
        <f>IF(Data_Override!G85="",Data!G85,Data_Override!G85)</f>
        <v>0</v>
      </c>
      <c r="I85" s="140">
        <f t="shared" si="25"/>
        <v>0</v>
      </c>
      <c r="J85" s="140">
        <f t="shared" si="26"/>
        <v>0</v>
      </c>
      <c r="L85" s="139">
        <f>IF(Data_Override!I85="",Data!I85,Data_Override!I85)</f>
        <v>0</v>
      </c>
      <c r="M85" s="139">
        <f>IF(Data_Override!J85="",Data!J85,Data_Override!J85)</f>
        <v>0</v>
      </c>
      <c r="N85" s="139">
        <f>IF(Data_Override!K85="",Data!K85,Data_Override!K85)</f>
        <v>0</v>
      </c>
      <c r="O85" s="139">
        <f>IF(Data_Override!L85="",Data!L85,Data_Override!L85)</f>
        <v>0</v>
      </c>
      <c r="P85" s="140">
        <f t="shared" si="29"/>
        <v>0</v>
      </c>
      <c r="Q85" s="140">
        <f t="shared" si="30"/>
        <v>0</v>
      </c>
      <c r="S85" s="139">
        <f>IF(Data_Override!N85="",Data!N85,Data_Override!N85)</f>
        <v>0</v>
      </c>
      <c r="U85" s="139">
        <f>IF(Data_Override!P85="",Data!P85,Data_Override!P85)</f>
        <v>0</v>
      </c>
      <c r="V85" s="139">
        <f>IF(Data_Override!Q85="",Data!Q85,Data_Override!Q85)</f>
        <v>0</v>
      </c>
      <c r="W85" s="139">
        <f>IF(Data_Override!R85="",Data!R85,Data_Override!R85)</f>
        <v>0</v>
      </c>
      <c r="X85" s="139">
        <f>IF(Data_Override!S85="",Data!S85,Data_Override!S85)</f>
        <v>0</v>
      </c>
      <c r="Y85" s="140">
        <f t="shared" si="27"/>
        <v>0</v>
      </c>
      <c r="Z85" s="140">
        <f t="shared" si="28"/>
        <v>0</v>
      </c>
      <c r="AB85" s="139">
        <f>IF(Data_Override!U85="",Data!U85,Data_Override!U85)</f>
        <v>0</v>
      </c>
      <c r="AC85" s="139">
        <f>IF(Data_Override!V85="",Data!V85,Data_Override!V85)</f>
        <v>0</v>
      </c>
      <c r="AD85" s="139">
        <f>IF(Data_Override!W85="",Data!W85,Data_Override!W85)</f>
        <v>0</v>
      </c>
    </row>
    <row r="86" spans="1:30" hidden="1" x14ac:dyDescent="0.2">
      <c r="A86" s="141" t="s">
        <v>176</v>
      </c>
      <c r="B86" s="142" t="s">
        <v>109</v>
      </c>
      <c r="C86" s="142" t="s">
        <v>72</v>
      </c>
      <c r="D86" s="19" t="str">
        <f t="shared" si="24"/>
        <v>20</v>
      </c>
      <c r="E86" s="139">
        <f>IF(Data_Override!D86="",Data!D86,Data_Override!D86)</f>
        <v>0</v>
      </c>
      <c r="F86" s="139">
        <f>IF(Data_Override!E86="",Data!E86,Data_Override!E86)</f>
        <v>0</v>
      </c>
      <c r="G86" s="139">
        <f>IF(Data_Override!F86="",Data!F86,Data_Override!F86)</f>
        <v>0</v>
      </c>
      <c r="H86" s="139">
        <f>IF(Data_Override!G86="",Data!G86,Data_Override!G86)</f>
        <v>0</v>
      </c>
      <c r="I86" s="140">
        <f t="shared" si="25"/>
        <v>0</v>
      </c>
      <c r="J86" s="140">
        <f t="shared" si="26"/>
        <v>0</v>
      </c>
      <c r="L86" s="139">
        <f>IF(Data_Override!I86="",Data!I86,Data_Override!I86)</f>
        <v>0</v>
      </c>
      <c r="M86" s="139">
        <f>IF(Data_Override!J86="",Data!J86,Data_Override!J86)</f>
        <v>0</v>
      </c>
      <c r="N86" s="139">
        <f>IF(Data_Override!K86="",Data!K86,Data_Override!K86)</f>
        <v>0</v>
      </c>
      <c r="O86" s="139">
        <f>IF(Data_Override!L86="",Data!L86,Data_Override!L86)</f>
        <v>0</v>
      </c>
      <c r="P86" s="140">
        <f t="shared" si="29"/>
        <v>0</v>
      </c>
      <c r="Q86" s="140">
        <f t="shared" si="30"/>
        <v>0</v>
      </c>
      <c r="S86" s="139">
        <f>IF(Data_Override!N86="",Data!N86,Data_Override!N86)</f>
        <v>0</v>
      </c>
      <c r="U86" s="139">
        <f>IF(Data_Override!P86="",Data!P86,Data_Override!P86)</f>
        <v>0</v>
      </c>
      <c r="V86" s="139">
        <f>IF(Data_Override!Q86="",Data!Q86,Data_Override!Q86)</f>
        <v>0</v>
      </c>
      <c r="W86" s="139">
        <f>IF(Data_Override!R86="",Data!R86,Data_Override!R86)</f>
        <v>0</v>
      </c>
      <c r="X86" s="139">
        <f>IF(Data_Override!S86="",Data!S86,Data_Override!S86)</f>
        <v>0</v>
      </c>
      <c r="Y86" s="140">
        <f t="shared" si="27"/>
        <v>0</v>
      </c>
      <c r="Z86" s="140">
        <f t="shared" si="28"/>
        <v>0</v>
      </c>
      <c r="AB86" s="139">
        <f>IF(Data_Override!U86="",Data!U86,Data_Override!U86)</f>
        <v>0</v>
      </c>
      <c r="AC86" s="139">
        <f>IF(Data_Override!V86="",Data!V86,Data_Override!V86)</f>
        <v>0</v>
      </c>
      <c r="AD86" s="139">
        <f>IF(Data_Override!W86="",Data!W86,Data_Override!W86)</f>
        <v>0</v>
      </c>
    </row>
    <row r="87" spans="1:30" x14ac:dyDescent="0.2">
      <c r="A87" s="141" t="s">
        <v>177</v>
      </c>
      <c r="B87" s="142" t="s">
        <v>109</v>
      </c>
      <c r="C87" s="142" t="s">
        <v>73</v>
      </c>
      <c r="D87" s="19" t="str">
        <f t="shared" si="24"/>
        <v>21</v>
      </c>
      <c r="E87" s="139">
        <f>IF(Data_Override!D87="",Data!D87,Data_Override!D87)</f>
        <v>0</v>
      </c>
      <c r="F87" s="139">
        <f>IF(Data_Override!E87="",Data!E87,Data_Override!E87)</f>
        <v>0</v>
      </c>
      <c r="G87" s="139">
        <f>IF(Data_Override!F87="",Data!F87,Data_Override!F87)</f>
        <v>0</v>
      </c>
      <c r="H87" s="139">
        <f>IF(Data_Override!G87="",Data!G87,Data_Override!G87)</f>
        <v>0</v>
      </c>
      <c r="I87" s="140">
        <f t="shared" si="25"/>
        <v>0</v>
      </c>
      <c r="J87" s="140">
        <f t="shared" si="26"/>
        <v>0</v>
      </c>
      <c r="L87" s="139">
        <f>IF(Data_Override!I87="",Data!I87,Data_Override!I87)</f>
        <v>0</v>
      </c>
      <c r="M87" s="139">
        <f>IF(Data_Override!J87="",Data!J87,Data_Override!J87)</f>
        <v>0</v>
      </c>
      <c r="N87" s="139">
        <f>IF(Data_Override!K87="",Data!K87,Data_Override!K87)</f>
        <v>0</v>
      </c>
      <c r="O87" s="139">
        <f>IF(Data_Override!L87="",Data!L87,Data_Override!L87)</f>
        <v>0</v>
      </c>
      <c r="P87" s="140">
        <f t="shared" si="29"/>
        <v>0</v>
      </c>
      <c r="Q87" s="140">
        <f t="shared" si="30"/>
        <v>0</v>
      </c>
      <c r="S87" s="139">
        <f>IF(Data_Override!N87="",Data!N87,Data_Override!N87)</f>
        <v>0</v>
      </c>
      <c r="U87" s="139">
        <f>IF(Data_Override!P87="",Data!P87,Data_Override!P87)</f>
        <v>0</v>
      </c>
      <c r="V87" s="139">
        <f>IF(Data_Override!Q87="",Data!Q87,Data_Override!Q87)</f>
        <v>0</v>
      </c>
      <c r="W87" s="139">
        <f>IF(Data_Override!R87="",Data!R87,Data_Override!R87)</f>
        <v>0</v>
      </c>
      <c r="X87" s="139">
        <f>IF(Data_Override!S87="",Data!S87,Data_Override!S87)</f>
        <v>0</v>
      </c>
      <c r="Y87" s="140">
        <f t="shared" si="27"/>
        <v>0</v>
      </c>
      <c r="Z87" s="140">
        <f t="shared" si="28"/>
        <v>0</v>
      </c>
      <c r="AB87" s="139">
        <f>IF(Data_Override!U87="",Data!U87,Data_Override!U87)</f>
        <v>0</v>
      </c>
      <c r="AC87" s="139">
        <f>IF(Data_Override!V87="",Data!V87,Data_Override!V87)</f>
        <v>0</v>
      </c>
      <c r="AD87" s="139">
        <f>IF(Data_Override!W87="",Data!W87,Data_Override!W87)</f>
        <v>0</v>
      </c>
    </row>
    <row r="88" spans="1:30" x14ac:dyDescent="0.2">
      <c r="A88" s="141" t="s">
        <v>178</v>
      </c>
      <c r="B88" s="142" t="s">
        <v>109</v>
      </c>
      <c r="C88" s="142" t="s">
        <v>74</v>
      </c>
      <c r="D88" s="19" t="str">
        <f t="shared" si="24"/>
        <v>22</v>
      </c>
      <c r="E88" s="139">
        <f>IF(Data_Override!D88="",Data!D88,Data_Override!D88)</f>
        <v>0</v>
      </c>
      <c r="F88" s="139">
        <f>IF(Data_Override!E88="",Data!E88,Data_Override!E88)</f>
        <v>0</v>
      </c>
      <c r="G88" s="139">
        <f>IF(Data_Override!F88="",Data!F88,Data_Override!F88)</f>
        <v>0</v>
      </c>
      <c r="H88" s="139">
        <f>IF(Data_Override!G88="",Data!G88,Data_Override!G88)</f>
        <v>0</v>
      </c>
      <c r="I88" s="140">
        <f t="shared" si="25"/>
        <v>0</v>
      </c>
      <c r="J88" s="140">
        <f t="shared" si="26"/>
        <v>0</v>
      </c>
      <c r="L88" s="139">
        <f>IF(Data_Override!I88="",Data!I88,Data_Override!I88)</f>
        <v>0</v>
      </c>
      <c r="M88" s="139">
        <f>IF(Data_Override!J88="",Data!J88,Data_Override!J88)</f>
        <v>0</v>
      </c>
      <c r="N88" s="139">
        <f>IF(Data_Override!K88="",Data!K88,Data_Override!K88)</f>
        <v>0</v>
      </c>
      <c r="O88" s="139">
        <f>IF(Data_Override!L88="",Data!L88,Data_Override!L88)</f>
        <v>0</v>
      </c>
      <c r="P88" s="140">
        <f t="shared" si="29"/>
        <v>0</v>
      </c>
      <c r="Q88" s="140">
        <f t="shared" si="30"/>
        <v>0</v>
      </c>
      <c r="S88" s="139">
        <f>IF(Data_Override!N88="",Data!N88,Data_Override!N88)</f>
        <v>0</v>
      </c>
      <c r="U88" s="139">
        <f>IF(Data_Override!P88="",Data!P88,Data_Override!P88)</f>
        <v>0</v>
      </c>
      <c r="V88" s="139">
        <f>IF(Data_Override!Q88="",Data!Q88,Data_Override!Q88)</f>
        <v>0</v>
      </c>
      <c r="W88" s="139">
        <f>IF(Data_Override!R88="",Data!R88,Data_Override!R88)</f>
        <v>0</v>
      </c>
      <c r="X88" s="139">
        <f>IF(Data_Override!S88="",Data!S88,Data_Override!S88)</f>
        <v>0</v>
      </c>
      <c r="Y88" s="140">
        <f t="shared" si="27"/>
        <v>0</v>
      </c>
      <c r="Z88" s="140">
        <f t="shared" si="28"/>
        <v>0</v>
      </c>
      <c r="AB88" s="139">
        <f>IF(Data_Override!U88="",Data!U88,Data_Override!U88)</f>
        <v>0</v>
      </c>
      <c r="AC88" s="139">
        <f>IF(Data_Override!V88="",Data!V88,Data_Override!V88)</f>
        <v>0</v>
      </c>
      <c r="AD88" s="139">
        <f>IF(Data_Override!W88="",Data!W88,Data_Override!W88)</f>
        <v>0</v>
      </c>
    </row>
    <row r="89" spans="1:30" x14ac:dyDescent="0.2">
      <c r="A89" s="141" t="s">
        <v>179</v>
      </c>
      <c r="B89" s="142" t="s">
        <v>109</v>
      </c>
      <c r="C89" s="142" t="s">
        <v>75</v>
      </c>
      <c r="D89" s="19" t="str">
        <f t="shared" si="24"/>
        <v>23</v>
      </c>
      <c r="E89" s="139">
        <f>IF(Data_Override!D89="",Data!D89,Data_Override!D89)</f>
        <v>0</v>
      </c>
      <c r="F89" s="139">
        <f>IF(Data_Override!E89="",Data!E89,Data_Override!E89)</f>
        <v>0</v>
      </c>
      <c r="G89" s="139">
        <f>IF(Data_Override!F89="",Data!F89,Data_Override!F89)</f>
        <v>0</v>
      </c>
      <c r="H89" s="139">
        <f>IF(Data_Override!G89="",Data!G89,Data_Override!G89)</f>
        <v>0</v>
      </c>
      <c r="I89" s="140">
        <f t="shared" si="25"/>
        <v>0</v>
      </c>
      <c r="J89" s="140">
        <f t="shared" si="26"/>
        <v>0</v>
      </c>
      <c r="L89" s="139">
        <f>IF(Data_Override!I89="",Data!I89,Data_Override!I89)</f>
        <v>0</v>
      </c>
      <c r="M89" s="139">
        <f>IF(Data_Override!J89="",Data!J89,Data_Override!J89)</f>
        <v>0</v>
      </c>
      <c r="N89" s="139">
        <f>IF(Data_Override!K89="",Data!K89,Data_Override!K89)</f>
        <v>0</v>
      </c>
      <c r="O89" s="139">
        <f>IF(Data_Override!L89="",Data!L89,Data_Override!L89)</f>
        <v>0</v>
      </c>
      <c r="P89" s="140">
        <f t="shared" si="29"/>
        <v>0</v>
      </c>
      <c r="Q89" s="140">
        <f t="shared" si="30"/>
        <v>0</v>
      </c>
      <c r="S89" s="139">
        <f>IF(Data_Override!N89="",Data!N89,Data_Override!N89)</f>
        <v>0</v>
      </c>
      <c r="U89" s="139">
        <f>IF(Data_Override!P89="",Data!P89,Data_Override!P89)</f>
        <v>0</v>
      </c>
      <c r="V89" s="139">
        <f>IF(Data_Override!Q89="",Data!Q89,Data_Override!Q89)</f>
        <v>0</v>
      </c>
      <c r="W89" s="139">
        <f>IF(Data_Override!R89="",Data!R89,Data_Override!R89)</f>
        <v>0</v>
      </c>
      <c r="X89" s="139">
        <f>IF(Data_Override!S89="",Data!S89,Data_Override!S89)</f>
        <v>0</v>
      </c>
      <c r="Y89" s="140">
        <f t="shared" si="27"/>
        <v>0</v>
      </c>
      <c r="Z89" s="140">
        <f t="shared" si="28"/>
        <v>0</v>
      </c>
      <c r="AB89" s="139">
        <f>IF(Data_Override!U89="",Data!U89,Data_Override!U89)</f>
        <v>0</v>
      </c>
      <c r="AC89" s="139">
        <f>IF(Data_Override!V89="",Data!V89,Data_Override!V89)</f>
        <v>0</v>
      </c>
      <c r="AD89" s="139">
        <f>IF(Data_Override!W89="",Data!W89,Data_Override!W89)</f>
        <v>0</v>
      </c>
    </row>
    <row r="90" spans="1:30" x14ac:dyDescent="0.2">
      <c r="A90" s="141" t="s">
        <v>180</v>
      </c>
      <c r="B90" s="142" t="s">
        <v>109</v>
      </c>
      <c r="C90" s="142" t="s">
        <v>76</v>
      </c>
      <c r="D90" s="19" t="str">
        <f t="shared" si="24"/>
        <v>24</v>
      </c>
      <c r="E90" s="139">
        <f>IF(Data_Override!D90="",Data!D90,Data_Override!D90)</f>
        <v>0</v>
      </c>
      <c r="F90" s="139">
        <f>IF(Data_Override!E90="",Data!E90,Data_Override!E90)</f>
        <v>0</v>
      </c>
      <c r="G90" s="139">
        <f>IF(Data_Override!F90="",Data!F90,Data_Override!F90)</f>
        <v>0</v>
      </c>
      <c r="H90" s="139">
        <f>IF(Data_Override!G90="",Data!G90,Data_Override!G90)</f>
        <v>0</v>
      </c>
      <c r="I90" s="140">
        <f t="shared" si="25"/>
        <v>0</v>
      </c>
      <c r="J90" s="140">
        <f t="shared" si="26"/>
        <v>0</v>
      </c>
      <c r="L90" s="139">
        <f>IF(Data_Override!I90="",Data!I90,Data_Override!I90)</f>
        <v>0</v>
      </c>
      <c r="M90" s="139">
        <f>IF(Data_Override!J90="",Data!J90,Data_Override!J90)</f>
        <v>0</v>
      </c>
      <c r="N90" s="139">
        <f>IF(Data_Override!K90="",Data!K90,Data_Override!K90)</f>
        <v>0</v>
      </c>
      <c r="O90" s="139">
        <f>IF(Data_Override!L90="",Data!L90,Data_Override!L90)</f>
        <v>0</v>
      </c>
      <c r="P90" s="140">
        <f t="shared" si="29"/>
        <v>0</v>
      </c>
      <c r="Q90" s="140">
        <f t="shared" si="30"/>
        <v>0</v>
      </c>
      <c r="S90" s="139">
        <f>IF(Data_Override!N90="",Data!N90,Data_Override!N90)</f>
        <v>0</v>
      </c>
      <c r="U90" s="139">
        <f>IF(Data_Override!P90="",Data!P90,Data_Override!P90)</f>
        <v>0</v>
      </c>
      <c r="V90" s="139">
        <f>IF(Data_Override!Q90="",Data!Q90,Data_Override!Q90)</f>
        <v>0</v>
      </c>
      <c r="W90" s="139">
        <f>IF(Data_Override!R90="",Data!R90,Data_Override!R90)</f>
        <v>0</v>
      </c>
      <c r="X90" s="139">
        <f>IF(Data_Override!S90="",Data!S90,Data_Override!S90)</f>
        <v>0</v>
      </c>
      <c r="Y90" s="140">
        <f t="shared" si="27"/>
        <v>0</v>
      </c>
      <c r="Z90" s="140">
        <f t="shared" si="28"/>
        <v>0</v>
      </c>
      <c r="AB90" s="139">
        <f>IF(Data_Override!U90="",Data!U90,Data_Override!U90)</f>
        <v>0</v>
      </c>
      <c r="AC90" s="139">
        <f>IF(Data_Override!V90="",Data!V90,Data_Override!V90)</f>
        <v>0</v>
      </c>
      <c r="AD90" s="139">
        <f>IF(Data_Override!W90="",Data!W90,Data_Override!W90)</f>
        <v>0</v>
      </c>
    </row>
    <row r="91" spans="1:30" x14ac:dyDescent="0.2">
      <c r="A91" s="141" t="s">
        <v>181</v>
      </c>
      <c r="B91" s="142" t="s">
        <v>109</v>
      </c>
      <c r="C91" s="142" t="s">
        <v>24</v>
      </c>
      <c r="D91" s="19" t="str">
        <f t="shared" si="24"/>
        <v>25</v>
      </c>
      <c r="E91" s="139">
        <f>IF(Data_Override!D91="",Data!D91,Data_Override!D91)</f>
        <v>0</v>
      </c>
      <c r="F91" s="139">
        <f>IF(Data_Override!E91="",Data!E91,Data_Override!E91)</f>
        <v>0</v>
      </c>
      <c r="G91" s="139">
        <f>IF(Data_Override!F91="",Data!F91,Data_Override!F91)</f>
        <v>0</v>
      </c>
      <c r="H91" s="139">
        <f>IF(Data_Override!G91="",Data!G91,Data_Override!G91)</f>
        <v>0</v>
      </c>
      <c r="I91" s="140">
        <f t="shared" si="25"/>
        <v>0</v>
      </c>
      <c r="J91" s="140">
        <f t="shared" si="26"/>
        <v>0</v>
      </c>
      <c r="L91" s="139">
        <f>IF(Data_Override!I91="",Data!I91,Data_Override!I91)</f>
        <v>0</v>
      </c>
      <c r="M91" s="139">
        <f>IF(Data_Override!J91="",Data!J91,Data_Override!J91)</f>
        <v>0</v>
      </c>
      <c r="N91" s="139">
        <f>IF(Data_Override!K91="",Data!K91,Data_Override!K91)</f>
        <v>0</v>
      </c>
      <c r="O91" s="139">
        <f>IF(Data_Override!L91="",Data!L91,Data_Override!L91)</f>
        <v>0</v>
      </c>
      <c r="P91" s="140">
        <f t="shared" si="29"/>
        <v>0</v>
      </c>
      <c r="Q91" s="140">
        <f t="shared" si="30"/>
        <v>0</v>
      </c>
      <c r="S91" s="139">
        <f>IF(Data_Override!N91="",Data!N91,Data_Override!N91)</f>
        <v>0</v>
      </c>
      <c r="U91" s="139">
        <f>IF(Data_Override!P91="",Data!P91,Data_Override!P91)</f>
        <v>0</v>
      </c>
      <c r="V91" s="139">
        <f>IF(Data_Override!Q91="",Data!Q91,Data_Override!Q91)</f>
        <v>0</v>
      </c>
      <c r="W91" s="139">
        <f>IF(Data_Override!R91="",Data!R91,Data_Override!R91)</f>
        <v>0</v>
      </c>
      <c r="X91" s="139">
        <f>IF(Data_Override!S91="",Data!S91,Data_Override!S91)</f>
        <v>0</v>
      </c>
      <c r="Y91" s="140">
        <f t="shared" si="27"/>
        <v>0</v>
      </c>
      <c r="Z91" s="140">
        <f t="shared" si="28"/>
        <v>0</v>
      </c>
      <c r="AB91" s="139">
        <f>IF(Data_Override!U91="",Data!U91,Data_Override!U91)</f>
        <v>0</v>
      </c>
      <c r="AC91" s="139">
        <f>IF(Data_Override!V91="",Data!V91,Data_Override!V91)</f>
        <v>0</v>
      </c>
      <c r="AD91" s="139">
        <f>IF(Data_Override!W91="",Data!W91,Data_Override!W91)</f>
        <v>0</v>
      </c>
    </row>
    <row r="92" spans="1:30" hidden="1" x14ac:dyDescent="0.2">
      <c r="A92" s="138" t="str">
        <f t="shared" ref="A92" si="31">B92&amp;RIGHT(C92,2)</f>
        <v>SWB17</v>
      </c>
      <c r="B92" s="19" t="s">
        <v>108</v>
      </c>
      <c r="C92" s="143" t="s">
        <v>69</v>
      </c>
      <c r="D92" s="19" t="str">
        <f t="shared" si="24"/>
        <v>17</v>
      </c>
      <c r="E92" s="139">
        <f>IF(Data_Override!D92="",Data!D92,Data_Override!D92)</f>
        <v>0</v>
      </c>
      <c r="F92" s="139">
        <f>IF(Data_Override!E92="",Data!E92,Data_Override!E92)</f>
        <v>0</v>
      </c>
      <c r="G92" s="139">
        <f>IF(Data_Override!F92="",Data!F92,Data_Override!F92)</f>
        <v>0</v>
      </c>
      <c r="H92" s="139">
        <f>IF(Data_Override!G92="",Data!G92,Data_Override!G92)</f>
        <v>0</v>
      </c>
      <c r="I92" s="140">
        <f t="shared" si="25"/>
        <v>0</v>
      </c>
      <c r="J92" s="140">
        <f t="shared" si="26"/>
        <v>0</v>
      </c>
      <c r="L92" s="139">
        <f>IF(Data_Override!I92="",Data!I92,Data_Override!I92)</f>
        <v>0</v>
      </c>
      <c r="M92" s="139">
        <f>IF(Data_Override!J92="",Data!J92,Data_Override!J92)</f>
        <v>0</v>
      </c>
      <c r="N92" s="139">
        <f>IF(Data_Override!K92="",Data!K92,Data_Override!K92)</f>
        <v>0</v>
      </c>
      <c r="O92" s="139">
        <f>IF(Data_Override!L92="",Data!L92,Data_Override!L92)</f>
        <v>0</v>
      </c>
      <c r="P92" s="140">
        <f t="shared" si="29"/>
        <v>0</v>
      </c>
      <c r="Q92" s="140">
        <f t="shared" si="30"/>
        <v>0</v>
      </c>
      <c r="S92" s="139">
        <f>IF(Data_Override!N92="",Data!N92,Data_Override!N92)</f>
        <v>171.92593992613899</v>
      </c>
      <c r="U92" s="139">
        <f>IF(Data_Override!P92="",Data!P92,Data_Override!P92)</f>
        <v>0</v>
      </c>
      <c r="V92" s="139">
        <f>IF(Data_Override!Q92="",Data!Q92,Data_Override!Q92)</f>
        <v>0</v>
      </c>
      <c r="W92" s="139">
        <f>IF(Data_Override!R92="",Data!R92,Data_Override!R92)</f>
        <v>0</v>
      </c>
      <c r="X92" s="139">
        <f>IF(Data_Override!S92="",Data!S92,Data_Override!S92)</f>
        <v>0</v>
      </c>
      <c r="Y92" s="140">
        <f t="shared" si="27"/>
        <v>0</v>
      </c>
      <c r="Z92" s="140">
        <f t="shared" si="28"/>
        <v>0</v>
      </c>
      <c r="AB92" s="139">
        <f>IF(Data_Override!U92="",Data!U92,Data_Override!U92)</f>
        <v>0</v>
      </c>
      <c r="AC92" s="139">
        <f>IF(Data_Override!V92="",Data!V92,Data_Override!V92)</f>
        <v>0</v>
      </c>
      <c r="AD92" s="139">
        <f>IF(Data_Override!W92="",Data!W92,Data_Override!W92)</f>
        <v>0</v>
      </c>
    </row>
    <row r="93" spans="1:30" hidden="1" x14ac:dyDescent="0.2">
      <c r="A93" s="141" t="s">
        <v>182</v>
      </c>
      <c r="B93" s="142" t="s">
        <v>108</v>
      </c>
      <c r="C93" s="142" t="s">
        <v>70</v>
      </c>
      <c r="D93" s="19" t="str">
        <f t="shared" si="24"/>
        <v>18</v>
      </c>
      <c r="E93" s="139">
        <f>IF(Data_Override!D93="",Data!D93,Data_Override!D93)</f>
        <v>0</v>
      </c>
      <c r="F93" s="139">
        <f>IF(Data_Override!E93="",Data!E93,Data_Override!E93)</f>
        <v>5.8999999999999997E-2</v>
      </c>
      <c r="G93" s="139">
        <f>IF(Data_Override!F93="",Data!F93,Data_Override!F93)</f>
        <v>0</v>
      </c>
      <c r="H93" s="139">
        <f>IF(Data_Override!G93="",Data!G93,Data_Override!G93)</f>
        <v>0</v>
      </c>
      <c r="I93" s="140">
        <f t="shared" si="25"/>
        <v>5.8999999999999997E-2</v>
      </c>
      <c r="J93" s="140">
        <f t="shared" si="26"/>
        <v>0</v>
      </c>
      <c r="L93" s="139">
        <f>IF(Data_Override!I93="",Data!I93,Data_Override!I93)</f>
        <v>0</v>
      </c>
      <c r="M93" s="139">
        <f>IF(Data_Override!J93="",Data!J93,Data_Override!J93)</f>
        <v>0</v>
      </c>
      <c r="N93" s="139">
        <f>IF(Data_Override!K93="",Data!K93,Data_Override!K93)</f>
        <v>0</v>
      </c>
      <c r="O93" s="139">
        <f>IF(Data_Override!L93="",Data!L93,Data_Override!L93)</f>
        <v>0</v>
      </c>
      <c r="P93" s="140">
        <f t="shared" si="29"/>
        <v>0</v>
      </c>
      <c r="Q93" s="140">
        <f t="shared" si="30"/>
        <v>0</v>
      </c>
      <c r="S93" s="139">
        <f>IF(Data_Override!N93="",Data!N93,Data_Override!N93)</f>
        <v>175.102</v>
      </c>
      <c r="U93" s="139">
        <f>IF(Data_Override!P93="",Data!P93,Data_Override!P93)</f>
        <v>0</v>
      </c>
      <c r="V93" s="139">
        <f>IF(Data_Override!Q93="",Data!Q93,Data_Override!Q93)</f>
        <v>0</v>
      </c>
      <c r="W93" s="139">
        <f>IF(Data_Override!R93="",Data!R93,Data_Override!R93)</f>
        <v>0</v>
      </c>
      <c r="X93" s="139">
        <f>IF(Data_Override!S93="",Data!S93,Data_Override!S93)</f>
        <v>0</v>
      </c>
      <c r="Y93" s="140">
        <f t="shared" si="27"/>
        <v>0</v>
      </c>
      <c r="Z93" s="140">
        <f t="shared" si="28"/>
        <v>0</v>
      </c>
      <c r="AB93" s="139">
        <f>IF(Data_Override!U93="",Data!U93,Data_Override!U93)</f>
        <v>102.46</v>
      </c>
      <c r="AC93" s="139">
        <f>IF(Data_Override!V93="",Data!V93,Data_Override!V93)</f>
        <v>18233</v>
      </c>
      <c r="AD93" s="139">
        <f>IF(Data_Override!W93="",Data!W93,Data_Override!W93)</f>
        <v>1044.365</v>
      </c>
    </row>
    <row r="94" spans="1:30" hidden="1" x14ac:dyDescent="0.2">
      <c r="A94" s="141" t="s">
        <v>183</v>
      </c>
      <c r="B94" s="142" t="s">
        <v>108</v>
      </c>
      <c r="C94" s="142" t="s">
        <v>71</v>
      </c>
      <c r="D94" s="19" t="str">
        <f t="shared" si="24"/>
        <v>19</v>
      </c>
      <c r="E94" s="139">
        <f>IF(Data_Override!D94="",Data!D94,Data_Override!D94)</f>
        <v>0</v>
      </c>
      <c r="F94" s="139">
        <f>IF(Data_Override!E94="",Data!E94,Data_Override!E94)</f>
        <v>0</v>
      </c>
      <c r="G94" s="139">
        <f>IF(Data_Override!F94="",Data!F94,Data_Override!F94)</f>
        <v>0</v>
      </c>
      <c r="H94" s="139">
        <f>IF(Data_Override!G94="",Data!G94,Data_Override!G94)</f>
        <v>0</v>
      </c>
      <c r="I94" s="140">
        <f t="shared" si="25"/>
        <v>0</v>
      </c>
      <c r="J94" s="140">
        <f t="shared" si="26"/>
        <v>0</v>
      </c>
      <c r="L94" s="139">
        <f>IF(Data_Override!I94="",Data!I94,Data_Override!I94)</f>
        <v>0</v>
      </c>
      <c r="M94" s="139">
        <f>IF(Data_Override!J94="",Data!J94,Data_Override!J94)</f>
        <v>0</v>
      </c>
      <c r="N94" s="139">
        <f>IF(Data_Override!K94="",Data!K94,Data_Override!K94)</f>
        <v>0</v>
      </c>
      <c r="O94" s="139">
        <f>IF(Data_Override!L94="",Data!L94,Data_Override!L94)</f>
        <v>0</v>
      </c>
      <c r="P94" s="140">
        <f t="shared" si="29"/>
        <v>0</v>
      </c>
      <c r="Q94" s="140">
        <f t="shared" si="30"/>
        <v>0</v>
      </c>
      <c r="S94" s="139">
        <f>IF(Data_Override!N94="",Data!N94,Data_Override!N94)</f>
        <v>146.79622348987999</v>
      </c>
      <c r="U94" s="139">
        <f>IF(Data_Override!P94="",Data!P94,Data_Override!P94)</f>
        <v>0</v>
      </c>
      <c r="V94" s="139">
        <f>IF(Data_Override!Q94="",Data!Q94,Data_Override!Q94)</f>
        <v>0</v>
      </c>
      <c r="W94" s="139">
        <f>IF(Data_Override!R94="",Data!R94,Data_Override!R94)</f>
        <v>7.06</v>
      </c>
      <c r="X94" s="139">
        <f>IF(Data_Override!S94="",Data!S94,Data_Override!S94)</f>
        <v>7.06</v>
      </c>
      <c r="Y94" s="140">
        <f t="shared" si="27"/>
        <v>0</v>
      </c>
      <c r="Z94" s="140">
        <f t="shared" si="28"/>
        <v>7.06</v>
      </c>
      <c r="AB94" s="139">
        <f>IF(Data_Override!U94="",Data!U94,Data_Override!U94)</f>
        <v>117.53</v>
      </c>
      <c r="AC94" s="139">
        <f>IF(Data_Override!V94="",Data!V94,Data_Override!V94)</f>
        <v>18288</v>
      </c>
      <c r="AD94" s="139">
        <f>IF(Data_Override!W94="",Data!W94,Data_Override!W94)</f>
        <v>1054.403</v>
      </c>
    </row>
    <row r="95" spans="1:30" hidden="1" x14ac:dyDescent="0.2">
      <c r="A95" s="141" t="s">
        <v>184</v>
      </c>
      <c r="B95" s="142" t="s">
        <v>108</v>
      </c>
      <c r="C95" s="142" t="s">
        <v>72</v>
      </c>
      <c r="D95" s="19" t="str">
        <f t="shared" si="24"/>
        <v>20</v>
      </c>
      <c r="E95" s="139">
        <f>IF(Data_Override!D95="",Data!D95,Data_Override!D95)</f>
        <v>0</v>
      </c>
      <c r="F95" s="139">
        <f>IF(Data_Override!E95="",Data!E95,Data_Override!E95)</f>
        <v>0</v>
      </c>
      <c r="G95" s="139">
        <f>IF(Data_Override!F95="",Data!F95,Data_Override!F95)</f>
        <v>0</v>
      </c>
      <c r="H95" s="139">
        <f>IF(Data_Override!G95="",Data!G95,Data_Override!G95)</f>
        <v>0</v>
      </c>
      <c r="I95" s="140">
        <f t="shared" si="25"/>
        <v>0</v>
      </c>
      <c r="J95" s="140">
        <f t="shared" si="26"/>
        <v>0</v>
      </c>
      <c r="L95" s="139">
        <f>IF(Data_Override!I95="",Data!I95,Data_Override!I95)</f>
        <v>0</v>
      </c>
      <c r="M95" s="139">
        <f>IF(Data_Override!J95="",Data!J95,Data_Override!J95)</f>
        <v>0</v>
      </c>
      <c r="N95" s="139">
        <f>IF(Data_Override!K95="",Data!K95,Data_Override!K95)</f>
        <v>0</v>
      </c>
      <c r="O95" s="139">
        <f>IF(Data_Override!L95="",Data!L95,Data_Override!L95)</f>
        <v>0</v>
      </c>
      <c r="P95" s="140">
        <f t="shared" si="29"/>
        <v>0</v>
      </c>
      <c r="Q95" s="140">
        <f t="shared" si="30"/>
        <v>0</v>
      </c>
      <c r="S95" s="139">
        <f>IF(Data_Override!N95="",Data!N95,Data_Override!N95)</f>
        <v>138.72747678160999</v>
      </c>
      <c r="U95" s="139">
        <f>IF(Data_Override!P95="",Data!P95,Data_Override!P95)</f>
        <v>0</v>
      </c>
      <c r="V95" s="139">
        <f>IF(Data_Override!Q95="",Data!Q95,Data_Override!Q95)</f>
        <v>0</v>
      </c>
      <c r="W95" s="139">
        <f>IF(Data_Override!R95="",Data!R95,Data_Override!R95)</f>
        <v>1.33</v>
      </c>
      <c r="X95" s="139">
        <f>IF(Data_Override!S95="",Data!S95,Data_Override!S95)</f>
        <v>1.33</v>
      </c>
      <c r="Y95" s="140">
        <f t="shared" si="27"/>
        <v>0</v>
      </c>
      <c r="Z95" s="140">
        <f t="shared" si="28"/>
        <v>1.33</v>
      </c>
      <c r="AB95" s="139">
        <f>IF(Data_Override!U95="",Data!U95,Data_Override!U95)</f>
        <v>116.2</v>
      </c>
      <c r="AC95" s="139">
        <f>IF(Data_Override!V95="",Data!V95,Data_Override!V95)</f>
        <v>18337</v>
      </c>
      <c r="AD95" s="139">
        <f>IF(Data_Override!W95="",Data!W95,Data_Override!W95)</f>
        <v>1063.8109999999999</v>
      </c>
    </row>
    <row r="96" spans="1:30" x14ac:dyDescent="0.2">
      <c r="A96" s="141" t="s">
        <v>185</v>
      </c>
      <c r="B96" s="142" t="s">
        <v>108</v>
      </c>
      <c r="C96" s="142" t="s">
        <v>73</v>
      </c>
      <c r="D96" s="19" t="str">
        <f t="shared" si="24"/>
        <v>21</v>
      </c>
      <c r="E96" s="139">
        <f>IF(Data_Override!D96="",Data!D96,Data_Override!D96)</f>
        <v>0</v>
      </c>
      <c r="F96" s="139">
        <f>IF(Data_Override!E96="",Data!E96,Data_Override!E96)</f>
        <v>0</v>
      </c>
      <c r="G96" s="139">
        <f>IF(Data_Override!F96="",Data!F96,Data_Override!F96)</f>
        <v>0</v>
      </c>
      <c r="H96" s="139">
        <f>IF(Data_Override!G96="",Data!G96,Data_Override!G96)</f>
        <v>0.9</v>
      </c>
      <c r="I96" s="140">
        <f t="shared" si="25"/>
        <v>0</v>
      </c>
      <c r="J96" s="140">
        <f t="shared" si="26"/>
        <v>0.9</v>
      </c>
      <c r="L96" s="139">
        <f>IF(Data_Override!I96="",Data!I96,Data_Override!I96)</f>
        <v>0</v>
      </c>
      <c r="M96" s="139">
        <f>IF(Data_Override!J96="",Data!J96,Data_Override!J96)</f>
        <v>0</v>
      </c>
      <c r="N96" s="139">
        <f>IF(Data_Override!K96="",Data!K96,Data_Override!K96)</f>
        <v>0</v>
      </c>
      <c r="O96" s="139">
        <f>IF(Data_Override!L96="",Data!L96,Data_Override!L96)</f>
        <v>0.04</v>
      </c>
      <c r="P96" s="140">
        <f t="shared" si="29"/>
        <v>0</v>
      </c>
      <c r="Q96" s="140">
        <f t="shared" si="30"/>
        <v>0.04</v>
      </c>
      <c r="S96" s="139">
        <f>IF(Data_Override!N96="",Data!N96,Data_Override!N96)</f>
        <v>164.92599999999999</v>
      </c>
      <c r="U96" s="139">
        <f>IF(Data_Override!P96="",Data!P96,Data_Override!P96)</f>
        <v>0</v>
      </c>
      <c r="V96" s="139">
        <f>IF(Data_Override!Q96="",Data!Q96,Data_Override!Q96)</f>
        <v>0</v>
      </c>
      <c r="W96" s="139">
        <f>IF(Data_Override!R96="",Data!R96,Data_Override!R96)</f>
        <v>7.6</v>
      </c>
      <c r="X96" s="139">
        <f>IF(Data_Override!S96="",Data!S96,Data_Override!S96)</f>
        <v>7.6</v>
      </c>
      <c r="Y96" s="140">
        <f t="shared" si="27"/>
        <v>0</v>
      </c>
      <c r="Z96" s="140">
        <f t="shared" si="28"/>
        <v>7.6</v>
      </c>
      <c r="AB96" s="139">
        <f>IF(Data_Override!U96="",Data!U96,Data_Override!U96)</f>
        <v>114.3</v>
      </c>
      <c r="AC96" s="139">
        <f>IF(Data_Override!V96="",Data!V96,Data_Override!V96)</f>
        <v>18386</v>
      </c>
      <c r="AD96" s="139">
        <f>IF(Data_Override!W96="",Data!W96,Data_Override!W96)</f>
        <v>1073.17</v>
      </c>
    </row>
    <row r="97" spans="1:30" x14ac:dyDescent="0.2">
      <c r="A97" s="141" t="s">
        <v>186</v>
      </c>
      <c r="B97" s="142" t="s">
        <v>108</v>
      </c>
      <c r="C97" s="142" t="s">
        <v>74</v>
      </c>
      <c r="D97" s="19" t="str">
        <f t="shared" si="24"/>
        <v>22</v>
      </c>
      <c r="E97" s="139">
        <f>IF(Data_Override!D97="",Data!D97,Data_Override!D97)</f>
        <v>0</v>
      </c>
      <c r="F97" s="139">
        <f>IF(Data_Override!E97="",Data!E97,Data_Override!E97)</f>
        <v>0</v>
      </c>
      <c r="G97" s="139">
        <f>IF(Data_Override!F97="",Data!F97,Data_Override!F97)</f>
        <v>0</v>
      </c>
      <c r="H97" s="139">
        <f>IF(Data_Override!G97="",Data!G97,Data_Override!G97)</f>
        <v>0.9</v>
      </c>
      <c r="I97" s="140">
        <f t="shared" si="25"/>
        <v>0</v>
      </c>
      <c r="J97" s="140">
        <f t="shared" si="26"/>
        <v>0.9</v>
      </c>
      <c r="L97" s="139">
        <f>IF(Data_Override!I97="",Data!I97,Data_Override!I97)</f>
        <v>0</v>
      </c>
      <c r="M97" s="139">
        <f>IF(Data_Override!J97="",Data!J97,Data_Override!J97)</f>
        <v>0</v>
      </c>
      <c r="N97" s="139">
        <f>IF(Data_Override!K97="",Data!K97,Data_Override!K97)</f>
        <v>0</v>
      </c>
      <c r="O97" s="139">
        <f>IF(Data_Override!L97="",Data!L97,Data_Override!L97)</f>
        <v>0.04</v>
      </c>
      <c r="P97" s="140">
        <f t="shared" si="29"/>
        <v>0</v>
      </c>
      <c r="Q97" s="140">
        <f t="shared" si="30"/>
        <v>0.04</v>
      </c>
      <c r="S97" s="139">
        <f>IF(Data_Override!N97="",Data!N97,Data_Override!N97)</f>
        <v>179.66900000000001</v>
      </c>
      <c r="U97" s="139">
        <f>IF(Data_Override!P97="",Data!P97,Data_Override!P97)</f>
        <v>0</v>
      </c>
      <c r="V97" s="139">
        <f>IF(Data_Override!Q97="",Data!Q97,Data_Override!Q97)</f>
        <v>0</v>
      </c>
      <c r="W97" s="139">
        <f>IF(Data_Override!R97="",Data!R97,Data_Override!R97)</f>
        <v>5.63</v>
      </c>
      <c r="X97" s="139">
        <f>IF(Data_Override!S97="",Data!S97,Data_Override!S97)</f>
        <v>5.63</v>
      </c>
      <c r="Y97" s="140">
        <f t="shared" si="27"/>
        <v>0</v>
      </c>
      <c r="Z97" s="140">
        <f t="shared" si="28"/>
        <v>5.63</v>
      </c>
      <c r="AB97" s="139">
        <f>IF(Data_Override!U97="",Data!U97,Data_Override!U97)</f>
        <v>110.77</v>
      </c>
      <c r="AC97" s="139">
        <f>IF(Data_Override!V97="",Data!V97,Data_Override!V97)</f>
        <v>18435</v>
      </c>
      <c r="AD97" s="139">
        <f>IF(Data_Override!W97="",Data!W97,Data_Override!W97)</f>
        <v>1082.443</v>
      </c>
    </row>
    <row r="98" spans="1:30" x14ac:dyDescent="0.2">
      <c r="A98" s="141" t="s">
        <v>187</v>
      </c>
      <c r="B98" s="142" t="s">
        <v>108</v>
      </c>
      <c r="C98" s="142" t="s">
        <v>75</v>
      </c>
      <c r="D98" s="19" t="str">
        <f t="shared" si="24"/>
        <v>23</v>
      </c>
      <c r="E98" s="139">
        <f>IF(Data_Override!D98="",Data!D98,Data_Override!D98)</f>
        <v>0</v>
      </c>
      <c r="F98" s="139">
        <f>IF(Data_Override!E98="",Data!E98,Data_Override!E98)</f>
        <v>0</v>
      </c>
      <c r="G98" s="139">
        <f>IF(Data_Override!F98="",Data!F98,Data_Override!F98)</f>
        <v>0</v>
      </c>
      <c r="H98" s="139">
        <f>IF(Data_Override!G98="",Data!G98,Data_Override!G98)</f>
        <v>0.64400000000000002</v>
      </c>
      <c r="I98" s="140">
        <f t="shared" si="25"/>
        <v>0</v>
      </c>
      <c r="J98" s="140">
        <f t="shared" si="26"/>
        <v>0.64400000000000002</v>
      </c>
      <c r="L98" s="139">
        <f>IF(Data_Override!I98="",Data!I98,Data_Override!I98)</f>
        <v>0</v>
      </c>
      <c r="M98" s="139">
        <f>IF(Data_Override!J98="",Data!J98,Data_Override!J98)</f>
        <v>0</v>
      </c>
      <c r="N98" s="139">
        <f>IF(Data_Override!K98="",Data!K98,Data_Override!K98)</f>
        <v>0</v>
      </c>
      <c r="O98" s="139">
        <f>IF(Data_Override!L98="",Data!L98,Data_Override!L98)</f>
        <v>0.04</v>
      </c>
      <c r="P98" s="140">
        <f t="shared" si="29"/>
        <v>0</v>
      </c>
      <c r="Q98" s="140">
        <f t="shared" si="30"/>
        <v>0.04</v>
      </c>
      <c r="S98" s="139">
        <f>IF(Data_Override!N98="",Data!N98,Data_Override!N98)</f>
        <v>192.19399999999999</v>
      </c>
      <c r="U98" s="139">
        <f>IF(Data_Override!P98="",Data!P98,Data_Override!P98)</f>
        <v>0</v>
      </c>
      <c r="V98" s="139">
        <f>IF(Data_Override!Q98="",Data!Q98,Data_Override!Q98)</f>
        <v>0</v>
      </c>
      <c r="W98" s="139">
        <f>IF(Data_Override!R98="",Data!R98,Data_Override!R98)</f>
        <v>5.54</v>
      </c>
      <c r="X98" s="139">
        <f>IF(Data_Override!S98="",Data!S98,Data_Override!S98)</f>
        <v>5.54</v>
      </c>
      <c r="Y98" s="140">
        <f t="shared" si="27"/>
        <v>0</v>
      </c>
      <c r="Z98" s="140">
        <f t="shared" si="28"/>
        <v>5.54</v>
      </c>
      <c r="AB98" s="139">
        <f>IF(Data_Override!U98="",Data!U98,Data_Override!U98)</f>
        <v>107.23</v>
      </c>
      <c r="AC98" s="139">
        <f>IF(Data_Override!V98="",Data!V98,Data_Override!V98)</f>
        <v>18492</v>
      </c>
      <c r="AD98" s="139">
        <f>IF(Data_Override!W98="",Data!W98,Data_Override!W98)</f>
        <v>1091.662</v>
      </c>
    </row>
    <row r="99" spans="1:30" x14ac:dyDescent="0.2">
      <c r="A99" s="141" t="s">
        <v>188</v>
      </c>
      <c r="B99" s="142" t="s">
        <v>108</v>
      </c>
      <c r="C99" s="142" t="s">
        <v>76</v>
      </c>
      <c r="D99" s="19" t="str">
        <f t="shared" si="24"/>
        <v>24</v>
      </c>
      <c r="E99" s="139">
        <f>IF(Data_Override!D99="",Data!D99,Data_Override!D99)</f>
        <v>0</v>
      </c>
      <c r="F99" s="139">
        <f>IF(Data_Override!E99="",Data!E99,Data_Override!E99)</f>
        <v>0</v>
      </c>
      <c r="G99" s="139">
        <f>IF(Data_Override!F99="",Data!F99,Data_Override!F99)</f>
        <v>0</v>
      </c>
      <c r="H99" s="139">
        <f>IF(Data_Override!G99="",Data!G99,Data_Override!G99)</f>
        <v>0.64400000000000002</v>
      </c>
      <c r="I99" s="140">
        <f t="shared" si="25"/>
        <v>0</v>
      </c>
      <c r="J99" s="140">
        <f t="shared" si="26"/>
        <v>0.64400000000000002</v>
      </c>
      <c r="L99" s="139">
        <f>IF(Data_Override!I99="",Data!I99,Data_Override!I99)</f>
        <v>0</v>
      </c>
      <c r="M99" s="139">
        <f>IF(Data_Override!J99="",Data!J99,Data_Override!J99)</f>
        <v>0</v>
      </c>
      <c r="N99" s="139">
        <f>IF(Data_Override!K99="",Data!K99,Data_Override!K99)</f>
        <v>0</v>
      </c>
      <c r="O99" s="139">
        <f>IF(Data_Override!L99="",Data!L99,Data_Override!L99)</f>
        <v>0.04</v>
      </c>
      <c r="P99" s="140">
        <f t="shared" si="29"/>
        <v>0</v>
      </c>
      <c r="Q99" s="140">
        <f t="shared" si="30"/>
        <v>0.04</v>
      </c>
      <c r="S99" s="139">
        <f>IF(Data_Override!N99="",Data!N99,Data_Override!N99)</f>
        <v>181.702</v>
      </c>
      <c r="U99" s="139">
        <f>IF(Data_Override!P99="",Data!P99,Data_Override!P99)</f>
        <v>0</v>
      </c>
      <c r="V99" s="139">
        <f>IF(Data_Override!Q99="",Data!Q99,Data_Override!Q99)</f>
        <v>0</v>
      </c>
      <c r="W99" s="139">
        <f>IF(Data_Override!R99="",Data!R99,Data_Override!R99)</f>
        <v>5.66</v>
      </c>
      <c r="X99" s="139">
        <f>IF(Data_Override!S99="",Data!S99,Data_Override!S99)</f>
        <v>5.66</v>
      </c>
      <c r="Y99" s="140">
        <f t="shared" si="27"/>
        <v>0</v>
      </c>
      <c r="Z99" s="140">
        <f t="shared" si="28"/>
        <v>5.66</v>
      </c>
      <c r="AB99" s="139">
        <f>IF(Data_Override!U99="",Data!U99,Data_Override!U99)</f>
        <v>103.7</v>
      </c>
      <c r="AC99" s="139">
        <f>IF(Data_Override!V99="",Data!V99,Data_Override!V99)</f>
        <v>18543</v>
      </c>
      <c r="AD99" s="139">
        <f>IF(Data_Override!W99="",Data!W99,Data_Override!W99)</f>
        <v>1100.864</v>
      </c>
    </row>
    <row r="100" spans="1:30" x14ac:dyDescent="0.2">
      <c r="A100" s="141" t="s">
        <v>189</v>
      </c>
      <c r="B100" s="142" t="s">
        <v>108</v>
      </c>
      <c r="C100" s="142" t="s">
        <v>24</v>
      </c>
      <c r="D100" s="19" t="str">
        <f t="shared" si="24"/>
        <v>25</v>
      </c>
      <c r="E100" s="139">
        <f>IF(Data_Override!D100="",Data!D100,Data_Override!D100)</f>
        <v>0</v>
      </c>
      <c r="F100" s="139">
        <f>IF(Data_Override!E100="",Data!E100,Data_Override!E100)</f>
        <v>0</v>
      </c>
      <c r="G100" s="139">
        <f>IF(Data_Override!F100="",Data!F100,Data_Override!F100)</f>
        <v>0</v>
      </c>
      <c r="H100" s="139">
        <f>IF(Data_Override!G100="",Data!G100,Data_Override!G100)</f>
        <v>0.64400000000000002</v>
      </c>
      <c r="I100" s="140">
        <f t="shared" si="25"/>
        <v>0</v>
      </c>
      <c r="J100" s="140">
        <f t="shared" si="26"/>
        <v>0.64400000000000002</v>
      </c>
      <c r="L100" s="139">
        <f>IF(Data_Override!I100="",Data!I100,Data_Override!I100)</f>
        <v>0</v>
      </c>
      <c r="M100" s="139">
        <f>IF(Data_Override!J100="",Data!J100,Data_Override!J100)</f>
        <v>0</v>
      </c>
      <c r="N100" s="139">
        <f>IF(Data_Override!K100="",Data!K100,Data_Override!K100)</f>
        <v>0</v>
      </c>
      <c r="O100" s="139">
        <f>IF(Data_Override!L100="",Data!L100,Data_Override!L100)</f>
        <v>0.04</v>
      </c>
      <c r="P100" s="140">
        <f t="shared" si="29"/>
        <v>0</v>
      </c>
      <c r="Q100" s="140">
        <f t="shared" si="30"/>
        <v>0.04</v>
      </c>
      <c r="S100" s="139">
        <f>IF(Data_Override!N100="",Data!N100,Data_Override!N100)</f>
        <v>175.761</v>
      </c>
      <c r="U100" s="139">
        <f>IF(Data_Override!P100="",Data!P100,Data_Override!P100)</f>
        <v>0</v>
      </c>
      <c r="V100" s="139">
        <f>IF(Data_Override!Q100="",Data!Q100,Data_Override!Q100)</f>
        <v>0</v>
      </c>
      <c r="W100" s="139">
        <f>IF(Data_Override!R100="",Data!R100,Data_Override!R100)</f>
        <v>5.51</v>
      </c>
      <c r="X100" s="139">
        <f>IF(Data_Override!S100="",Data!S100,Data_Override!S100)</f>
        <v>5.51</v>
      </c>
      <c r="Y100" s="140">
        <f t="shared" si="27"/>
        <v>0</v>
      </c>
      <c r="Z100" s="140">
        <f t="shared" si="28"/>
        <v>5.51</v>
      </c>
      <c r="AB100" s="139">
        <f>IF(Data_Override!U100="",Data!U100,Data_Override!U100)</f>
        <v>100.16</v>
      </c>
      <c r="AC100" s="139">
        <f>IF(Data_Override!V100="",Data!V100,Data_Override!V100)</f>
        <v>18592</v>
      </c>
      <c r="AD100" s="139">
        <f>IF(Data_Override!W100="",Data!W100,Data_Override!W100)</f>
        <v>1109.943</v>
      </c>
    </row>
    <row r="101" spans="1:30" hidden="1" x14ac:dyDescent="0.2">
      <c r="A101" s="138" t="str">
        <f t="shared" ref="A101" si="32">B101&amp;RIGHT(C101,2)</f>
        <v>TMS12</v>
      </c>
      <c r="B101" s="19" t="s">
        <v>31</v>
      </c>
      <c r="C101" s="143" t="s">
        <v>64</v>
      </c>
      <c r="D101" s="19" t="str">
        <f t="shared" si="24"/>
        <v>12</v>
      </c>
      <c r="E101" s="139">
        <f>IF(Data_Override!D101="",Data!D101,Data_Override!D101)</f>
        <v>0.10973158023504501</v>
      </c>
      <c r="F101" s="139">
        <f>IF(Data_Override!E101="",Data!E101,Data_Override!E101)</f>
        <v>0.64209711962621896</v>
      </c>
      <c r="G101" s="139">
        <f>IF(Data_Override!F101="",Data!F101,Data_Override!F101)</f>
        <v>4.0477168522765297</v>
      </c>
      <c r="H101" s="139">
        <f>IF(Data_Override!G101="",Data!G101,Data_Override!G101)</f>
        <v>1.1854033865061999</v>
      </c>
      <c r="I101" s="140">
        <f t="shared" si="25"/>
        <v>0.75182869986126399</v>
      </c>
      <c r="J101" s="140">
        <f t="shared" si="26"/>
        <v>5.23312023878273</v>
      </c>
      <c r="L101" s="139">
        <f>IF(Data_Override!I101="",Data!I101,Data_Override!I101)</f>
        <v>0</v>
      </c>
      <c r="M101" s="139">
        <f>IF(Data_Override!J101="",Data!J101,Data_Override!J101)</f>
        <v>0</v>
      </c>
      <c r="N101" s="139">
        <f>IF(Data_Override!K101="",Data!K101,Data_Override!K101)</f>
        <v>0</v>
      </c>
      <c r="O101" s="139">
        <f>IF(Data_Override!L101="",Data!L101,Data_Override!L101)</f>
        <v>0</v>
      </c>
      <c r="P101" s="140">
        <f t="shared" si="29"/>
        <v>0</v>
      </c>
      <c r="Q101" s="140">
        <f t="shared" si="30"/>
        <v>0</v>
      </c>
      <c r="S101" s="139">
        <f>IF(Data_Override!N101="",Data!N101,Data_Override!N101)</f>
        <v>655.65719059821504</v>
      </c>
      <c r="U101" s="139">
        <f>IF(Data_Override!P101="",Data!P101,Data_Override!P101)</f>
        <v>0</v>
      </c>
      <c r="V101" s="139">
        <f>IF(Data_Override!Q101="",Data!Q101,Data_Override!Q101)</f>
        <v>0</v>
      </c>
      <c r="W101" s="139">
        <f>IF(Data_Override!R101="",Data!R101,Data_Override!R101)</f>
        <v>0</v>
      </c>
      <c r="X101" s="139">
        <f>IF(Data_Override!S101="",Data!S101,Data_Override!S101)</f>
        <v>0</v>
      </c>
      <c r="Y101" s="140">
        <f t="shared" si="27"/>
        <v>0</v>
      </c>
      <c r="Z101" s="140">
        <f t="shared" si="28"/>
        <v>0</v>
      </c>
      <c r="AB101" s="139">
        <f>IF(Data_Override!U101="",Data!U101,Data_Override!U101)</f>
        <v>0</v>
      </c>
      <c r="AC101" s="139">
        <f>IF(Data_Override!V101="",Data!V101,Data_Override!V101)</f>
        <v>0</v>
      </c>
      <c r="AD101" s="139">
        <f>IF(Data_Override!W101="",Data!W101,Data_Override!W101)</f>
        <v>0</v>
      </c>
    </row>
    <row r="102" spans="1:30" hidden="1" x14ac:dyDescent="0.2">
      <c r="A102" s="138" t="str">
        <f>B102&amp;RIGHT(C102,2)</f>
        <v>TMS13</v>
      </c>
      <c r="B102" s="19" t="s">
        <v>31</v>
      </c>
      <c r="C102" s="143" t="s">
        <v>65</v>
      </c>
      <c r="D102" s="19" t="str">
        <f t="shared" si="24"/>
        <v>13</v>
      </c>
      <c r="E102" s="139">
        <f>IF(Data_Override!D102="",Data!D102,Data_Override!D102)</f>
        <v>0.57009514259239202</v>
      </c>
      <c r="F102" s="139">
        <f>IF(Data_Override!E102="",Data!E102,Data_Override!E102)</f>
        <v>0.41454828969083102</v>
      </c>
      <c r="G102" s="139">
        <f>IF(Data_Override!F102="",Data!F102,Data_Override!F102)</f>
        <v>3.4282415443668</v>
      </c>
      <c r="H102" s="139">
        <f>IF(Data_Override!G102="",Data!G102,Data_Override!G102)</f>
        <v>1.24586887258033</v>
      </c>
      <c r="I102" s="140">
        <f t="shared" si="25"/>
        <v>0.98464343228322304</v>
      </c>
      <c r="J102" s="140">
        <f t="shared" si="26"/>
        <v>4.6741104169471299</v>
      </c>
      <c r="L102" s="139">
        <f>IF(Data_Override!I102="",Data!I102,Data_Override!I102)</f>
        <v>0</v>
      </c>
      <c r="M102" s="139">
        <f>IF(Data_Override!J102="",Data!J102,Data_Override!J102)</f>
        <v>0</v>
      </c>
      <c r="N102" s="139">
        <f>IF(Data_Override!K102="",Data!K102,Data_Override!K102)</f>
        <v>0</v>
      </c>
      <c r="O102" s="139">
        <f>IF(Data_Override!L102="",Data!L102,Data_Override!L102)</f>
        <v>0</v>
      </c>
      <c r="P102" s="140">
        <f t="shared" si="29"/>
        <v>0</v>
      </c>
      <c r="Q102" s="140">
        <f t="shared" si="30"/>
        <v>0</v>
      </c>
      <c r="S102" s="139">
        <f>IF(Data_Override!N102="",Data!N102,Data_Override!N102)</f>
        <v>618.38878947368403</v>
      </c>
      <c r="U102" s="139">
        <f>IF(Data_Override!P102="",Data!P102,Data_Override!P102)</f>
        <v>0</v>
      </c>
      <c r="V102" s="139">
        <f>IF(Data_Override!Q102="",Data!Q102,Data_Override!Q102)</f>
        <v>0</v>
      </c>
      <c r="W102" s="139">
        <f>IF(Data_Override!R102="",Data!R102,Data_Override!R102)</f>
        <v>0</v>
      </c>
      <c r="X102" s="139">
        <f>IF(Data_Override!S102="",Data!S102,Data_Override!S102)</f>
        <v>0</v>
      </c>
      <c r="Y102" s="140">
        <f t="shared" si="27"/>
        <v>0</v>
      </c>
      <c r="Z102" s="140">
        <f t="shared" si="28"/>
        <v>0</v>
      </c>
      <c r="AB102" s="139">
        <f>IF(Data_Override!U102="",Data!U102,Data_Override!U102)</f>
        <v>0</v>
      </c>
      <c r="AC102" s="139">
        <f>IF(Data_Override!V102="",Data!V102,Data_Override!V102)</f>
        <v>0</v>
      </c>
      <c r="AD102" s="139">
        <f>IF(Data_Override!W102="",Data!W102,Data_Override!W102)</f>
        <v>0</v>
      </c>
    </row>
    <row r="103" spans="1:30" hidden="1" x14ac:dyDescent="0.2">
      <c r="A103" s="138" t="str">
        <f>B103&amp;RIGHT(C103,2)</f>
        <v>TMS14</v>
      </c>
      <c r="B103" s="19" t="s">
        <v>31</v>
      </c>
      <c r="C103" s="143" t="s">
        <v>66</v>
      </c>
      <c r="D103" s="19" t="str">
        <f t="shared" si="24"/>
        <v>14</v>
      </c>
      <c r="E103" s="139">
        <f>IF(Data_Override!D103="",Data!D103,Data_Override!D103)</f>
        <v>1.8094080290527501</v>
      </c>
      <c r="F103" s="139">
        <f>IF(Data_Override!E103="",Data!E103,Data_Override!E103)</f>
        <v>1.8269542102674201</v>
      </c>
      <c r="G103" s="139">
        <f>IF(Data_Override!F103="",Data!F103,Data_Override!F103)</f>
        <v>12.0049384235312</v>
      </c>
      <c r="H103" s="139">
        <f>IF(Data_Override!G103="",Data!G103,Data_Override!G103)</f>
        <v>7.0316261551997101</v>
      </c>
      <c r="I103" s="140">
        <f t="shared" si="25"/>
        <v>3.63636223932017</v>
      </c>
      <c r="J103" s="140">
        <f t="shared" si="26"/>
        <v>19.036564578730911</v>
      </c>
      <c r="L103" s="139">
        <f>IF(Data_Override!I103="",Data!I103,Data_Override!I103)</f>
        <v>0</v>
      </c>
      <c r="M103" s="139">
        <f>IF(Data_Override!J103="",Data!J103,Data_Override!J103)</f>
        <v>0</v>
      </c>
      <c r="N103" s="139">
        <f>IF(Data_Override!K103="",Data!K103,Data_Override!K103)</f>
        <v>0</v>
      </c>
      <c r="O103" s="139">
        <f>IF(Data_Override!L103="",Data!L103,Data_Override!L103)</f>
        <v>0</v>
      </c>
      <c r="P103" s="140">
        <f t="shared" si="29"/>
        <v>0</v>
      </c>
      <c r="Q103" s="140">
        <f t="shared" si="30"/>
        <v>0</v>
      </c>
      <c r="S103" s="139">
        <f>IF(Data_Override!N103="",Data!N103,Data_Override!N103)</f>
        <v>634.97227907369802</v>
      </c>
      <c r="U103" s="139">
        <f>IF(Data_Override!P103="",Data!P103,Data_Override!P103)</f>
        <v>0</v>
      </c>
      <c r="V103" s="139">
        <f>IF(Data_Override!Q103="",Data!Q103,Data_Override!Q103)</f>
        <v>0</v>
      </c>
      <c r="W103" s="139">
        <f>IF(Data_Override!R103="",Data!R103,Data_Override!R103)</f>
        <v>0</v>
      </c>
      <c r="X103" s="139">
        <f>IF(Data_Override!S103="",Data!S103,Data_Override!S103)</f>
        <v>0</v>
      </c>
      <c r="Y103" s="140">
        <f t="shared" si="27"/>
        <v>0</v>
      </c>
      <c r="Z103" s="140">
        <f t="shared" si="28"/>
        <v>0</v>
      </c>
      <c r="AB103" s="139">
        <f>IF(Data_Override!U103="",Data!U103,Data_Override!U103)</f>
        <v>0</v>
      </c>
      <c r="AC103" s="139">
        <f>IF(Data_Override!V103="",Data!V103,Data_Override!V103)</f>
        <v>0</v>
      </c>
      <c r="AD103" s="139">
        <f>IF(Data_Override!W103="",Data!W103,Data_Override!W103)</f>
        <v>0</v>
      </c>
    </row>
    <row r="104" spans="1:30" hidden="1" x14ac:dyDescent="0.2">
      <c r="A104" s="138" t="str">
        <f>B104&amp;RIGHT(C104,2)</f>
        <v>TMS15</v>
      </c>
      <c r="B104" s="19" t="s">
        <v>31</v>
      </c>
      <c r="C104" s="143" t="s">
        <v>67</v>
      </c>
      <c r="D104" s="19" t="str">
        <f t="shared" si="24"/>
        <v>15</v>
      </c>
      <c r="E104" s="139">
        <f>IF(Data_Override!D104="",Data!D104,Data_Override!D104)</f>
        <v>-9.1319873206601801E-3</v>
      </c>
      <c r="F104" s="139">
        <f>IF(Data_Override!E104="",Data!E104,Data_Override!E104)</f>
        <v>1.9874723052760499</v>
      </c>
      <c r="G104" s="139">
        <f>IF(Data_Override!F104="",Data!F104,Data_Override!F104)</f>
        <v>12.9028701350706</v>
      </c>
      <c r="H104" s="139">
        <f>IF(Data_Override!G104="",Data!G104,Data_Override!G104)</f>
        <v>14.739834561770399</v>
      </c>
      <c r="I104" s="140">
        <f t="shared" si="25"/>
        <v>1.9783403179553898</v>
      </c>
      <c r="J104" s="140">
        <f t="shared" si="26"/>
        <v>27.642704696841001</v>
      </c>
      <c r="L104" s="139">
        <f>IF(Data_Override!I104="",Data!I104,Data_Override!I104)</f>
        <v>0</v>
      </c>
      <c r="M104" s="139">
        <f>IF(Data_Override!J104="",Data!J104,Data_Override!J104)</f>
        <v>0</v>
      </c>
      <c r="N104" s="139">
        <f>IF(Data_Override!K104="",Data!K104,Data_Override!K104)</f>
        <v>0</v>
      </c>
      <c r="O104" s="139">
        <f>IF(Data_Override!L104="",Data!L104,Data_Override!L104)</f>
        <v>0</v>
      </c>
      <c r="P104" s="140">
        <f t="shared" si="29"/>
        <v>0</v>
      </c>
      <c r="Q104" s="140">
        <f t="shared" si="30"/>
        <v>0</v>
      </c>
      <c r="S104" s="139">
        <f>IF(Data_Override!N104="",Data!N104,Data_Override!N104)</f>
        <v>682.760508398095</v>
      </c>
      <c r="U104" s="139">
        <f>IF(Data_Override!P104="",Data!P104,Data_Override!P104)</f>
        <v>0</v>
      </c>
      <c r="V104" s="139">
        <f>IF(Data_Override!Q104="",Data!Q104,Data_Override!Q104)</f>
        <v>0</v>
      </c>
      <c r="W104" s="139">
        <f>IF(Data_Override!R104="",Data!R104,Data_Override!R104)</f>
        <v>0</v>
      </c>
      <c r="X104" s="139">
        <f>IF(Data_Override!S104="",Data!S104,Data_Override!S104)</f>
        <v>0</v>
      </c>
      <c r="Y104" s="140">
        <f t="shared" si="27"/>
        <v>0</v>
      </c>
      <c r="Z104" s="140">
        <f t="shared" si="28"/>
        <v>0</v>
      </c>
      <c r="AB104" s="139">
        <f>IF(Data_Override!U104="",Data!U104,Data_Override!U104)</f>
        <v>0</v>
      </c>
      <c r="AC104" s="139">
        <f>IF(Data_Override!V104="",Data!V104,Data_Override!V104)</f>
        <v>0</v>
      </c>
      <c r="AD104" s="139">
        <f>IF(Data_Override!W104="",Data!W104,Data_Override!W104)</f>
        <v>0</v>
      </c>
    </row>
    <row r="105" spans="1:30" hidden="1" x14ac:dyDescent="0.2">
      <c r="A105" s="138" t="str">
        <f>B105&amp;RIGHT(C105,2)</f>
        <v>TMS16</v>
      </c>
      <c r="B105" s="19" t="s">
        <v>31</v>
      </c>
      <c r="C105" s="143" t="s">
        <v>68</v>
      </c>
      <c r="D105" s="19" t="str">
        <f t="shared" si="24"/>
        <v>16</v>
      </c>
      <c r="E105" s="139">
        <f>IF(Data_Override!D105="",Data!D105,Data_Override!D105)</f>
        <v>0.142489349286234</v>
      </c>
      <c r="F105" s="139">
        <f>IF(Data_Override!E105="",Data!E105,Data_Override!E105)</f>
        <v>0.537990796046808</v>
      </c>
      <c r="G105" s="139">
        <f>IF(Data_Override!F105="",Data!F105,Data_Override!F105)</f>
        <v>19.300390577544</v>
      </c>
      <c r="H105" s="139">
        <f>IF(Data_Override!G105="",Data!G105,Data_Override!G105)</f>
        <v>23.063822938722701</v>
      </c>
      <c r="I105" s="140">
        <f t="shared" si="25"/>
        <v>0.68048014533304202</v>
      </c>
      <c r="J105" s="140">
        <f t="shared" si="26"/>
        <v>42.364213516266702</v>
      </c>
      <c r="L105" s="139">
        <f>IF(Data_Override!I105="",Data!I105,Data_Override!I105)</f>
        <v>0</v>
      </c>
      <c r="M105" s="139">
        <f>IF(Data_Override!J105="",Data!J105,Data_Override!J105)</f>
        <v>0</v>
      </c>
      <c r="N105" s="139">
        <f>IF(Data_Override!K105="",Data!K105,Data_Override!K105)</f>
        <v>0</v>
      </c>
      <c r="O105" s="139">
        <f>IF(Data_Override!L105="",Data!L105,Data_Override!L105)</f>
        <v>0</v>
      </c>
      <c r="P105" s="140">
        <f t="shared" si="29"/>
        <v>0</v>
      </c>
      <c r="Q105" s="140">
        <f t="shared" si="30"/>
        <v>0</v>
      </c>
      <c r="S105" s="139">
        <f>IF(Data_Override!N105="",Data!N105,Data_Override!N105)</f>
        <v>747.528982861896</v>
      </c>
      <c r="U105" s="139">
        <f>IF(Data_Override!P105="",Data!P105,Data_Override!P105)</f>
        <v>0</v>
      </c>
      <c r="V105" s="139">
        <f>IF(Data_Override!Q105="",Data!Q105,Data_Override!Q105)</f>
        <v>0</v>
      </c>
      <c r="W105" s="139">
        <f>IF(Data_Override!R105="",Data!R105,Data_Override!R105)</f>
        <v>0</v>
      </c>
      <c r="X105" s="139">
        <f>IF(Data_Override!S105="",Data!S105,Data_Override!S105)</f>
        <v>0</v>
      </c>
      <c r="Y105" s="140">
        <f t="shared" si="27"/>
        <v>0</v>
      </c>
      <c r="Z105" s="140">
        <f t="shared" si="28"/>
        <v>0</v>
      </c>
      <c r="AB105" s="139">
        <f>IF(Data_Override!U105="",Data!U105,Data_Override!U105)</f>
        <v>0</v>
      </c>
      <c r="AC105" s="139">
        <f>IF(Data_Override!V105="",Data!V105,Data_Override!V105)</f>
        <v>0</v>
      </c>
      <c r="AD105" s="139">
        <f>IF(Data_Override!W105="",Data!W105,Data_Override!W105)</f>
        <v>0</v>
      </c>
    </row>
    <row r="106" spans="1:30" hidden="1" x14ac:dyDescent="0.2">
      <c r="A106" s="138" t="str">
        <f>B106&amp;RIGHT(C106,2)</f>
        <v>TMS17</v>
      </c>
      <c r="B106" s="19" t="s">
        <v>31</v>
      </c>
      <c r="C106" s="143" t="s">
        <v>69</v>
      </c>
      <c r="D106" s="19" t="str">
        <f t="shared" si="24"/>
        <v>17</v>
      </c>
      <c r="E106" s="139">
        <f>IF(Data_Override!D106="",Data!D106,Data_Override!D106)</f>
        <v>8.89949817885307E-2</v>
      </c>
      <c r="F106" s="139">
        <f>IF(Data_Override!E106="",Data!E106,Data_Override!E106)</f>
        <v>3.71495197651317</v>
      </c>
      <c r="G106" s="139">
        <f>IF(Data_Override!F106="",Data!F106,Data_Override!F106)</f>
        <v>11.0385523342954</v>
      </c>
      <c r="H106" s="139">
        <f>IF(Data_Override!G106="",Data!G106,Data_Override!G106)</f>
        <v>5.7074033119252698</v>
      </c>
      <c r="I106" s="140">
        <f t="shared" si="25"/>
        <v>3.8039469583017005</v>
      </c>
      <c r="J106" s="140">
        <f t="shared" si="26"/>
        <v>16.745955646220668</v>
      </c>
      <c r="L106" s="139">
        <f>IF(Data_Override!I106="",Data!I106,Data_Override!I106)</f>
        <v>0</v>
      </c>
      <c r="M106" s="139">
        <f>IF(Data_Override!J106="",Data!J106,Data_Override!J106)</f>
        <v>0</v>
      </c>
      <c r="N106" s="139">
        <f>IF(Data_Override!K106="",Data!K106,Data_Override!K106)</f>
        <v>0</v>
      </c>
      <c r="O106" s="139">
        <f>IF(Data_Override!L106="",Data!L106,Data_Override!L106)</f>
        <v>0</v>
      </c>
      <c r="P106" s="140">
        <f t="shared" si="29"/>
        <v>0</v>
      </c>
      <c r="Q106" s="140">
        <f t="shared" si="30"/>
        <v>0</v>
      </c>
      <c r="S106" s="139">
        <f>IF(Data_Override!N106="",Data!N106,Data_Override!N106)</f>
        <v>849.16099220352896</v>
      </c>
      <c r="U106" s="139">
        <f>IF(Data_Override!P106="",Data!P106,Data_Override!P106)</f>
        <v>0</v>
      </c>
      <c r="V106" s="139">
        <f>IF(Data_Override!Q106="",Data!Q106,Data_Override!Q106)</f>
        <v>0</v>
      </c>
      <c r="W106" s="139">
        <f>IF(Data_Override!R106="",Data!R106,Data_Override!R106)</f>
        <v>0</v>
      </c>
      <c r="X106" s="139">
        <f>IF(Data_Override!S106="",Data!S106,Data_Override!S106)</f>
        <v>0</v>
      </c>
      <c r="Y106" s="140">
        <f t="shared" si="27"/>
        <v>0</v>
      </c>
      <c r="Z106" s="140">
        <f t="shared" si="28"/>
        <v>0</v>
      </c>
      <c r="AB106" s="139">
        <f>IF(Data_Override!U106="",Data!U106,Data_Override!U106)</f>
        <v>0</v>
      </c>
      <c r="AC106" s="139">
        <f>IF(Data_Override!V106="",Data!V106,Data_Override!V106)</f>
        <v>0</v>
      </c>
      <c r="AD106" s="139">
        <f>IF(Data_Override!W106="",Data!W106,Data_Override!W106)</f>
        <v>0</v>
      </c>
    </row>
    <row r="107" spans="1:30" hidden="1" x14ac:dyDescent="0.2">
      <c r="A107" s="141" t="s">
        <v>190</v>
      </c>
      <c r="B107" s="142" t="s">
        <v>31</v>
      </c>
      <c r="C107" s="142" t="s">
        <v>70</v>
      </c>
      <c r="D107" s="19" t="str">
        <f t="shared" si="24"/>
        <v>18</v>
      </c>
      <c r="E107" s="139">
        <f>IF(Data_Override!D107="",Data!D107,Data_Override!D107)</f>
        <v>1.5493765533030701E-2</v>
      </c>
      <c r="F107" s="139">
        <f>IF(Data_Override!E107="",Data!E107,Data_Override!E107)</f>
        <v>1.4568550634347099</v>
      </c>
      <c r="G107" s="139">
        <f>IF(Data_Override!F107="",Data!F107,Data_Override!F107)</f>
        <v>11.353809583866999</v>
      </c>
      <c r="H107" s="139">
        <f>IF(Data_Override!G107="",Data!G107,Data_Override!G107)</f>
        <v>5.5408066693459901</v>
      </c>
      <c r="I107" s="140">
        <f t="shared" si="25"/>
        <v>1.4723488289677407</v>
      </c>
      <c r="J107" s="140">
        <f t="shared" si="26"/>
        <v>16.894616253212988</v>
      </c>
      <c r="L107" s="139">
        <f>IF(Data_Override!I107="",Data!I107,Data_Override!I107)</f>
        <v>0.57205258179999996</v>
      </c>
      <c r="M107" s="139">
        <f>IF(Data_Override!J107="",Data!J107,Data_Override!J107)</f>
        <v>4.3945541994156203</v>
      </c>
      <c r="N107" s="139">
        <f>IF(Data_Override!K107="",Data!K107,Data_Override!K107)</f>
        <v>0.37578809965396398</v>
      </c>
      <c r="O107" s="139">
        <f>IF(Data_Override!L107="",Data!L107,Data_Override!L107)</f>
        <v>10.163495692916801</v>
      </c>
      <c r="P107" s="140">
        <f t="shared" si="29"/>
        <v>4.9666067812156207</v>
      </c>
      <c r="Q107" s="140">
        <f t="shared" si="30"/>
        <v>10.539283792570764</v>
      </c>
      <c r="S107" s="139">
        <f>IF(Data_Override!N107="",Data!N107,Data_Override!N107)</f>
        <v>895.28202717387603</v>
      </c>
      <c r="U107" s="139">
        <f>IF(Data_Override!P107="",Data!P107,Data_Override!P107)</f>
        <v>0</v>
      </c>
      <c r="V107" s="139">
        <f>IF(Data_Override!Q107="",Data!Q107,Data_Override!Q107)</f>
        <v>0</v>
      </c>
      <c r="W107" s="139">
        <f>IF(Data_Override!R107="",Data!R107,Data_Override!R107)</f>
        <v>8.7100000000000009</v>
      </c>
      <c r="X107" s="139">
        <f>IF(Data_Override!S107="",Data!S107,Data_Override!S107)</f>
        <v>4.25</v>
      </c>
      <c r="Y107" s="140">
        <f t="shared" si="27"/>
        <v>0</v>
      </c>
      <c r="Z107" s="140">
        <f t="shared" si="28"/>
        <v>8.7100000000000009</v>
      </c>
      <c r="AB107" s="139">
        <f>IF(Data_Override!U107="",Data!U107,Data_Override!U107)</f>
        <v>694.65</v>
      </c>
      <c r="AC107" s="139">
        <f>IF(Data_Override!V107="",Data!V107,Data_Override!V107)</f>
        <v>31460.6</v>
      </c>
      <c r="AD107" s="139">
        <f>IF(Data_Override!W107="",Data!W107,Data_Override!W107)</f>
        <v>3826.422</v>
      </c>
    </row>
    <row r="108" spans="1:30" hidden="1" x14ac:dyDescent="0.2">
      <c r="A108" s="141" t="s">
        <v>191</v>
      </c>
      <c r="B108" s="142" t="s">
        <v>31</v>
      </c>
      <c r="C108" s="142" t="s">
        <v>71</v>
      </c>
      <c r="D108" s="19" t="str">
        <f t="shared" si="24"/>
        <v>19</v>
      </c>
      <c r="E108" s="139">
        <f>IF(Data_Override!D108="",Data!D108,Data_Override!D108)</f>
        <v>-0.13295869349554701</v>
      </c>
      <c r="F108" s="139">
        <f>IF(Data_Override!E108="",Data!E108,Data_Override!E108)</f>
        <v>-0.18881416398846301</v>
      </c>
      <c r="G108" s="139">
        <f>IF(Data_Override!F108="",Data!F108,Data_Override!F108)</f>
        <v>1.2365408275265201E-2</v>
      </c>
      <c r="H108" s="139">
        <f>IF(Data_Override!G108="",Data!G108,Data_Override!G108)</f>
        <v>1.19840104088708</v>
      </c>
      <c r="I108" s="140">
        <f t="shared" si="25"/>
        <v>-0.32177285748401002</v>
      </c>
      <c r="J108" s="140">
        <f t="shared" si="26"/>
        <v>1.2107664491623451</v>
      </c>
      <c r="L108" s="139">
        <f>IF(Data_Override!I108="",Data!I108,Data_Override!I108)</f>
        <v>0.15729546990000001</v>
      </c>
      <c r="M108" s="139">
        <f>IF(Data_Override!J108="",Data!J108,Data_Override!J108)</f>
        <v>4.8934653577146197</v>
      </c>
      <c r="N108" s="139">
        <f>IF(Data_Override!K108="",Data!K108,Data_Override!K108)</f>
        <v>0.19590372401798201</v>
      </c>
      <c r="O108" s="139">
        <f>IF(Data_Override!L108="",Data!L108,Data_Override!L108)</f>
        <v>8.3149861428502199</v>
      </c>
      <c r="P108" s="140">
        <f t="shared" si="29"/>
        <v>5.0507608276146199</v>
      </c>
      <c r="Q108" s="140">
        <f t="shared" si="30"/>
        <v>8.5108898668682027</v>
      </c>
      <c r="S108" s="139">
        <f>IF(Data_Override!N108="",Data!N108,Data_Override!N108)</f>
        <v>960.42430632176695</v>
      </c>
      <c r="U108" s="139">
        <f>IF(Data_Override!P108="",Data!P108,Data_Override!P108)</f>
        <v>0</v>
      </c>
      <c r="V108" s="139">
        <f>IF(Data_Override!Q108="",Data!Q108,Data_Override!Q108)</f>
        <v>0</v>
      </c>
      <c r="W108" s="139">
        <f>IF(Data_Override!R108="",Data!R108,Data_Override!R108)</f>
        <v>-5.37</v>
      </c>
      <c r="X108" s="139">
        <f>IF(Data_Override!S108="",Data!S108,Data_Override!S108)</f>
        <v>-5.47</v>
      </c>
      <c r="Y108" s="140">
        <f t="shared" si="27"/>
        <v>0</v>
      </c>
      <c r="Z108" s="140">
        <f t="shared" si="28"/>
        <v>-5.37</v>
      </c>
      <c r="AB108" s="139">
        <f>IF(Data_Override!U108="",Data!U108,Data_Override!U108)</f>
        <v>760.8</v>
      </c>
      <c r="AC108" s="139">
        <f>IF(Data_Override!V108="",Data!V108,Data_Override!V108)</f>
        <v>31623.817999999999</v>
      </c>
      <c r="AD108" s="139">
        <f>IF(Data_Override!W108="",Data!W108,Data_Override!W108)</f>
        <v>3998.4685708761399</v>
      </c>
    </row>
    <row r="109" spans="1:30" hidden="1" x14ac:dyDescent="0.2">
      <c r="A109" s="141" t="s">
        <v>192</v>
      </c>
      <c r="B109" s="142" t="s">
        <v>31</v>
      </c>
      <c r="C109" s="142" t="s">
        <v>72</v>
      </c>
      <c r="D109" s="19" t="str">
        <f t="shared" si="24"/>
        <v>20</v>
      </c>
      <c r="E109" s="139">
        <f>IF(Data_Override!D109="",Data!D109,Data_Override!D109)</f>
        <v>7.1407787584343201E-3</v>
      </c>
      <c r="F109" s="139">
        <f>IF(Data_Override!E109="",Data!E109,Data_Override!E109)</f>
        <v>0</v>
      </c>
      <c r="G109" s="139">
        <f>IF(Data_Override!F109="",Data!F109,Data_Override!F109)</f>
        <v>26.814682363262801</v>
      </c>
      <c r="H109" s="139">
        <f>IF(Data_Override!G109="",Data!G109,Data_Override!G109)</f>
        <v>38.719241492226701</v>
      </c>
      <c r="I109" s="140">
        <f t="shared" si="25"/>
        <v>7.1407787584343201E-3</v>
      </c>
      <c r="J109" s="140">
        <f t="shared" si="26"/>
        <v>65.533923855489505</v>
      </c>
      <c r="L109" s="139">
        <f>IF(Data_Override!I109="",Data!I109,Data_Override!I109)</f>
        <v>0.20524999999999999</v>
      </c>
      <c r="M109" s="139">
        <f>IF(Data_Override!J109="",Data!J109,Data_Override!J109)</f>
        <v>4.6146846344136598</v>
      </c>
      <c r="N109" s="139">
        <f>IF(Data_Override!K109="",Data!K109,Data_Override!K109)</f>
        <v>0.284507923606306</v>
      </c>
      <c r="O109" s="139">
        <f>IF(Data_Override!L109="",Data!L109,Data_Override!L109)</f>
        <v>9.1772861702097703</v>
      </c>
      <c r="P109" s="140">
        <f t="shared" si="29"/>
        <v>4.8199346344136602</v>
      </c>
      <c r="Q109" s="140">
        <f t="shared" si="30"/>
        <v>9.4617940938160761</v>
      </c>
      <c r="S109" s="139">
        <f>IF(Data_Override!N109="",Data!N109,Data_Override!N109)</f>
        <v>1024.59450303019</v>
      </c>
      <c r="U109" s="139">
        <f>IF(Data_Override!P109="",Data!P109,Data_Override!P109)</f>
        <v>0</v>
      </c>
      <c r="V109" s="139">
        <f>IF(Data_Override!Q109="",Data!Q109,Data_Override!Q109)</f>
        <v>0</v>
      </c>
      <c r="W109" s="139">
        <f>IF(Data_Override!R109="",Data!R109,Data_Override!R109)</f>
        <v>103.88</v>
      </c>
      <c r="X109" s="139">
        <f>IF(Data_Override!S109="",Data!S109,Data_Override!S109)</f>
        <v>103.78</v>
      </c>
      <c r="Y109" s="140">
        <f t="shared" si="27"/>
        <v>0</v>
      </c>
      <c r="Z109" s="140">
        <f t="shared" si="28"/>
        <v>103.88</v>
      </c>
      <c r="AB109" s="139">
        <f>IF(Data_Override!U109="",Data!U109,Data_Override!U109)</f>
        <v>674.6</v>
      </c>
      <c r="AC109" s="139">
        <f>IF(Data_Override!V109="",Data!V109,Data_Override!V109)</f>
        <v>31772.290272491002</v>
      </c>
      <c r="AD109" s="139">
        <f>IF(Data_Override!W109="",Data!W109,Data_Override!W109)</f>
        <v>4047.0309935697201</v>
      </c>
    </row>
    <row r="110" spans="1:30" x14ac:dyDescent="0.2">
      <c r="A110" s="141" t="s">
        <v>193</v>
      </c>
      <c r="B110" s="142" t="s">
        <v>31</v>
      </c>
      <c r="C110" s="142" t="s">
        <v>73</v>
      </c>
      <c r="D110" s="19" t="str">
        <f t="shared" si="24"/>
        <v>21</v>
      </c>
      <c r="E110" s="139">
        <f>IF(Data_Override!D110="",Data!D110,Data_Override!D110)</f>
        <v>0</v>
      </c>
      <c r="F110" s="139">
        <f>IF(Data_Override!E110="",Data!E110,Data_Override!E110)</f>
        <v>0.1421656499</v>
      </c>
      <c r="G110" s="139">
        <f>IF(Data_Override!F110="",Data!F110,Data_Override!F110)</f>
        <v>0.94418110399999999</v>
      </c>
      <c r="H110" s="139">
        <f>IF(Data_Override!G110="",Data!G110,Data_Override!G110)</f>
        <v>13.7394504799</v>
      </c>
      <c r="I110" s="140">
        <f t="shared" si="25"/>
        <v>0.1421656499</v>
      </c>
      <c r="J110" s="140">
        <f t="shared" si="26"/>
        <v>14.6836315839</v>
      </c>
      <c r="L110" s="139">
        <f>IF(Data_Override!I110="",Data!I110,Data_Override!I110)</f>
        <v>0</v>
      </c>
      <c r="M110" s="139">
        <f>IF(Data_Override!J110="",Data!J110,Data_Override!J110)</f>
        <v>2.6499992147000002</v>
      </c>
      <c r="N110" s="139">
        <f>IF(Data_Override!K110="",Data!K110,Data_Override!K110)</f>
        <v>3.5835683024999998</v>
      </c>
      <c r="O110" s="139">
        <f>IF(Data_Override!L110="",Data!L110,Data_Override!L110)</f>
        <v>11.692029552299999</v>
      </c>
      <c r="P110" s="140">
        <f t="shared" si="29"/>
        <v>2.6499992147000002</v>
      </c>
      <c r="Q110" s="140">
        <f t="shared" si="30"/>
        <v>15.275597854799999</v>
      </c>
      <c r="S110" s="139">
        <f>IF(Data_Override!N110="",Data!N110,Data_Override!N110)</f>
        <v>1009.83778747926</v>
      </c>
      <c r="U110" s="139">
        <f>IF(Data_Override!P110="",Data!P110,Data_Override!P110)</f>
        <v>21</v>
      </c>
      <c r="V110" s="139">
        <f>IF(Data_Override!Q110="",Data!Q110,Data_Override!Q110)</f>
        <v>21</v>
      </c>
      <c r="W110" s="139">
        <f>IF(Data_Override!R110="",Data!R110,Data_Override!R110)</f>
        <v>56.506875798207098</v>
      </c>
      <c r="X110" s="139">
        <f>IF(Data_Override!S110="",Data!S110,Data_Override!S110)</f>
        <v>56.119001222519699</v>
      </c>
      <c r="Y110" s="140">
        <f t="shared" si="27"/>
        <v>21</v>
      </c>
      <c r="Z110" s="140">
        <f t="shared" si="28"/>
        <v>56.506875798207098</v>
      </c>
      <c r="AB110" s="139">
        <f>IF(Data_Override!U110="",Data!U110,Data_Override!U110)</f>
        <v>623.12</v>
      </c>
      <c r="AC110" s="139">
        <f>IF(Data_Override!V110="",Data!V110,Data_Override!V110)</f>
        <v>31915.879953453699</v>
      </c>
      <c r="AD110" s="139">
        <f>IF(Data_Override!W110="",Data!W110,Data_Override!W110)</f>
        <v>4094.7350357331202</v>
      </c>
    </row>
    <row r="111" spans="1:30" x14ac:dyDescent="0.2">
      <c r="A111" s="141" t="s">
        <v>194</v>
      </c>
      <c r="B111" s="142" t="s">
        <v>31</v>
      </c>
      <c r="C111" s="142" t="s">
        <v>74</v>
      </c>
      <c r="D111" s="19" t="str">
        <f t="shared" si="24"/>
        <v>22</v>
      </c>
      <c r="E111" s="139">
        <f>IF(Data_Override!D111="",Data!D111,Data_Override!D111)</f>
        <v>0</v>
      </c>
      <c r="F111" s="139">
        <f>IF(Data_Override!E111="",Data!E111,Data_Override!E111)</f>
        <v>2.8540393028</v>
      </c>
      <c r="G111" s="139">
        <f>IF(Data_Override!F111="",Data!F111,Data_Override!F111)</f>
        <v>0.88950617620000005</v>
      </c>
      <c r="H111" s="139">
        <f>IF(Data_Override!G111="",Data!G111,Data_Override!G111)</f>
        <v>23.439389701</v>
      </c>
      <c r="I111" s="140">
        <f t="shared" si="25"/>
        <v>2.8540393028</v>
      </c>
      <c r="J111" s="140">
        <f t="shared" si="26"/>
        <v>24.328895877200001</v>
      </c>
      <c r="L111" s="139">
        <f>IF(Data_Override!I111="",Data!I111,Data_Override!I111)</f>
        <v>0</v>
      </c>
      <c r="M111" s="139">
        <f>IF(Data_Override!J111="",Data!J111,Data_Override!J111)</f>
        <v>3.0979260051000002</v>
      </c>
      <c r="N111" s="139">
        <f>IF(Data_Override!K111="",Data!K111,Data_Override!K111)</f>
        <v>3.5835685813000002</v>
      </c>
      <c r="O111" s="139">
        <f>IF(Data_Override!L111="",Data!L111,Data_Override!L111)</f>
        <v>11.692030462</v>
      </c>
      <c r="P111" s="140">
        <f t="shared" si="29"/>
        <v>3.0979260051000002</v>
      </c>
      <c r="Q111" s="140">
        <f t="shared" si="30"/>
        <v>15.2755990433</v>
      </c>
      <c r="S111" s="139">
        <f>IF(Data_Override!N111="",Data!N111,Data_Override!N111)</f>
        <v>1101.9035525818099</v>
      </c>
      <c r="U111" s="139">
        <f>IF(Data_Override!P111="",Data!P111,Data_Override!P111)</f>
        <v>0</v>
      </c>
      <c r="V111" s="139">
        <f>IF(Data_Override!Q111="",Data!Q111,Data_Override!Q111)</f>
        <v>0</v>
      </c>
      <c r="W111" s="139">
        <f>IF(Data_Override!R111="",Data!R111,Data_Override!R111)</f>
        <v>35.125278853539399</v>
      </c>
      <c r="X111" s="139">
        <f>IF(Data_Override!S111="",Data!S111,Data_Override!S111)</f>
        <v>34.204767780392103</v>
      </c>
      <c r="Y111" s="140">
        <f t="shared" si="27"/>
        <v>0</v>
      </c>
      <c r="Z111" s="140">
        <f t="shared" si="28"/>
        <v>35.125278853539399</v>
      </c>
      <c r="AB111" s="139">
        <f>IF(Data_Override!U111="",Data!U111,Data_Override!U111)</f>
        <v>603.51</v>
      </c>
      <c r="AC111" s="139">
        <f>IF(Data_Override!V111="",Data!V111,Data_Override!V111)</f>
        <v>32051.748949952402</v>
      </c>
      <c r="AD111" s="139">
        <f>IF(Data_Override!W111="",Data!W111,Data_Override!W111)</f>
        <v>4139.8742539067598</v>
      </c>
    </row>
    <row r="112" spans="1:30" x14ac:dyDescent="0.2">
      <c r="A112" s="141" t="s">
        <v>195</v>
      </c>
      <c r="B112" s="142" t="s">
        <v>31</v>
      </c>
      <c r="C112" s="142" t="s">
        <v>75</v>
      </c>
      <c r="D112" s="19" t="str">
        <f t="shared" si="24"/>
        <v>23</v>
      </c>
      <c r="E112" s="139">
        <f>IF(Data_Override!D112="",Data!D112,Data_Override!D112)</f>
        <v>0</v>
      </c>
      <c r="F112" s="139">
        <f>IF(Data_Override!E112="",Data!E112,Data_Override!E112)</f>
        <v>12.2789301427</v>
      </c>
      <c r="G112" s="139">
        <f>IF(Data_Override!F112="",Data!F112,Data_Override!F112)</f>
        <v>0.82389366720000001</v>
      </c>
      <c r="H112" s="139">
        <f>IF(Data_Override!G112="",Data!G112,Data_Override!G112)</f>
        <v>30.031057241100001</v>
      </c>
      <c r="I112" s="140">
        <f t="shared" si="25"/>
        <v>12.2789301427</v>
      </c>
      <c r="J112" s="140">
        <f t="shared" si="26"/>
        <v>30.854950908300001</v>
      </c>
      <c r="L112" s="139">
        <f>IF(Data_Override!I112="",Data!I112,Data_Override!I112)</f>
        <v>0</v>
      </c>
      <c r="M112" s="139">
        <f>IF(Data_Override!J112="",Data!J112,Data_Override!J112)</f>
        <v>3.7529784263999999</v>
      </c>
      <c r="N112" s="139">
        <f>IF(Data_Override!K112="",Data!K112,Data_Override!K112)</f>
        <v>3.5835679623000001</v>
      </c>
      <c r="O112" s="139">
        <f>IF(Data_Override!L112="",Data!L112,Data_Override!L112)</f>
        <v>11.6920284433</v>
      </c>
      <c r="P112" s="140">
        <f t="shared" si="29"/>
        <v>3.7529784263999999</v>
      </c>
      <c r="Q112" s="140">
        <f t="shared" si="30"/>
        <v>15.2755964056</v>
      </c>
      <c r="S112" s="139">
        <f>IF(Data_Override!N112="",Data!N112,Data_Override!N112)</f>
        <v>1077.4233264437501</v>
      </c>
      <c r="U112" s="139">
        <f>IF(Data_Override!P112="",Data!P112,Data_Override!P112)</f>
        <v>0</v>
      </c>
      <c r="V112" s="139">
        <f>IF(Data_Override!Q112="",Data!Q112,Data_Override!Q112)</f>
        <v>0</v>
      </c>
      <c r="W112" s="139">
        <f>IF(Data_Override!R112="",Data!R112,Data_Override!R112)</f>
        <v>39.348355730924602</v>
      </c>
      <c r="X112" s="139">
        <f>IF(Data_Override!S112="",Data!S112,Data_Override!S112)</f>
        <v>38.372019725159099</v>
      </c>
      <c r="Y112" s="140">
        <f t="shared" si="27"/>
        <v>0</v>
      </c>
      <c r="Z112" s="140">
        <f t="shared" si="28"/>
        <v>39.348355730924602</v>
      </c>
      <c r="AB112" s="139">
        <f>IF(Data_Override!U112="",Data!U112,Data_Override!U112)</f>
        <v>580.85530702518599</v>
      </c>
      <c r="AC112" s="139">
        <f>IF(Data_Override!V112="",Data!V112,Data_Override!V112)</f>
        <v>32182.069083696999</v>
      </c>
      <c r="AD112" s="139">
        <f>IF(Data_Override!W112="",Data!W112,Data_Override!W112)</f>
        <v>4181.8305665547696</v>
      </c>
    </row>
    <row r="113" spans="1:30" x14ac:dyDescent="0.2">
      <c r="A113" s="141" t="s">
        <v>196</v>
      </c>
      <c r="B113" s="142" t="s">
        <v>31</v>
      </c>
      <c r="C113" s="142" t="s">
        <v>76</v>
      </c>
      <c r="D113" s="19" t="str">
        <f t="shared" si="24"/>
        <v>24</v>
      </c>
      <c r="E113" s="139">
        <f>IF(Data_Override!D113="",Data!D113,Data_Override!D113)</f>
        <v>0.60226412559999998</v>
      </c>
      <c r="F113" s="139">
        <f>IF(Data_Override!E113="",Data!E113,Data_Override!E113)</f>
        <v>11.297931478400001</v>
      </c>
      <c r="G113" s="139">
        <f>IF(Data_Override!F113="",Data!F113,Data_Override!F113)</f>
        <v>0.82389439149999999</v>
      </c>
      <c r="H113" s="139">
        <f>IF(Data_Override!G113="",Data!G113,Data_Override!G113)</f>
        <v>26.971485735800002</v>
      </c>
      <c r="I113" s="140">
        <f t="shared" si="25"/>
        <v>11.900195604</v>
      </c>
      <c r="J113" s="140">
        <f t="shared" si="26"/>
        <v>27.795380127300003</v>
      </c>
      <c r="L113" s="139">
        <f>IF(Data_Override!I113="",Data!I113,Data_Override!I113)</f>
        <v>0</v>
      </c>
      <c r="M113" s="139">
        <f>IF(Data_Override!J113="",Data!J113,Data_Override!J113)</f>
        <v>1.5100922797</v>
      </c>
      <c r="N113" s="139">
        <f>IF(Data_Override!K113="",Data!K113,Data_Override!K113)</f>
        <v>3.5835680532</v>
      </c>
      <c r="O113" s="139">
        <f>IF(Data_Override!L113="",Data!L113,Data_Override!L113)</f>
        <v>11.6920287395</v>
      </c>
      <c r="P113" s="140">
        <f t="shared" si="29"/>
        <v>1.5100922797</v>
      </c>
      <c r="Q113" s="140">
        <f t="shared" si="30"/>
        <v>15.2755967927</v>
      </c>
      <c r="S113" s="139">
        <f>IF(Data_Override!N113="",Data!N113,Data_Override!N113)</f>
        <v>1033.96949039486</v>
      </c>
      <c r="U113" s="139">
        <f>IF(Data_Override!P113="",Data!P113,Data_Override!P113)</f>
        <v>0</v>
      </c>
      <c r="V113" s="139">
        <f>IF(Data_Override!Q113="",Data!Q113,Data_Override!Q113)</f>
        <v>0</v>
      </c>
      <c r="W113" s="139">
        <f>IF(Data_Override!R113="",Data!R113,Data_Override!R113)</f>
        <v>38.810216073662097</v>
      </c>
      <c r="X113" s="139">
        <f>IF(Data_Override!S113="",Data!S113,Data_Override!S113)</f>
        <v>37.889406057377101</v>
      </c>
      <c r="Y113" s="140">
        <f t="shared" si="27"/>
        <v>0</v>
      </c>
      <c r="Z113" s="140">
        <f t="shared" si="28"/>
        <v>38.810216073662097</v>
      </c>
      <c r="AB113" s="139">
        <f>IF(Data_Override!U113="",Data!U113,Data_Override!U113)</f>
        <v>558.21530702518601</v>
      </c>
      <c r="AC113" s="139">
        <f>IF(Data_Override!V113="",Data!V113,Data_Override!V113)</f>
        <v>32304.7813114659</v>
      </c>
      <c r="AD113" s="139">
        <f>IF(Data_Override!W113="",Data!W113,Data_Override!W113)</f>
        <v>4222.5988756330398</v>
      </c>
    </row>
    <row r="114" spans="1:30" x14ac:dyDescent="0.2">
      <c r="A114" s="141" t="s">
        <v>197</v>
      </c>
      <c r="B114" s="142" t="s">
        <v>31</v>
      </c>
      <c r="C114" s="142" t="s">
        <v>24</v>
      </c>
      <c r="D114" s="19" t="str">
        <f t="shared" si="24"/>
        <v>25</v>
      </c>
      <c r="E114" s="139">
        <f>IF(Data_Override!D114="",Data!D114,Data_Override!D114)</f>
        <v>1.8245059764</v>
      </c>
      <c r="F114" s="139">
        <f>IF(Data_Override!E114="",Data!E114,Data_Override!E114)</f>
        <v>9.9155806562999995</v>
      </c>
      <c r="G114" s="139">
        <f>IF(Data_Override!F114="",Data!F114,Data_Override!F114)</f>
        <v>0.82936454169999996</v>
      </c>
      <c r="H114" s="139">
        <f>IF(Data_Override!G114="",Data!G114,Data_Override!G114)</f>
        <v>23.860393176999999</v>
      </c>
      <c r="I114" s="140">
        <f t="shared" si="25"/>
        <v>11.740086632699999</v>
      </c>
      <c r="J114" s="140">
        <f t="shared" si="26"/>
        <v>24.689757718699997</v>
      </c>
      <c r="L114" s="139">
        <f>IF(Data_Override!I114="",Data!I114,Data_Override!I114)</f>
        <v>0</v>
      </c>
      <c r="M114" s="139">
        <f>IF(Data_Override!J114="",Data!J114,Data_Override!J114)</f>
        <v>1.7229922402</v>
      </c>
      <c r="N114" s="139">
        <f>IF(Data_Override!K114="",Data!K114,Data_Override!K114)</f>
        <v>3.5835681082000002</v>
      </c>
      <c r="O114" s="139">
        <f>IF(Data_Override!L114="",Data!L114,Data_Override!L114)</f>
        <v>11.692028919</v>
      </c>
      <c r="P114" s="140">
        <f t="shared" si="29"/>
        <v>1.7229922402</v>
      </c>
      <c r="Q114" s="140">
        <f t="shared" si="30"/>
        <v>15.2755970272</v>
      </c>
      <c r="S114" s="139">
        <f>IF(Data_Override!N114="",Data!N114,Data_Override!N114)</f>
        <v>997.91877911500603</v>
      </c>
      <c r="U114" s="139">
        <f>IF(Data_Override!P114="",Data!P114,Data_Override!P114)</f>
        <v>17.600000000000001</v>
      </c>
      <c r="V114" s="139">
        <f>IF(Data_Override!Q114="",Data!Q114,Data_Override!Q114)</f>
        <v>17.600000000000001</v>
      </c>
      <c r="W114" s="139">
        <f>IF(Data_Override!R114="",Data!R114,Data_Override!R114)</f>
        <v>32.987767725622199</v>
      </c>
      <c r="X114" s="139">
        <f>IF(Data_Override!S114="",Data!S114,Data_Override!S114)</f>
        <v>32.093985777143601</v>
      </c>
      <c r="Y114" s="140">
        <f t="shared" si="27"/>
        <v>17.600000000000001</v>
      </c>
      <c r="Z114" s="140">
        <f t="shared" si="28"/>
        <v>32.987767725622199</v>
      </c>
      <c r="AB114" s="139">
        <f>IF(Data_Override!U114="",Data!U114,Data_Override!U114)</f>
        <v>540.2997284777</v>
      </c>
      <c r="AC114" s="139">
        <f>IF(Data_Override!V114="",Data!V114,Data_Override!V114)</f>
        <v>32467.154538499301</v>
      </c>
      <c r="AD114" s="139">
        <f>IF(Data_Override!W114="",Data!W114,Data_Override!W114)</f>
        <v>4262.5682979499497</v>
      </c>
    </row>
    <row r="115" spans="1:30" hidden="1" x14ac:dyDescent="0.2">
      <c r="A115" s="138" t="str">
        <f t="shared" ref="A115" si="33">B115&amp;RIGHT(C115,2)</f>
        <v>WSH12</v>
      </c>
      <c r="B115" s="19" t="s">
        <v>27</v>
      </c>
      <c r="C115" s="143" t="s">
        <v>64</v>
      </c>
      <c r="D115" s="19" t="str">
        <f t="shared" ref="D115:D154" si="34">RIGHT(A115,2)</f>
        <v>12</v>
      </c>
      <c r="E115" s="139">
        <f>IF(Data_Override!D115="",Data!D115,Data_Override!D115)</f>
        <v>0</v>
      </c>
      <c r="F115" s="139">
        <f>IF(Data_Override!E115="",Data!E115,Data_Override!E115)</f>
        <v>0</v>
      </c>
      <c r="G115" s="139">
        <f>IF(Data_Override!F115="",Data!F115,Data_Override!F115)</f>
        <v>0</v>
      </c>
      <c r="H115" s="139">
        <f>IF(Data_Override!G115="",Data!G115,Data_Override!G115)</f>
        <v>0</v>
      </c>
      <c r="I115" s="140">
        <f t="shared" ref="I115:I154" si="35">IFERROR(SUM(E115:F115),"")</f>
        <v>0</v>
      </c>
      <c r="J115" s="140">
        <f t="shared" ref="J115:J154" si="36">IFERROR(SUM(G115:H115),"")</f>
        <v>0</v>
      </c>
      <c r="L115" s="139">
        <f>IF(Data_Override!I115="",Data!I115,Data_Override!I115)</f>
        <v>0</v>
      </c>
      <c r="M115" s="139">
        <f>IF(Data_Override!J115="",Data!J115,Data_Override!J115)</f>
        <v>0</v>
      </c>
      <c r="N115" s="139">
        <f>IF(Data_Override!K115="",Data!K115,Data_Override!K115)</f>
        <v>0</v>
      </c>
      <c r="O115" s="139">
        <f>IF(Data_Override!L115="",Data!L115,Data_Override!L115)</f>
        <v>0</v>
      </c>
      <c r="P115" s="140">
        <f t="shared" si="29"/>
        <v>0</v>
      </c>
      <c r="Q115" s="140">
        <f t="shared" si="30"/>
        <v>0</v>
      </c>
      <c r="S115" s="139">
        <f>IF(Data_Override!N115="",Data!N115,Data_Override!N115)</f>
        <v>273.907589997348</v>
      </c>
      <c r="U115" s="139">
        <f>IF(Data_Override!P115="",Data!P115,Data_Override!P115)</f>
        <v>0</v>
      </c>
      <c r="V115" s="139">
        <f>IF(Data_Override!Q115="",Data!Q115,Data_Override!Q115)</f>
        <v>0</v>
      </c>
      <c r="W115" s="139">
        <f>IF(Data_Override!R115="",Data!R115,Data_Override!R115)</f>
        <v>0</v>
      </c>
      <c r="X115" s="139">
        <f>IF(Data_Override!S115="",Data!S115,Data_Override!S115)</f>
        <v>0</v>
      </c>
      <c r="Y115" s="140">
        <f t="shared" si="27"/>
        <v>0</v>
      </c>
      <c r="Z115" s="140">
        <f t="shared" si="28"/>
        <v>0</v>
      </c>
      <c r="AB115" s="139">
        <f>IF(Data_Override!U115="",Data!U115,Data_Override!U115)</f>
        <v>0</v>
      </c>
      <c r="AC115" s="139">
        <f>IF(Data_Override!V115="",Data!V115,Data_Override!V115)</f>
        <v>0</v>
      </c>
      <c r="AD115" s="139">
        <f>IF(Data_Override!W115="",Data!W115,Data_Override!W115)</f>
        <v>0</v>
      </c>
    </row>
    <row r="116" spans="1:30" hidden="1" x14ac:dyDescent="0.2">
      <c r="A116" s="138" t="str">
        <f>B116&amp;RIGHT(C116,2)</f>
        <v>WSH13</v>
      </c>
      <c r="B116" s="19" t="s">
        <v>27</v>
      </c>
      <c r="C116" s="143" t="s">
        <v>65</v>
      </c>
      <c r="D116" s="19" t="str">
        <f t="shared" si="34"/>
        <v>13</v>
      </c>
      <c r="E116" s="139">
        <f>IF(Data_Override!D116="",Data!D116,Data_Override!D116)</f>
        <v>0</v>
      </c>
      <c r="F116" s="139">
        <f>IF(Data_Override!E116="",Data!E116,Data_Override!E116)</f>
        <v>0</v>
      </c>
      <c r="G116" s="139">
        <f>IF(Data_Override!F116="",Data!F116,Data_Override!F116)</f>
        <v>0</v>
      </c>
      <c r="H116" s="139">
        <f>IF(Data_Override!G116="",Data!G116,Data_Override!G116)</f>
        <v>0</v>
      </c>
      <c r="I116" s="140">
        <f t="shared" si="35"/>
        <v>0</v>
      </c>
      <c r="J116" s="140">
        <f t="shared" si="36"/>
        <v>0</v>
      </c>
      <c r="L116" s="139">
        <f>IF(Data_Override!I116="",Data!I116,Data_Override!I116)</f>
        <v>0</v>
      </c>
      <c r="M116" s="139">
        <f>IF(Data_Override!J116="",Data!J116,Data_Override!J116)</f>
        <v>0</v>
      </c>
      <c r="N116" s="139">
        <f>IF(Data_Override!K116="",Data!K116,Data_Override!K116)</f>
        <v>0</v>
      </c>
      <c r="O116" s="139">
        <f>IF(Data_Override!L116="",Data!L116,Data_Override!L116)</f>
        <v>0</v>
      </c>
      <c r="P116" s="140">
        <f t="shared" si="29"/>
        <v>0</v>
      </c>
      <c r="Q116" s="140">
        <f t="shared" si="30"/>
        <v>0</v>
      </c>
      <c r="S116" s="139">
        <f>IF(Data_Override!N116="",Data!N116,Data_Override!N116)</f>
        <v>296.85078930112201</v>
      </c>
      <c r="U116" s="139">
        <f>IF(Data_Override!P116="",Data!P116,Data_Override!P116)</f>
        <v>0</v>
      </c>
      <c r="V116" s="139">
        <f>IF(Data_Override!Q116="",Data!Q116,Data_Override!Q116)</f>
        <v>0</v>
      </c>
      <c r="W116" s="139">
        <f>IF(Data_Override!R116="",Data!R116,Data_Override!R116)</f>
        <v>0</v>
      </c>
      <c r="X116" s="139">
        <f>IF(Data_Override!S116="",Data!S116,Data_Override!S116)</f>
        <v>0</v>
      </c>
      <c r="Y116" s="140">
        <f t="shared" si="27"/>
        <v>0</v>
      </c>
      <c r="Z116" s="140">
        <f t="shared" si="28"/>
        <v>0</v>
      </c>
      <c r="AB116" s="139">
        <f>IF(Data_Override!U116="",Data!U116,Data_Override!U116)</f>
        <v>0</v>
      </c>
      <c r="AC116" s="139">
        <f>IF(Data_Override!V116="",Data!V116,Data_Override!V116)</f>
        <v>0</v>
      </c>
      <c r="AD116" s="139">
        <f>IF(Data_Override!W116="",Data!W116,Data_Override!W116)</f>
        <v>0</v>
      </c>
    </row>
    <row r="117" spans="1:30" hidden="1" x14ac:dyDescent="0.2">
      <c r="A117" s="138" t="str">
        <f>B117&amp;RIGHT(C117,2)</f>
        <v>WSH14</v>
      </c>
      <c r="B117" s="19" t="s">
        <v>27</v>
      </c>
      <c r="C117" s="143" t="s">
        <v>66</v>
      </c>
      <c r="D117" s="19" t="str">
        <f t="shared" si="34"/>
        <v>14</v>
      </c>
      <c r="E117" s="139">
        <f>IF(Data_Override!D117="",Data!D117,Data_Override!D117)</f>
        <v>0</v>
      </c>
      <c r="F117" s="139">
        <f>IF(Data_Override!E117="",Data!E117,Data_Override!E117)</f>
        <v>0</v>
      </c>
      <c r="G117" s="139">
        <f>IF(Data_Override!F117="",Data!F117,Data_Override!F117)</f>
        <v>0</v>
      </c>
      <c r="H117" s="139">
        <f>IF(Data_Override!G117="",Data!G117,Data_Override!G117)</f>
        <v>0</v>
      </c>
      <c r="I117" s="140">
        <f t="shared" si="35"/>
        <v>0</v>
      </c>
      <c r="J117" s="140">
        <f t="shared" si="36"/>
        <v>0</v>
      </c>
      <c r="L117" s="139">
        <f>IF(Data_Override!I117="",Data!I117,Data_Override!I117)</f>
        <v>0</v>
      </c>
      <c r="M117" s="139">
        <f>IF(Data_Override!J117="",Data!J117,Data_Override!J117)</f>
        <v>0</v>
      </c>
      <c r="N117" s="139">
        <f>IF(Data_Override!K117="",Data!K117,Data_Override!K117)</f>
        <v>0</v>
      </c>
      <c r="O117" s="139">
        <f>IF(Data_Override!L117="",Data!L117,Data_Override!L117)</f>
        <v>0</v>
      </c>
      <c r="P117" s="140">
        <f t="shared" si="29"/>
        <v>0</v>
      </c>
      <c r="Q117" s="140">
        <f t="shared" si="30"/>
        <v>0</v>
      </c>
      <c r="S117" s="139">
        <f>IF(Data_Override!N117="",Data!N117,Data_Override!N117)</f>
        <v>299.669423089926</v>
      </c>
      <c r="U117" s="139">
        <f>IF(Data_Override!P117="",Data!P117,Data_Override!P117)</f>
        <v>0</v>
      </c>
      <c r="V117" s="139">
        <f>IF(Data_Override!Q117="",Data!Q117,Data_Override!Q117)</f>
        <v>0</v>
      </c>
      <c r="W117" s="139">
        <f>IF(Data_Override!R117="",Data!R117,Data_Override!R117)</f>
        <v>0</v>
      </c>
      <c r="X117" s="139">
        <f>IF(Data_Override!S117="",Data!S117,Data_Override!S117)</f>
        <v>0</v>
      </c>
      <c r="Y117" s="140">
        <f t="shared" si="27"/>
        <v>0</v>
      </c>
      <c r="Z117" s="140">
        <f t="shared" si="28"/>
        <v>0</v>
      </c>
      <c r="AB117" s="139">
        <f>IF(Data_Override!U117="",Data!U117,Data_Override!U117)</f>
        <v>0</v>
      </c>
      <c r="AC117" s="139">
        <f>IF(Data_Override!V117="",Data!V117,Data_Override!V117)</f>
        <v>0</v>
      </c>
      <c r="AD117" s="139">
        <f>IF(Data_Override!W117="",Data!W117,Data_Override!W117)</f>
        <v>0</v>
      </c>
    </row>
    <row r="118" spans="1:30" hidden="1" x14ac:dyDescent="0.2">
      <c r="A118" s="138" t="str">
        <f>B118&amp;RIGHT(C118,2)</f>
        <v>WSH15</v>
      </c>
      <c r="B118" s="19" t="s">
        <v>27</v>
      </c>
      <c r="C118" s="143" t="s">
        <v>67</v>
      </c>
      <c r="D118" s="19" t="str">
        <f t="shared" si="34"/>
        <v>15</v>
      </c>
      <c r="E118" s="139">
        <f>IF(Data_Override!D118="",Data!D118,Data_Override!D118)</f>
        <v>0</v>
      </c>
      <c r="F118" s="139">
        <f>IF(Data_Override!E118="",Data!E118,Data_Override!E118)</f>
        <v>0</v>
      </c>
      <c r="G118" s="139">
        <f>IF(Data_Override!F118="",Data!F118,Data_Override!F118)</f>
        <v>0</v>
      </c>
      <c r="H118" s="139">
        <f>IF(Data_Override!G118="",Data!G118,Data_Override!G118)</f>
        <v>0</v>
      </c>
      <c r="I118" s="140">
        <f t="shared" si="35"/>
        <v>0</v>
      </c>
      <c r="J118" s="140">
        <f t="shared" si="36"/>
        <v>0</v>
      </c>
      <c r="L118" s="139">
        <f>IF(Data_Override!I118="",Data!I118,Data_Override!I118)</f>
        <v>0</v>
      </c>
      <c r="M118" s="139">
        <f>IF(Data_Override!J118="",Data!J118,Data_Override!J118)</f>
        <v>0</v>
      </c>
      <c r="N118" s="139">
        <f>IF(Data_Override!K118="",Data!K118,Data_Override!K118)</f>
        <v>0</v>
      </c>
      <c r="O118" s="139">
        <f>IF(Data_Override!L118="",Data!L118,Data_Override!L118)</f>
        <v>0</v>
      </c>
      <c r="P118" s="140">
        <f t="shared" si="29"/>
        <v>0</v>
      </c>
      <c r="Q118" s="140">
        <f t="shared" si="30"/>
        <v>0</v>
      </c>
      <c r="S118" s="139">
        <f>IF(Data_Override!N118="",Data!N118,Data_Override!N118)</f>
        <v>330.27042834461298</v>
      </c>
      <c r="U118" s="139">
        <f>IF(Data_Override!P118="",Data!P118,Data_Override!P118)</f>
        <v>0</v>
      </c>
      <c r="V118" s="139">
        <f>IF(Data_Override!Q118="",Data!Q118,Data_Override!Q118)</f>
        <v>0</v>
      </c>
      <c r="W118" s="139">
        <f>IF(Data_Override!R118="",Data!R118,Data_Override!R118)</f>
        <v>0</v>
      </c>
      <c r="X118" s="139">
        <f>IF(Data_Override!S118="",Data!S118,Data_Override!S118)</f>
        <v>0</v>
      </c>
      <c r="Y118" s="140">
        <f t="shared" si="27"/>
        <v>0</v>
      </c>
      <c r="Z118" s="140">
        <f t="shared" si="28"/>
        <v>0</v>
      </c>
      <c r="AB118" s="139">
        <f>IF(Data_Override!U118="",Data!U118,Data_Override!U118)</f>
        <v>0</v>
      </c>
      <c r="AC118" s="139">
        <f>IF(Data_Override!V118="",Data!V118,Data_Override!V118)</f>
        <v>0</v>
      </c>
      <c r="AD118" s="139">
        <f>IF(Data_Override!W118="",Data!W118,Data_Override!W118)</f>
        <v>0</v>
      </c>
    </row>
    <row r="119" spans="1:30" hidden="1" x14ac:dyDescent="0.2">
      <c r="A119" s="138" t="str">
        <f>B119&amp;RIGHT(C119,2)</f>
        <v>WSH16</v>
      </c>
      <c r="B119" s="19" t="s">
        <v>27</v>
      </c>
      <c r="C119" s="143" t="s">
        <v>68</v>
      </c>
      <c r="D119" s="19" t="str">
        <f t="shared" si="34"/>
        <v>16</v>
      </c>
      <c r="E119" s="139">
        <f>IF(Data_Override!D119="",Data!D119,Data_Override!D119)</f>
        <v>0</v>
      </c>
      <c r="F119" s="139">
        <f>IF(Data_Override!E119="",Data!E119,Data_Override!E119)</f>
        <v>0</v>
      </c>
      <c r="G119" s="139">
        <f>IF(Data_Override!F119="",Data!F119,Data_Override!F119)</f>
        <v>0</v>
      </c>
      <c r="H119" s="139">
        <f>IF(Data_Override!G119="",Data!G119,Data_Override!G119)</f>
        <v>0</v>
      </c>
      <c r="I119" s="140">
        <f t="shared" si="35"/>
        <v>0</v>
      </c>
      <c r="J119" s="140">
        <f t="shared" si="36"/>
        <v>0</v>
      </c>
      <c r="L119" s="139">
        <f>IF(Data_Override!I119="",Data!I119,Data_Override!I119)</f>
        <v>0</v>
      </c>
      <c r="M119" s="139">
        <f>IF(Data_Override!J119="",Data!J119,Data_Override!J119)</f>
        <v>0</v>
      </c>
      <c r="N119" s="139">
        <f>IF(Data_Override!K119="",Data!K119,Data_Override!K119)</f>
        <v>0</v>
      </c>
      <c r="O119" s="139">
        <f>IF(Data_Override!L119="",Data!L119,Data_Override!L119)</f>
        <v>0</v>
      </c>
      <c r="P119" s="140">
        <f t="shared" si="29"/>
        <v>0</v>
      </c>
      <c r="Q119" s="140">
        <f t="shared" si="30"/>
        <v>0</v>
      </c>
      <c r="S119" s="139">
        <f>IF(Data_Override!N119="",Data!N119,Data_Override!N119)</f>
        <v>238.91350033277899</v>
      </c>
      <c r="U119" s="139">
        <f>IF(Data_Override!P119="",Data!P119,Data_Override!P119)</f>
        <v>0</v>
      </c>
      <c r="V119" s="139">
        <f>IF(Data_Override!Q119="",Data!Q119,Data_Override!Q119)</f>
        <v>0</v>
      </c>
      <c r="W119" s="139">
        <f>IF(Data_Override!R119="",Data!R119,Data_Override!R119)</f>
        <v>0</v>
      </c>
      <c r="X119" s="139">
        <f>IF(Data_Override!S119="",Data!S119,Data_Override!S119)</f>
        <v>0</v>
      </c>
      <c r="Y119" s="140">
        <f t="shared" si="27"/>
        <v>0</v>
      </c>
      <c r="Z119" s="140">
        <f t="shared" si="28"/>
        <v>0</v>
      </c>
      <c r="AB119" s="139">
        <f>IF(Data_Override!U119="",Data!U119,Data_Override!U119)</f>
        <v>0</v>
      </c>
      <c r="AC119" s="139">
        <f>IF(Data_Override!V119="",Data!V119,Data_Override!V119)</f>
        <v>0</v>
      </c>
      <c r="AD119" s="139">
        <f>IF(Data_Override!W119="",Data!W119,Data_Override!W119)</f>
        <v>0</v>
      </c>
    </row>
    <row r="120" spans="1:30" hidden="1" x14ac:dyDescent="0.2">
      <c r="A120" s="138" t="str">
        <f>B120&amp;RIGHT(C120,2)</f>
        <v>WSH17</v>
      </c>
      <c r="B120" s="19" t="s">
        <v>27</v>
      </c>
      <c r="C120" s="143" t="s">
        <v>69</v>
      </c>
      <c r="D120" s="19" t="str">
        <f t="shared" si="34"/>
        <v>17</v>
      </c>
      <c r="E120" s="139">
        <f>IF(Data_Override!D120="",Data!D120,Data_Override!D120)</f>
        <v>0</v>
      </c>
      <c r="F120" s="139">
        <f>IF(Data_Override!E120="",Data!E120,Data_Override!E120)</f>
        <v>0</v>
      </c>
      <c r="G120" s="139">
        <f>IF(Data_Override!F120="",Data!F120,Data_Override!F120)</f>
        <v>0</v>
      </c>
      <c r="H120" s="139">
        <f>IF(Data_Override!G120="",Data!G120,Data_Override!G120)</f>
        <v>0</v>
      </c>
      <c r="I120" s="140">
        <f t="shared" si="35"/>
        <v>0</v>
      </c>
      <c r="J120" s="140">
        <f t="shared" si="36"/>
        <v>0</v>
      </c>
      <c r="L120" s="139">
        <f>IF(Data_Override!I120="",Data!I120,Data_Override!I120)</f>
        <v>0</v>
      </c>
      <c r="M120" s="139">
        <f>IF(Data_Override!J120="",Data!J120,Data_Override!J120)</f>
        <v>0</v>
      </c>
      <c r="N120" s="139">
        <f>IF(Data_Override!K120="",Data!K120,Data_Override!K120)</f>
        <v>0</v>
      </c>
      <c r="O120" s="139">
        <f>IF(Data_Override!L120="",Data!L120,Data_Override!L120)</f>
        <v>0</v>
      </c>
      <c r="P120" s="140">
        <f t="shared" si="29"/>
        <v>0</v>
      </c>
      <c r="Q120" s="140">
        <f t="shared" si="30"/>
        <v>0</v>
      </c>
      <c r="S120" s="139">
        <f>IF(Data_Override!N120="",Data!N120,Data_Override!N120)</f>
        <v>320.26033976200199</v>
      </c>
      <c r="U120" s="139">
        <f>IF(Data_Override!P120="",Data!P120,Data_Override!P120)</f>
        <v>0</v>
      </c>
      <c r="V120" s="139">
        <f>IF(Data_Override!Q120="",Data!Q120,Data_Override!Q120)</f>
        <v>0</v>
      </c>
      <c r="W120" s="139">
        <f>IF(Data_Override!R120="",Data!R120,Data_Override!R120)</f>
        <v>0</v>
      </c>
      <c r="X120" s="139">
        <f>IF(Data_Override!S120="",Data!S120,Data_Override!S120)</f>
        <v>0</v>
      </c>
      <c r="Y120" s="140">
        <f t="shared" si="27"/>
        <v>0</v>
      </c>
      <c r="Z120" s="140">
        <f t="shared" si="28"/>
        <v>0</v>
      </c>
      <c r="AB120" s="139">
        <f>IF(Data_Override!U120="",Data!U120,Data_Override!U120)</f>
        <v>0</v>
      </c>
      <c r="AC120" s="139">
        <f>IF(Data_Override!V120="",Data!V120,Data_Override!V120)</f>
        <v>0</v>
      </c>
      <c r="AD120" s="139">
        <f>IF(Data_Override!W120="",Data!W120,Data_Override!W120)</f>
        <v>0</v>
      </c>
    </row>
    <row r="121" spans="1:30" hidden="1" x14ac:dyDescent="0.2">
      <c r="A121" s="141" t="s">
        <v>198</v>
      </c>
      <c r="B121" s="142" t="s">
        <v>27</v>
      </c>
      <c r="C121" s="142" t="s">
        <v>70</v>
      </c>
      <c r="D121" s="19" t="str">
        <f t="shared" si="34"/>
        <v>18</v>
      </c>
      <c r="E121" s="139">
        <f>IF(Data_Override!D121="",Data!D121,Data_Override!D121)</f>
        <v>0.29799999999999999</v>
      </c>
      <c r="F121" s="139">
        <f>IF(Data_Override!E121="",Data!E121,Data_Override!E121)</f>
        <v>0.29799999999999999</v>
      </c>
      <c r="G121" s="139">
        <f>IF(Data_Override!F121="",Data!F121,Data_Override!F121)</f>
        <v>0.26200000000000001</v>
      </c>
      <c r="H121" s="139">
        <f>IF(Data_Override!G121="",Data!G121,Data_Override!G121)</f>
        <v>0.26200000000000001</v>
      </c>
      <c r="I121" s="140">
        <f t="shared" si="35"/>
        <v>0.59599999999999997</v>
      </c>
      <c r="J121" s="140">
        <f t="shared" si="36"/>
        <v>0.52400000000000002</v>
      </c>
      <c r="L121" s="139">
        <f>IF(Data_Override!I121="",Data!I121,Data_Override!I121)</f>
        <v>0</v>
      </c>
      <c r="M121" s="139">
        <f>IF(Data_Override!J121="",Data!J121,Data_Override!J121)</f>
        <v>0</v>
      </c>
      <c r="N121" s="139">
        <f>IF(Data_Override!K121="",Data!K121,Data_Override!K121)</f>
        <v>0</v>
      </c>
      <c r="O121" s="139">
        <f>IF(Data_Override!L121="",Data!L121,Data_Override!L121)</f>
        <v>0</v>
      </c>
      <c r="P121" s="140">
        <f t="shared" si="29"/>
        <v>0</v>
      </c>
      <c r="Q121" s="140">
        <f t="shared" si="30"/>
        <v>0</v>
      </c>
      <c r="S121" s="139">
        <f>IF(Data_Override!N121="",Data!N121,Data_Override!N121)</f>
        <v>354.38569999999999</v>
      </c>
      <c r="U121" s="139">
        <f>IF(Data_Override!P121="",Data!P121,Data_Override!P121)</f>
        <v>0</v>
      </c>
      <c r="V121" s="139">
        <f>IF(Data_Override!Q121="",Data!Q121,Data_Override!Q121)</f>
        <v>0</v>
      </c>
      <c r="W121" s="139">
        <f>IF(Data_Override!R121="",Data!R121,Data_Override!R121)</f>
        <v>0</v>
      </c>
      <c r="X121" s="139">
        <f>IF(Data_Override!S121="",Data!S121,Data_Override!S121)</f>
        <v>0</v>
      </c>
      <c r="Y121" s="140">
        <f t="shared" si="27"/>
        <v>0</v>
      </c>
      <c r="Z121" s="140">
        <f t="shared" si="28"/>
        <v>0</v>
      </c>
      <c r="AB121" s="139">
        <f>IF(Data_Override!U121="",Data!U121,Data_Override!U121)</f>
        <v>172.85</v>
      </c>
      <c r="AC121" s="139">
        <f>IF(Data_Override!V121="",Data!V121,Data_Override!V121)</f>
        <v>27597</v>
      </c>
      <c r="AD121" s="139">
        <f>IF(Data_Override!W121="",Data!W121,Data_Override!W121)</f>
        <v>1433.501</v>
      </c>
    </row>
    <row r="122" spans="1:30" hidden="1" x14ac:dyDescent="0.2">
      <c r="A122" s="141" t="s">
        <v>199</v>
      </c>
      <c r="B122" s="142" t="s">
        <v>27</v>
      </c>
      <c r="C122" s="142" t="s">
        <v>71</v>
      </c>
      <c r="D122" s="19" t="str">
        <f t="shared" si="34"/>
        <v>19</v>
      </c>
      <c r="E122" s="139">
        <f>IF(Data_Override!D122="",Data!D122,Data_Override!D122)</f>
        <v>0.24561414993979599</v>
      </c>
      <c r="F122" s="139">
        <f>IF(Data_Override!E122="",Data!E122,Data_Override!E122)</f>
        <v>0.24561414993979599</v>
      </c>
      <c r="G122" s="139">
        <f>IF(Data_Override!F122="",Data!F122,Data_Override!F122)</f>
        <v>0.21539971085990001</v>
      </c>
      <c r="H122" s="139">
        <f>IF(Data_Override!G122="",Data!G122,Data_Override!G122)</f>
        <v>0.21539971085990001</v>
      </c>
      <c r="I122" s="140">
        <f t="shared" si="35"/>
        <v>0.49122829987959199</v>
      </c>
      <c r="J122" s="140">
        <f t="shared" si="36"/>
        <v>0.43079942171980001</v>
      </c>
      <c r="L122" s="139">
        <f>IF(Data_Override!I122="",Data!I122,Data_Override!I122)</f>
        <v>0</v>
      </c>
      <c r="M122" s="139">
        <f>IF(Data_Override!J122="",Data!J122,Data_Override!J122)</f>
        <v>0</v>
      </c>
      <c r="N122" s="139">
        <f>IF(Data_Override!K122="",Data!K122,Data_Override!K122)</f>
        <v>0</v>
      </c>
      <c r="O122" s="139">
        <f>IF(Data_Override!L122="",Data!L122,Data_Override!L122)</f>
        <v>0</v>
      </c>
      <c r="P122" s="140">
        <f t="shared" si="29"/>
        <v>0</v>
      </c>
      <c r="Q122" s="140">
        <f t="shared" si="30"/>
        <v>0</v>
      </c>
      <c r="S122" s="139">
        <f>IF(Data_Override!N122="",Data!N122,Data_Override!N122)</f>
        <v>342.02939970306699</v>
      </c>
      <c r="U122" s="139">
        <f>IF(Data_Override!P122="",Data!P122,Data_Override!P122)</f>
        <v>0</v>
      </c>
      <c r="V122" s="139">
        <f>IF(Data_Override!Q122="",Data!Q122,Data_Override!Q122)</f>
        <v>0</v>
      </c>
      <c r="W122" s="139">
        <f>IF(Data_Override!R122="",Data!R122,Data_Override!R122)</f>
        <v>0</v>
      </c>
      <c r="X122" s="139">
        <f>IF(Data_Override!S122="",Data!S122,Data_Override!S122)</f>
        <v>0</v>
      </c>
      <c r="Y122" s="140">
        <f t="shared" si="27"/>
        <v>0</v>
      </c>
      <c r="Z122" s="140">
        <f t="shared" si="28"/>
        <v>0</v>
      </c>
      <c r="AB122" s="139">
        <f>IF(Data_Override!U122="",Data!U122,Data_Override!U122)</f>
        <v>170.88</v>
      </c>
      <c r="AC122" s="139">
        <f>IF(Data_Override!V122="",Data!V122,Data_Override!V122)</f>
        <v>27692</v>
      </c>
      <c r="AD122" s="139">
        <f>IF(Data_Override!W122="",Data!W122,Data_Override!W122)</f>
        <v>1438.8920000000001</v>
      </c>
    </row>
    <row r="123" spans="1:30" hidden="1" x14ac:dyDescent="0.2">
      <c r="A123" s="141" t="s">
        <v>200</v>
      </c>
      <c r="B123" s="142" t="s">
        <v>27</v>
      </c>
      <c r="C123" s="142" t="s">
        <v>72</v>
      </c>
      <c r="D123" s="19" t="str">
        <f t="shared" si="34"/>
        <v>20</v>
      </c>
      <c r="E123" s="139">
        <f>IF(Data_Override!D123="",Data!D123,Data_Override!D123)</f>
        <v>0.26391061588707398</v>
      </c>
      <c r="F123" s="139">
        <f>IF(Data_Override!E123="",Data!E123,Data_Override!E123)</f>
        <v>0.26391061588707398</v>
      </c>
      <c r="G123" s="139">
        <f>IF(Data_Override!F123="",Data!F123,Data_Override!F123)</f>
        <v>0.232470000998</v>
      </c>
      <c r="H123" s="139">
        <f>IF(Data_Override!G123="",Data!G123,Data_Override!G123)</f>
        <v>0.232470000998</v>
      </c>
      <c r="I123" s="140">
        <f t="shared" si="35"/>
        <v>0.52782123177414797</v>
      </c>
      <c r="J123" s="140">
        <f t="shared" si="36"/>
        <v>0.464940001996</v>
      </c>
      <c r="L123" s="139">
        <f>IF(Data_Override!I123="",Data!I123,Data_Override!I123)</f>
        <v>0</v>
      </c>
      <c r="M123" s="139">
        <f>IF(Data_Override!J123="",Data!J123,Data_Override!J123)</f>
        <v>0</v>
      </c>
      <c r="N123" s="139">
        <f>IF(Data_Override!K123="",Data!K123,Data_Override!K123)</f>
        <v>0</v>
      </c>
      <c r="O123" s="139">
        <f>IF(Data_Override!L123="",Data!L123,Data_Override!L123)</f>
        <v>0</v>
      </c>
      <c r="P123" s="140">
        <f t="shared" si="29"/>
        <v>0</v>
      </c>
      <c r="Q123" s="140">
        <f t="shared" si="30"/>
        <v>0</v>
      </c>
      <c r="S123" s="139">
        <f>IF(Data_Override!N123="",Data!N123,Data_Override!N123)</f>
        <v>300.73424514351899</v>
      </c>
      <c r="U123" s="139">
        <f>IF(Data_Override!P123="",Data!P123,Data_Override!P123)</f>
        <v>0</v>
      </c>
      <c r="V123" s="139">
        <f>IF(Data_Override!Q123="",Data!Q123,Data_Override!Q123)</f>
        <v>0</v>
      </c>
      <c r="W123" s="139">
        <f>IF(Data_Override!R123="",Data!R123,Data_Override!R123)</f>
        <v>0</v>
      </c>
      <c r="X123" s="139">
        <f>IF(Data_Override!S123="",Data!S123,Data_Override!S123)</f>
        <v>0</v>
      </c>
      <c r="Y123" s="140">
        <f t="shared" ref="Y123:Y156" si="37">IFERROR(MAX(U123,V123),"")</f>
        <v>0</v>
      </c>
      <c r="Z123" s="140">
        <f t="shared" ref="Z123:Z156" si="38">IFERROR(MAX(W123,X123),"")</f>
        <v>0</v>
      </c>
      <c r="AB123" s="139">
        <f>IF(Data_Override!U123="",Data!U123,Data_Override!U123)</f>
        <v>169</v>
      </c>
      <c r="AC123" s="139">
        <f>IF(Data_Override!V123="",Data!V123,Data_Override!V123)</f>
        <v>27786</v>
      </c>
      <c r="AD123" s="139">
        <f>IF(Data_Override!W123="",Data!W123,Data_Override!W123)</f>
        <v>1447.454</v>
      </c>
    </row>
    <row r="124" spans="1:30" x14ac:dyDescent="0.2">
      <c r="A124" s="141" t="s">
        <v>201</v>
      </c>
      <c r="B124" s="142" t="s">
        <v>27</v>
      </c>
      <c r="C124" s="142" t="s">
        <v>73</v>
      </c>
      <c r="D124" s="19" t="str">
        <f t="shared" si="34"/>
        <v>21</v>
      </c>
      <c r="E124" s="139">
        <f>IF(Data_Override!D124="",Data!D124,Data_Override!D124)</f>
        <v>0</v>
      </c>
      <c r="F124" s="139">
        <f>IF(Data_Override!E124="",Data!E124,Data_Override!E124)</f>
        <v>1.8149999999999999</v>
      </c>
      <c r="G124" s="139">
        <f>IF(Data_Override!F124="",Data!F124,Data_Override!F124)</f>
        <v>0</v>
      </c>
      <c r="H124" s="139">
        <f>IF(Data_Override!G124="",Data!G124,Data_Override!G124)</f>
        <v>0</v>
      </c>
      <c r="I124" s="140">
        <f t="shared" si="35"/>
        <v>1.8149999999999999</v>
      </c>
      <c r="J124" s="140">
        <f t="shared" si="36"/>
        <v>0</v>
      </c>
      <c r="L124" s="139">
        <f>IF(Data_Override!I124="",Data!I124,Data_Override!I124)</f>
        <v>0</v>
      </c>
      <c r="M124" s="139">
        <f>IF(Data_Override!J124="",Data!J124,Data_Override!J124)</f>
        <v>0.23599999999999999</v>
      </c>
      <c r="N124" s="139">
        <f>IF(Data_Override!K124="",Data!K124,Data_Override!K124)</f>
        <v>0</v>
      </c>
      <c r="O124" s="139">
        <f>IF(Data_Override!L124="",Data!L124,Data_Override!L124)</f>
        <v>0</v>
      </c>
      <c r="P124" s="140">
        <f t="shared" ref="P124:P156" si="39">IFERROR(SUM(L124:M124),"")</f>
        <v>0.23599999999999999</v>
      </c>
      <c r="Q124" s="140">
        <f t="shared" ref="Q124:Q156" si="40">IFERROR(SUM(N124:O124),"")</f>
        <v>0</v>
      </c>
      <c r="S124" s="139">
        <f>IF(Data_Override!N124="",Data!N124,Data_Override!N124)</f>
        <v>338.87299999999999</v>
      </c>
      <c r="U124" s="139">
        <f>IF(Data_Override!P124="",Data!P124,Data_Override!P124)</f>
        <v>0</v>
      </c>
      <c r="V124" s="139">
        <f>IF(Data_Override!Q124="",Data!Q124,Data_Override!Q124)</f>
        <v>0</v>
      </c>
      <c r="W124" s="139">
        <f>IF(Data_Override!R124="",Data!R124,Data_Override!R124)</f>
        <v>0</v>
      </c>
      <c r="X124" s="139">
        <f>IF(Data_Override!S124="",Data!S124,Data_Override!S124)</f>
        <v>0</v>
      </c>
      <c r="Y124" s="140">
        <f t="shared" si="37"/>
        <v>0</v>
      </c>
      <c r="Z124" s="140">
        <f t="shared" si="38"/>
        <v>0</v>
      </c>
      <c r="AB124" s="139">
        <f>IF(Data_Override!U124="",Data!U124,Data_Override!U124)</f>
        <v>163.80000000000001</v>
      </c>
      <c r="AC124" s="139">
        <f>IF(Data_Override!V124="",Data!V124,Data_Override!V124)</f>
        <v>27827</v>
      </c>
      <c r="AD124" s="139">
        <f>IF(Data_Override!W124="",Data!W124,Data_Override!W124)</f>
        <v>1456.2349999999999</v>
      </c>
    </row>
    <row r="125" spans="1:30" x14ac:dyDescent="0.2">
      <c r="A125" s="141" t="s">
        <v>202</v>
      </c>
      <c r="B125" s="142" t="s">
        <v>27</v>
      </c>
      <c r="C125" s="142" t="s">
        <v>74</v>
      </c>
      <c r="D125" s="19" t="str">
        <f t="shared" si="34"/>
        <v>22</v>
      </c>
      <c r="E125" s="139">
        <f>IF(Data_Override!D125="",Data!D125,Data_Override!D125)</f>
        <v>0</v>
      </c>
      <c r="F125" s="139">
        <f>IF(Data_Override!E125="",Data!E125,Data_Override!E125)</f>
        <v>8.3780000000000001</v>
      </c>
      <c r="G125" s="139">
        <f>IF(Data_Override!F125="",Data!F125,Data_Override!F125)</f>
        <v>0</v>
      </c>
      <c r="H125" s="139">
        <f>IF(Data_Override!G125="",Data!G125,Data_Override!G125)</f>
        <v>0</v>
      </c>
      <c r="I125" s="140">
        <f t="shared" si="35"/>
        <v>8.3780000000000001</v>
      </c>
      <c r="J125" s="140">
        <f t="shared" si="36"/>
        <v>0</v>
      </c>
      <c r="L125" s="139">
        <f>IF(Data_Override!I125="",Data!I125,Data_Override!I125)</f>
        <v>0</v>
      </c>
      <c r="M125" s="139">
        <f>IF(Data_Override!J125="",Data!J125,Data_Override!J125)</f>
        <v>0.23400000000000001</v>
      </c>
      <c r="N125" s="139">
        <f>IF(Data_Override!K125="",Data!K125,Data_Override!K125)</f>
        <v>0</v>
      </c>
      <c r="O125" s="139">
        <f>IF(Data_Override!L125="",Data!L125,Data_Override!L125)</f>
        <v>0</v>
      </c>
      <c r="P125" s="140">
        <f t="shared" si="39"/>
        <v>0.23400000000000001</v>
      </c>
      <c r="Q125" s="140">
        <f t="shared" si="40"/>
        <v>0</v>
      </c>
      <c r="S125" s="139">
        <f>IF(Data_Override!N125="",Data!N125,Data_Override!N125)</f>
        <v>347.16399999999999</v>
      </c>
      <c r="U125" s="139">
        <f>IF(Data_Override!P125="",Data!P125,Data_Override!P125)</f>
        <v>0</v>
      </c>
      <c r="V125" s="139">
        <f>IF(Data_Override!Q125="",Data!Q125,Data_Override!Q125)</f>
        <v>0</v>
      </c>
      <c r="W125" s="139">
        <f>IF(Data_Override!R125="",Data!R125,Data_Override!R125)</f>
        <v>0</v>
      </c>
      <c r="X125" s="139">
        <f>IF(Data_Override!S125="",Data!S125,Data_Override!S125)</f>
        <v>0</v>
      </c>
      <c r="Y125" s="140">
        <f t="shared" si="37"/>
        <v>0</v>
      </c>
      <c r="Z125" s="140">
        <f t="shared" si="38"/>
        <v>0</v>
      </c>
      <c r="AB125" s="139">
        <f>IF(Data_Override!U125="",Data!U125,Data_Override!U125)</f>
        <v>158.6</v>
      </c>
      <c r="AC125" s="139">
        <f>IF(Data_Override!V125="",Data!V125,Data_Override!V125)</f>
        <v>27872</v>
      </c>
      <c r="AD125" s="139">
        <f>IF(Data_Override!W125="",Data!W125,Data_Override!W125)</f>
        <v>1465.1679999999999</v>
      </c>
    </row>
    <row r="126" spans="1:30" x14ac:dyDescent="0.2">
      <c r="A126" s="141" t="s">
        <v>203</v>
      </c>
      <c r="B126" s="142" t="s">
        <v>27</v>
      </c>
      <c r="C126" s="142" t="s">
        <v>75</v>
      </c>
      <c r="D126" s="19" t="str">
        <f t="shared" si="34"/>
        <v>23</v>
      </c>
      <c r="E126" s="139">
        <f>IF(Data_Override!D126="",Data!D126,Data_Override!D126)</f>
        <v>0</v>
      </c>
      <c r="F126" s="139">
        <f>IF(Data_Override!E126="",Data!E126,Data_Override!E126)</f>
        <v>8.4610000000000003</v>
      </c>
      <c r="G126" s="139">
        <f>IF(Data_Override!F126="",Data!F126,Data_Override!F126)</f>
        <v>0</v>
      </c>
      <c r="H126" s="139">
        <f>IF(Data_Override!G126="",Data!G126,Data_Override!G126)</f>
        <v>0</v>
      </c>
      <c r="I126" s="140">
        <f t="shared" si="35"/>
        <v>8.4610000000000003</v>
      </c>
      <c r="J126" s="140">
        <f t="shared" si="36"/>
        <v>0</v>
      </c>
      <c r="L126" s="139">
        <f>IF(Data_Override!I126="",Data!I126,Data_Override!I126)</f>
        <v>0</v>
      </c>
      <c r="M126" s="139">
        <f>IF(Data_Override!J126="",Data!J126,Data_Override!J126)</f>
        <v>0.23200000000000001</v>
      </c>
      <c r="N126" s="139">
        <f>IF(Data_Override!K126="",Data!K126,Data_Override!K126)</f>
        <v>0</v>
      </c>
      <c r="O126" s="139">
        <f>IF(Data_Override!L126="",Data!L126,Data_Override!L126)</f>
        <v>0</v>
      </c>
      <c r="P126" s="140">
        <f t="shared" si="39"/>
        <v>0.23200000000000001</v>
      </c>
      <c r="Q126" s="140">
        <f t="shared" si="40"/>
        <v>0</v>
      </c>
      <c r="S126" s="139">
        <f>IF(Data_Override!N126="",Data!N126,Data_Override!N126)</f>
        <v>338.81799999999998</v>
      </c>
      <c r="U126" s="139">
        <f>IF(Data_Override!P126="",Data!P126,Data_Override!P126)</f>
        <v>3.98</v>
      </c>
      <c r="V126" s="139">
        <f>IF(Data_Override!Q126="",Data!Q126,Data_Override!Q126)</f>
        <v>3.42</v>
      </c>
      <c r="W126" s="139">
        <f>IF(Data_Override!R126="",Data!R126,Data_Override!R126)</f>
        <v>0</v>
      </c>
      <c r="X126" s="139">
        <f>IF(Data_Override!S126="",Data!S126,Data_Override!S126)</f>
        <v>0</v>
      </c>
      <c r="Y126" s="140">
        <f t="shared" si="37"/>
        <v>3.98</v>
      </c>
      <c r="Z126" s="140">
        <f t="shared" si="38"/>
        <v>0</v>
      </c>
      <c r="AB126" s="139">
        <f>IF(Data_Override!U126="",Data!U126,Data_Override!U126)</f>
        <v>153.4</v>
      </c>
      <c r="AC126" s="139">
        <f>IF(Data_Override!V126="",Data!V126,Data_Override!V126)</f>
        <v>27913</v>
      </c>
      <c r="AD126" s="139">
        <f>IF(Data_Override!W126="",Data!W126,Data_Override!W126)</f>
        <v>1474.25</v>
      </c>
    </row>
    <row r="127" spans="1:30" x14ac:dyDescent="0.2">
      <c r="A127" s="141" t="s">
        <v>204</v>
      </c>
      <c r="B127" s="142" t="s">
        <v>27</v>
      </c>
      <c r="C127" s="142" t="s">
        <v>76</v>
      </c>
      <c r="D127" s="19" t="str">
        <f t="shared" si="34"/>
        <v>24</v>
      </c>
      <c r="E127" s="139">
        <f>IF(Data_Override!D127="",Data!D127,Data_Override!D127)</f>
        <v>0</v>
      </c>
      <c r="F127" s="139">
        <f>IF(Data_Override!E127="",Data!E127,Data_Override!E127)</f>
        <v>5.9029999999999996</v>
      </c>
      <c r="G127" s="139">
        <f>IF(Data_Override!F127="",Data!F127,Data_Override!F127)</f>
        <v>0</v>
      </c>
      <c r="H127" s="139">
        <f>IF(Data_Override!G127="",Data!G127,Data_Override!G127)</f>
        <v>0</v>
      </c>
      <c r="I127" s="140">
        <f t="shared" si="35"/>
        <v>5.9029999999999996</v>
      </c>
      <c r="J127" s="140">
        <f t="shared" si="36"/>
        <v>0</v>
      </c>
      <c r="L127" s="139">
        <f>IF(Data_Override!I127="",Data!I127,Data_Override!I127)</f>
        <v>0</v>
      </c>
      <c r="M127" s="139">
        <f>IF(Data_Override!J127="",Data!J127,Data_Override!J127)</f>
        <v>0.22900000000000001</v>
      </c>
      <c r="N127" s="139">
        <f>IF(Data_Override!K127="",Data!K127,Data_Override!K127)</f>
        <v>0</v>
      </c>
      <c r="O127" s="139">
        <f>IF(Data_Override!L127="",Data!L127,Data_Override!L127)</f>
        <v>0</v>
      </c>
      <c r="P127" s="140">
        <f t="shared" si="39"/>
        <v>0.22900000000000001</v>
      </c>
      <c r="Q127" s="140">
        <f t="shared" si="40"/>
        <v>0</v>
      </c>
      <c r="S127" s="139">
        <f>IF(Data_Override!N127="",Data!N127,Data_Override!N127)</f>
        <v>324.73200000000003</v>
      </c>
      <c r="U127" s="139">
        <f>IF(Data_Override!P127="",Data!P127,Data_Override!P127)</f>
        <v>0.56000000000000005</v>
      </c>
      <c r="V127" s="139">
        <f>IF(Data_Override!Q127="",Data!Q127,Data_Override!Q127)</f>
        <v>0.39</v>
      </c>
      <c r="W127" s="139">
        <f>IF(Data_Override!R127="",Data!R127,Data_Override!R127)</f>
        <v>0</v>
      </c>
      <c r="X127" s="139">
        <f>IF(Data_Override!S127="",Data!S127,Data_Override!S127)</f>
        <v>0</v>
      </c>
      <c r="Y127" s="140">
        <f t="shared" si="37"/>
        <v>0.56000000000000005</v>
      </c>
      <c r="Z127" s="140">
        <f t="shared" si="38"/>
        <v>0</v>
      </c>
      <c r="AB127" s="139">
        <f>IF(Data_Override!U127="",Data!U127,Data_Override!U127)</f>
        <v>148.19999999999999</v>
      </c>
      <c r="AC127" s="139">
        <f>IF(Data_Override!V127="",Data!V127,Data_Override!V127)</f>
        <v>27968</v>
      </c>
      <c r="AD127" s="139">
        <f>IF(Data_Override!W127="",Data!W127,Data_Override!W127)</f>
        <v>1483.37</v>
      </c>
    </row>
    <row r="128" spans="1:30" x14ac:dyDescent="0.2">
      <c r="A128" s="141" t="s">
        <v>205</v>
      </c>
      <c r="B128" s="142" t="s">
        <v>27</v>
      </c>
      <c r="C128" s="142" t="s">
        <v>24</v>
      </c>
      <c r="D128" s="19" t="str">
        <f t="shared" si="34"/>
        <v>25</v>
      </c>
      <c r="E128" s="139">
        <f>IF(Data_Override!D128="",Data!D128,Data_Override!D128)</f>
        <v>0</v>
      </c>
      <c r="F128" s="139">
        <f>IF(Data_Override!E128="",Data!E128,Data_Override!E128)</f>
        <v>2.1269999999999998</v>
      </c>
      <c r="G128" s="139">
        <f>IF(Data_Override!F128="",Data!F128,Data_Override!F128)</f>
        <v>0</v>
      </c>
      <c r="H128" s="139">
        <f>IF(Data_Override!G128="",Data!G128,Data_Override!G128)</f>
        <v>0</v>
      </c>
      <c r="I128" s="140">
        <f t="shared" si="35"/>
        <v>2.1269999999999998</v>
      </c>
      <c r="J128" s="140">
        <f t="shared" si="36"/>
        <v>0</v>
      </c>
      <c r="L128" s="139">
        <f>IF(Data_Override!I128="",Data!I128,Data_Override!I128)</f>
        <v>0</v>
      </c>
      <c r="M128" s="139">
        <f>IF(Data_Override!J128="",Data!J128,Data_Override!J128)</f>
        <v>0.22800000000000001</v>
      </c>
      <c r="N128" s="139">
        <f>IF(Data_Override!K128="",Data!K128,Data_Override!K128)</f>
        <v>0</v>
      </c>
      <c r="O128" s="139">
        <f>IF(Data_Override!L128="",Data!L128,Data_Override!L128)</f>
        <v>0</v>
      </c>
      <c r="P128" s="140">
        <f t="shared" si="39"/>
        <v>0.22800000000000001</v>
      </c>
      <c r="Q128" s="140">
        <f t="shared" si="40"/>
        <v>0</v>
      </c>
      <c r="S128" s="139">
        <f>IF(Data_Override!N128="",Data!N128,Data_Override!N128)</f>
        <v>316.38299999999998</v>
      </c>
      <c r="U128" s="139">
        <f>IF(Data_Override!P128="",Data!P128,Data_Override!P128)</f>
        <v>0.56000000000000005</v>
      </c>
      <c r="V128" s="139">
        <f>IF(Data_Override!Q128="",Data!Q128,Data_Override!Q128)</f>
        <v>0.4</v>
      </c>
      <c r="W128" s="139">
        <f>IF(Data_Override!R128="",Data!R128,Data_Override!R128)</f>
        <v>0</v>
      </c>
      <c r="X128" s="139">
        <f>IF(Data_Override!S128="",Data!S128,Data_Override!S128)</f>
        <v>0</v>
      </c>
      <c r="Y128" s="140">
        <f t="shared" si="37"/>
        <v>0.56000000000000005</v>
      </c>
      <c r="Z128" s="140">
        <f t="shared" si="38"/>
        <v>0</v>
      </c>
      <c r="AB128" s="139">
        <f>IF(Data_Override!U128="",Data!U128,Data_Override!U128)</f>
        <v>143</v>
      </c>
      <c r="AC128" s="139">
        <f>IF(Data_Override!V128="",Data!V128,Data_Override!V128)</f>
        <v>28037</v>
      </c>
      <c r="AD128" s="139">
        <f>IF(Data_Override!W128="",Data!W128,Data_Override!W128)</f>
        <v>1492.5239999999999</v>
      </c>
    </row>
    <row r="129" spans="1:30" hidden="1" x14ac:dyDescent="0.2">
      <c r="A129" s="138" t="str">
        <f t="shared" ref="A129" si="41">B129&amp;RIGHT(C129,2)</f>
        <v>WSX12</v>
      </c>
      <c r="B129" s="19" t="s">
        <v>33</v>
      </c>
      <c r="C129" s="143" t="s">
        <v>64</v>
      </c>
      <c r="D129" s="19" t="str">
        <f t="shared" si="34"/>
        <v>12</v>
      </c>
      <c r="E129" s="139">
        <f>IF(Data_Override!D129="",Data!D129,Data_Override!D129)</f>
        <v>4.4202527171511904E-3</v>
      </c>
      <c r="F129" s="139">
        <f>IF(Data_Override!E129="",Data!E129,Data_Override!E129)</f>
        <v>0</v>
      </c>
      <c r="G129" s="139">
        <f>IF(Data_Override!F129="",Data!F129,Data_Override!F129)</f>
        <v>0</v>
      </c>
      <c r="H129" s="139">
        <f>IF(Data_Override!G129="",Data!G129,Data_Override!G129)</f>
        <v>0</v>
      </c>
      <c r="I129" s="140">
        <f t="shared" si="35"/>
        <v>4.4202527171511904E-3</v>
      </c>
      <c r="J129" s="140">
        <f t="shared" si="36"/>
        <v>0</v>
      </c>
      <c r="L129" s="139">
        <f>IF(Data_Override!I129="",Data!I129,Data_Override!I129)</f>
        <v>0</v>
      </c>
      <c r="M129" s="139">
        <f>IF(Data_Override!J129="",Data!J129,Data_Override!J129)</f>
        <v>0</v>
      </c>
      <c r="N129" s="139">
        <f>IF(Data_Override!K129="",Data!K129,Data_Override!K129)</f>
        <v>0</v>
      </c>
      <c r="O129" s="139">
        <f>IF(Data_Override!L129="",Data!L129,Data_Override!L129)</f>
        <v>0</v>
      </c>
      <c r="P129" s="140">
        <f t="shared" si="39"/>
        <v>0</v>
      </c>
      <c r="Q129" s="140">
        <f t="shared" si="40"/>
        <v>0</v>
      </c>
      <c r="S129" s="139">
        <f>IF(Data_Override!N129="",Data!N129,Data_Override!N129)</f>
        <v>160.111498983828</v>
      </c>
      <c r="U129" s="139">
        <f>IF(Data_Override!P129="",Data!P129,Data_Override!P129)</f>
        <v>0</v>
      </c>
      <c r="V129" s="139">
        <f>IF(Data_Override!Q129="",Data!Q129,Data_Override!Q129)</f>
        <v>0</v>
      </c>
      <c r="W129" s="139">
        <f>IF(Data_Override!R129="",Data!R129,Data_Override!R129)</f>
        <v>0</v>
      </c>
      <c r="X129" s="139">
        <f>IF(Data_Override!S129="",Data!S129,Data_Override!S129)</f>
        <v>0</v>
      </c>
      <c r="Y129" s="140">
        <f t="shared" si="37"/>
        <v>0</v>
      </c>
      <c r="Z129" s="140">
        <f t="shared" si="38"/>
        <v>0</v>
      </c>
      <c r="AB129" s="139">
        <f>IF(Data_Override!U129="",Data!U129,Data_Override!U129)</f>
        <v>0</v>
      </c>
      <c r="AC129" s="139">
        <f>IF(Data_Override!V129="",Data!V129,Data_Override!V129)</f>
        <v>0</v>
      </c>
      <c r="AD129" s="139">
        <f>IF(Data_Override!W129="",Data!W129,Data_Override!W129)</f>
        <v>0</v>
      </c>
    </row>
    <row r="130" spans="1:30" hidden="1" x14ac:dyDescent="0.2">
      <c r="A130" s="138" t="str">
        <f>B130&amp;RIGHT(C130,2)</f>
        <v>WSX13</v>
      </c>
      <c r="B130" s="19" t="s">
        <v>33</v>
      </c>
      <c r="C130" s="143" t="s">
        <v>65</v>
      </c>
      <c r="D130" s="19" t="str">
        <f t="shared" si="34"/>
        <v>13</v>
      </c>
      <c r="E130" s="139">
        <f>IF(Data_Override!D130="",Data!D130,Data_Override!D130)</f>
        <v>2.0501639344262301E-2</v>
      </c>
      <c r="F130" s="139">
        <f>IF(Data_Override!E130="",Data!E130,Data_Override!E130)</f>
        <v>0</v>
      </c>
      <c r="G130" s="139">
        <f>IF(Data_Override!F130="",Data!F130,Data_Override!F130)</f>
        <v>0</v>
      </c>
      <c r="H130" s="139">
        <f>IF(Data_Override!G130="",Data!G130,Data_Override!G130)</f>
        <v>0</v>
      </c>
      <c r="I130" s="140">
        <f t="shared" si="35"/>
        <v>2.0501639344262301E-2</v>
      </c>
      <c r="J130" s="140">
        <f t="shared" si="36"/>
        <v>0</v>
      </c>
      <c r="L130" s="139">
        <f>IF(Data_Override!I130="",Data!I130,Data_Override!I130)</f>
        <v>0</v>
      </c>
      <c r="M130" s="139">
        <f>IF(Data_Override!J130="",Data!J130,Data_Override!J130)</f>
        <v>0</v>
      </c>
      <c r="N130" s="139">
        <f>IF(Data_Override!K130="",Data!K130,Data_Override!K130)</f>
        <v>0</v>
      </c>
      <c r="O130" s="139">
        <f>IF(Data_Override!L130="",Data!L130,Data_Override!L130)</f>
        <v>0</v>
      </c>
      <c r="P130" s="140">
        <f t="shared" si="39"/>
        <v>0</v>
      </c>
      <c r="Q130" s="140">
        <f t="shared" si="40"/>
        <v>0</v>
      </c>
      <c r="S130" s="139">
        <f>IF(Data_Override!N130="",Data!N130,Data_Override!N130)</f>
        <v>176.20727402933599</v>
      </c>
      <c r="U130" s="139">
        <f>IF(Data_Override!P130="",Data!P130,Data_Override!P130)</f>
        <v>0</v>
      </c>
      <c r="V130" s="139">
        <f>IF(Data_Override!Q130="",Data!Q130,Data_Override!Q130)</f>
        <v>0</v>
      </c>
      <c r="W130" s="139">
        <f>IF(Data_Override!R130="",Data!R130,Data_Override!R130)</f>
        <v>0</v>
      </c>
      <c r="X130" s="139">
        <f>IF(Data_Override!S130="",Data!S130,Data_Override!S130)</f>
        <v>0</v>
      </c>
      <c r="Y130" s="140">
        <f t="shared" si="37"/>
        <v>0</v>
      </c>
      <c r="Z130" s="140">
        <f t="shared" si="38"/>
        <v>0</v>
      </c>
      <c r="AB130" s="139">
        <f>IF(Data_Override!U130="",Data!U130,Data_Override!U130)</f>
        <v>0</v>
      </c>
      <c r="AC130" s="139">
        <f>IF(Data_Override!V130="",Data!V130,Data_Override!V130)</f>
        <v>0</v>
      </c>
      <c r="AD130" s="139">
        <f>IF(Data_Override!W130="",Data!W130,Data_Override!W130)</f>
        <v>0</v>
      </c>
    </row>
    <row r="131" spans="1:30" hidden="1" x14ac:dyDescent="0.2">
      <c r="A131" s="138" t="str">
        <f>B131&amp;RIGHT(C131,2)</f>
        <v>WSX14</v>
      </c>
      <c r="B131" s="19" t="s">
        <v>33</v>
      </c>
      <c r="C131" s="143" t="s">
        <v>66</v>
      </c>
      <c r="D131" s="19" t="str">
        <f t="shared" si="34"/>
        <v>14</v>
      </c>
      <c r="E131" s="139">
        <f>IF(Data_Override!D131="",Data!D131,Data_Override!D131)</f>
        <v>7.3987491548343498E-3</v>
      </c>
      <c r="F131" s="139">
        <f>IF(Data_Override!E131="",Data!E131,Data_Override!E131)</f>
        <v>0</v>
      </c>
      <c r="G131" s="139">
        <f>IF(Data_Override!F131="",Data!F131,Data_Override!F131)</f>
        <v>0</v>
      </c>
      <c r="H131" s="139">
        <f>IF(Data_Override!G131="",Data!G131,Data_Override!G131)</f>
        <v>0</v>
      </c>
      <c r="I131" s="140">
        <f t="shared" si="35"/>
        <v>7.3987491548343498E-3</v>
      </c>
      <c r="J131" s="140">
        <f t="shared" si="36"/>
        <v>0</v>
      </c>
      <c r="L131" s="139">
        <f>IF(Data_Override!I131="",Data!I131,Data_Override!I131)</f>
        <v>0</v>
      </c>
      <c r="M131" s="139">
        <f>IF(Data_Override!J131="",Data!J131,Data_Override!J131)</f>
        <v>0</v>
      </c>
      <c r="N131" s="139">
        <f>IF(Data_Override!K131="",Data!K131,Data_Override!K131)</f>
        <v>0</v>
      </c>
      <c r="O131" s="139">
        <f>IF(Data_Override!L131="",Data!L131,Data_Override!L131)</f>
        <v>0</v>
      </c>
      <c r="P131" s="140">
        <f t="shared" si="39"/>
        <v>0</v>
      </c>
      <c r="Q131" s="140">
        <f t="shared" si="40"/>
        <v>0</v>
      </c>
      <c r="S131" s="139">
        <f>IF(Data_Override!N131="",Data!N131,Data_Override!N131)</f>
        <v>161.72502991886401</v>
      </c>
      <c r="U131" s="139">
        <f>IF(Data_Override!P131="",Data!P131,Data_Override!P131)</f>
        <v>0</v>
      </c>
      <c r="V131" s="139">
        <f>IF(Data_Override!Q131="",Data!Q131,Data_Override!Q131)</f>
        <v>0</v>
      </c>
      <c r="W131" s="139">
        <f>IF(Data_Override!R131="",Data!R131,Data_Override!R131)</f>
        <v>0</v>
      </c>
      <c r="X131" s="139">
        <f>IF(Data_Override!S131="",Data!S131,Data_Override!S131)</f>
        <v>0</v>
      </c>
      <c r="Y131" s="140">
        <f t="shared" si="37"/>
        <v>0</v>
      </c>
      <c r="Z131" s="140">
        <f t="shared" si="38"/>
        <v>0</v>
      </c>
      <c r="AB131" s="139">
        <f>IF(Data_Override!U131="",Data!U131,Data_Override!U131)</f>
        <v>0</v>
      </c>
      <c r="AC131" s="139">
        <f>IF(Data_Override!V131="",Data!V131,Data_Override!V131)</f>
        <v>0</v>
      </c>
      <c r="AD131" s="139">
        <f>IF(Data_Override!W131="",Data!W131,Data_Override!W131)</f>
        <v>0</v>
      </c>
    </row>
    <row r="132" spans="1:30" hidden="1" x14ac:dyDescent="0.2">
      <c r="A132" s="138" t="str">
        <f>B132&amp;RIGHT(C132,2)</f>
        <v>WSX15</v>
      </c>
      <c r="B132" s="19" t="s">
        <v>33</v>
      </c>
      <c r="C132" s="143" t="s">
        <v>67</v>
      </c>
      <c r="D132" s="19" t="str">
        <f t="shared" si="34"/>
        <v>15</v>
      </c>
      <c r="E132" s="139">
        <f>IF(Data_Override!D132="",Data!D132,Data_Override!D132)</f>
        <v>0</v>
      </c>
      <c r="F132" s="139">
        <f>IF(Data_Override!E132="",Data!E132,Data_Override!E132)</f>
        <v>0</v>
      </c>
      <c r="G132" s="139">
        <f>IF(Data_Override!F132="",Data!F132,Data_Override!F132)</f>
        <v>0</v>
      </c>
      <c r="H132" s="139">
        <f>IF(Data_Override!G132="",Data!G132,Data_Override!G132)</f>
        <v>0</v>
      </c>
      <c r="I132" s="140">
        <f t="shared" si="35"/>
        <v>0</v>
      </c>
      <c r="J132" s="140">
        <f t="shared" si="36"/>
        <v>0</v>
      </c>
      <c r="L132" s="139">
        <f>IF(Data_Override!I132="",Data!I132,Data_Override!I132)</f>
        <v>0</v>
      </c>
      <c r="M132" s="139">
        <f>IF(Data_Override!J132="",Data!J132,Data_Override!J132)</f>
        <v>0</v>
      </c>
      <c r="N132" s="139">
        <f>IF(Data_Override!K132="",Data!K132,Data_Override!K132)</f>
        <v>0</v>
      </c>
      <c r="O132" s="139">
        <f>IF(Data_Override!L132="",Data!L132,Data_Override!L132)</f>
        <v>0</v>
      </c>
      <c r="P132" s="140">
        <f t="shared" si="39"/>
        <v>0</v>
      </c>
      <c r="Q132" s="140">
        <f t="shared" si="40"/>
        <v>0</v>
      </c>
      <c r="S132" s="139">
        <f>IF(Data_Override!N132="",Data!N132,Data_Override!N132)</f>
        <v>155.76956095930501</v>
      </c>
      <c r="U132" s="139">
        <f>IF(Data_Override!P132="",Data!P132,Data_Override!P132)</f>
        <v>0</v>
      </c>
      <c r="V132" s="139">
        <f>IF(Data_Override!Q132="",Data!Q132,Data_Override!Q132)</f>
        <v>0</v>
      </c>
      <c r="W132" s="139">
        <f>IF(Data_Override!R132="",Data!R132,Data_Override!R132)</f>
        <v>0</v>
      </c>
      <c r="X132" s="139">
        <f>IF(Data_Override!S132="",Data!S132,Data_Override!S132)</f>
        <v>0</v>
      </c>
      <c r="Y132" s="140">
        <f t="shared" si="37"/>
        <v>0</v>
      </c>
      <c r="Z132" s="140">
        <f t="shared" si="38"/>
        <v>0</v>
      </c>
      <c r="AB132" s="139">
        <f>IF(Data_Override!U132="",Data!U132,Data_Override!U132)</f>
        <v>0</v>
      </c>
      <c r="AC132" s="139">
        <f>IF(Data_Override!V132="",Data!V132,Data_Override!V132)</f>
        <v>0</v>
      </c>
      <c r="AD132" s="139">
        <f>IF(Data_Override!W132="",Data!W132,Data_Override!W132)</f>
        <v>0</v>
      </c>
    </row>
    <row r="133" spans="1:30" hidden="1" x14ac:dyDescent="0.2">
      <c r="A133" s="138" t="str">
        <f>B133&amp;RIGHT(C133,2)</f>
        <v>WSX16</v>
      </c>
      <c r="B133" s="19" t="s">
        <v>33</v>
      </c>
      <c r="C133" s="143" t="s">
        <v>68</v>
      </c>
      <c r="D133" s="19" t="str">
        <f t="shared" si="34"/>
        <v>16</v>
      </c>
      <c r="E133" s="139">
        <f>IF(Data_Override!D133="",Data!D133,Data_Override!D133)</f>
        <v>0</v>
      </c>
      <c r="F133" s="139">
        <f>IF(Data_Override!E133="",Data!E133,Data_Override!E133)</f>
        <v>0</v>
      </c>
      <c r="G133" s="139">
        <f>IF(Data_Override!F133="",Data!F133,Data_Override!F133)</f>
        <v>0</v>
      </c>
      <c r="H133" s="139">
        <f>IF(Data_Override!G133="",Data!G133,Data_Override!G133)</f>
        <v>0</v>
      </c>
      <c r="I133" s="140">
        <f t="shared" si="35"/>
        <v>0</v>
      </c>
      <c r="J133" s="140">
        <f t="shared" si="36"/>
        <v>0</v>
      </c>
      <c r="L133" s="139">
        <f>IF(Data_Override!I133="",Data!I133,Data_Override!I133)</f>
        <v>0</v>
      </c>
      <c r="M133" s="139">
        <f>IF(Data_Override!J133="",Data!J133,Data_Override!J133)</f>
        <v>0</v>
      </c>
      <c r="N133" s="139">
        <f>IF(Data_Override!K133="",Data!K133,Data_Override!K133)</f>
        <v>0</v>
      </c>
      <c r="O133" s="139">
        <f>IF(Data_Override!L133="",Data!L133,Data_Override!L133)</f>
        <v>0</v>
      </c>
      <c r="P133" s="140">
        <f t="shared" si="39"/>
        <v>0</v>
      </c>
      <c r="Q133" s="140">
        <f t="shared" si="40"/>
        <v>0</v>
      </c>
      <c r="S133" s="139">
        <f>IF(Data_Override!N133="",Data!N133,Data_Override!N133)</f>
        <v>161.797675540765</v>
      </c>
      <c r="U133" s="139">
        <f>IF(Data_Override!P133="",Data!P133,Data_Override!P133)</f>
        <v>0</v>
      </c>
      <c r="V133" s="139">
        <f>IF(Data_Override!Q133="",Data!Q133,Data_Override!Q133)</f>
        <v>0</v>
      </c>
      <c r="W133" s="139">
        <f>IF(Data_Override!R133="",Data!R133,Data_Override!R133)</f>
        <v>0</v>
      </c>
      <c r="X133" s="139">
        <f>IF(Data_Override!S133="",Data!S133,Data_Override!S133)</f>
        <v>0</v>
      </c>
      <c r="Y133" s="140">
        <f t="shared" si="37"/>
        <v>0</v>
      </c>
      <c r="Z133" s="140">
        <f t="shared" si="38"/>
        <v>0</v>
      </c>
      <c r="AB133" s="139">
        <f>IF(Data_Override!U133="",Data!U133,Data_Override!U133)</f>
        <v>0</v>
      </c>
      <c r="AC133" s="139">
        <f>IF(Data_Override!V133="",Data!V133,Data_Override!V133)</f>
        <v>0</v>
      </c>
      <c r="AD133" s="139">
        <f>IF(Data_Override!W133="",Data!W133,Data_Override!W133)</f>
        <v>0</v>
      </c>
    </row>
    <row r="134" spans="1:30" hidden="1" x14ac:dyDescent="0.2">
      <c r="A134" s="138" t="str">
        <f>B134&amp;RIGHT(C134,2)</f>
        <v>WSX17</v>
      </c>
      <c r="B134" s="19" t="s">
        <v>33</v>
      </c>
      <c r="C134" s="143" t="s">
        <v>69</v>
      </c>
      <c r="D134" s="19" t="str">
        <f t="shared" si="34"/>
        <v>17</v>
      </c>
      <c r="E134" s="139">
        <f>IF(Data_Override!D134="",Data!D134,Data_Override!D134)</f>
        <v>0</v>
      </c>
      <c r="F134" s="139">
        <f>IF(Data_Override!E134="",Data!E134,Data_Override!E134)</f>
        <v>0</v>
      </c>
      <c r="G134" s="139">
        <f>IF(Data_Override!F134="",Data!F134,Data_Override!F134)</f>
        <v>0</v>
      </c>
      <c r="H134" s="139">
        <f>IF(Data_Override!G134="",Data!G134,Data_Override!G134)</f>
        <v>0</v>
      </c>
      <c r="I134" s="140">
        <f t="shared" si="35"/>
        <v>0</v>
      </c>
      <c r="J134" s="140">
        <f t="shared" si="36"/>
        <v>0</v>
      </c>
      <c r="L134" s="139">
        <f>IF(Data_Override!I134="",Data!I134,Data_Override!I134)</f>
        <v>0</v>
      </c>
      <c r="M134" s="139">
        <f>IF(Data_Override!J134="",Data!J134,Data_Override!J134)</f>
        <v>0</v>
      </c>
      <c r="N134" s="139">
        <f>IF(Data_Override!K134="",Data!K134,Data_Override!K134)</f>
        <v>0</v>
      </c>
      <c r="O134" s="139">
        <f>IF(Data_Override!L134="",Data!L134,Data_Override!L134)</f>
        <v>0</v>
      </c>
      <c r="P134" s="140">
        <f t="shared" si="39"/>
        <v>0</v>
      </c>
      <c r="Q134" s="140">
        <f t="shared" si="40"/>
        <v>0</v>
      </c>
      <c r="S134" s="139">
        <f>IF(Data_Override!N134="",Data!N134,Data_Override!N134)</f>
        <v>157.54378334017201</v>
      </c>
      <c r="U134" s="139">
        <f>IF(Data_Override!P134="",Data!P134,Data_Override!P134)</f>
        <v>0</v>
      </c>
      <c r="V134" s="139">
        <f>IF(Data_Override!Q134="",Data!Q134,Data_Override!Q134)</f>
        <v>0</v>
      </c>
      <c r="W134" s="139">
        <f>IF(Data_Override!R134="",Data!R134,Data_Override!R134)</f>
        <v>0</v>
      </c>
      <c r="X134" s="139">
        <f>IF(Data_Override!S134="",Data!S134,Data_Override!S134)</f>
        <v>0</v>
      </c>
      <c r="Y134" s="140">
        <f t="shared" si="37"/>
        <v>0</v>
      </c>
      <c r="Z134" s="140">
        <f t="shared" si="38"/>
        <v>0</v>
      </c>
      <c r="AB134" s="139">
        <f>IF(Data_Override!U134="",Data!U134,Data_Override!U134)</f>
        <v>0</v>
      </c>
      <c r="AC134" s="139">
        <f>IF(Data_Override!V134="",Data!V134,Data_Override!V134)</f>
        <v>0</v>
      </c>
      <c r="AD134" s="139">
        <f>IF(Data_Override!W134="",Data!W134,Data_Override!W134)</f>
        <v>0</v>
      </c>
    </row>
    <row r="135" spans="1:30" hidden="1" x14ac:dyDescent="0.2">
      <c r="A135" s="141" t="s">
        <v>206</v>
      </c>
      <c r="B135" s="142" t="s">
        <v>33</v>
      </c>
      <c r="C135" s="142" t="s">
        <v>70</v>
      </c>
      <c r="D135" s="19" t="str">
        <f t="shared" si="34"/>
        <v>18</v>
      </c>
      <c r="E135" s="139">
        <f>IF(Data_Override!D135="",Data!D135,Data_Override!D135)</f>
        <v>0</v>
      </c>
      <c r="F135" s="139">
        <f>IF(Data_Override!E135="",Data!E135,Data_Override!E135)</f>
        <v>0</v>
      </c>
      <c r="G135" s="139">
        <f>IF(Data_Override!F135="",Data!F135,Data_Override!F135)</f>
        <v>-2.04749999999694E-6</v>
      </c>
      <c r="H135" s="139">
        <f>IF(Data_Override!G135="",Data!G135,Data_Override!G135)</f>
        <v>5.7547500000000003E-3</v>
      </c>
      <c r="I135" s="140">
        <f t="shared" si="35"/>
        <v>0</v>
      </c>
      <c r="J135" s="140">
        <f t="shared" si="36"/>
        <v>5.7527025000000034E-3</v>
      </c>
      <c r="L135" s="139">
        <f>IF(Data_Override!I135="",Data!I135,Data_Override!I135)</f>
        <v>0</v>
      </c>
      <c r="M135" s="139">
        <f>IF(Data_Override!J135="",Data!J135,Data_Override!J135)</f>
        <v>0</v>
      </c>
      <c r="N135" s="139">
        <f>IF(Data_Override!K135="",Data!K135,Data_Override!K135)</f>
        <v>0</v>
      </c>
      <c r="O135" s="139">
        <f>IF(Data_Override!L135="",Data!L135,Data_Override!L135)</f>
        <v>0</v>
      </c>
      <c r="P135" s="140">
        <f t="shared" si="39"/>
        <v>0</v>
      </c>
      <c r="Q135" s="140">
        <f t="shared" si="40"/>
        <v>0</v>
      </c>
      <c r="S135" s="139">
        <f>IF(Data_Override!N135="",Data!N135,Data_Override!N135)</f>
        <v>135.18250211091799</v>
      </c>
      <c r="U135" s="139">
        <f>IF(Data_Override!P135="",Data!P135,Data_Override!P135)</f>
        <v>0</v>
      </c>
      <c r="V135" s="139">
        <f>IF(Data_Override!Q135="",Data!Q135,Data_Override!Q135)</f>
        <v>0</v>
      </c>
      <c r="W135" s="139">
        <f>IF(Data_Override!R135="",Data!R135,Data_Override!R135)</f>
        <v>2.34</v>
      </c>
      <c r="X135" s="139">
        <f>IF(Data_Override!S135="",Data!S135,Data_Override!S135)</f>
        <v>2.34</v>
      </c>
      <c r="Y135" s="140">
        <f t="shared" si="37"/>
        <v>0</v>
      </c>
      <c r="Z135" s="140">
        <f t="shared" si="38"/>
        <v>2.34</v>
      </c>
      <c r="AB135" s="139">
        <f>IF(Data_Override!U135="",Data!U135,Data_Override!U135)</f>
        <v>79.66</v>
      </c>
      <c r="AC135" s="139">
        <f>IF(Data_Override!V135="",Data!V135,Data_Override!V135)</f>
        <v>11935.02</v>
      </c>
      <c r="AD135" s="139">
        <f>IF(Data_Override!W135="",Data!W135,Data_Override!W135)</f>
        <v>615.40800000000002</v>
      </c>
    </row>
    <row r="136" spans="1:30" hidden="1" x14ac:dyDescent="0.2">
      <c r="A136" s="141" t="s">
        <v>207</v>
      </c>
      <c r="B136" s="142" t="s">
        <v>33</v>
      </c>
      <c r="C136" s="142" t="s">
        <v>71</v>
      </c>
      <c r="D136" s="19" t="str">
        <f t="shared" si="34"/>
        <v>19</v>
      </c>
      <c r="E136" s="139">
        <f>IF(Data_Override!D136="",Data!D136,Data_Override!D136)</f>
        <v>0</v>
      </c>
      <c r="F136" s="139">
        <f>IF(Data_Override!E136="",Data!E136,Data_Override!E136)</f>
        <v>0</v>
      </c>
      <c r="G136" s="139">
        <f>IF(Data_Override!F136="",Data!F136,Data_Override!F136)</f>
        <v>0</v>
      </c>
      <c r="H136" s="139">
        <f>IF(Data_Override!G136="",Data!G136,Data_Override!G136)</f>
        <v>5.7309919974745403E-2</v>
      </c>
      <c r="I136" s="140">
        <f t="shared" si="35"/>
        <v>0</v>
      </c>
      <c r="J136" s="140">
        <f t="shared" si="36"/>
        <v>5.7309919974745403E-2</v>
      </c>
      <c r="L136" s="139">
        <f>IF(Data_Override!I136="",Data!I136,Data_Override!I136)</f>
        <v>0</v>
      </c>
      <c r="M136" s="139">
        <f>IF(Data_Override!J136="",Data!J136,Data_Override!J136)</f>
        <v>0</v>
      </c>
      <c r="N136" s="139">
        <f>IF(Data_Override!K136="",Data!K136,Data_Override!K136)</f>
        <v>0</v>
      </c>
      <c r="O136" s="139">
        <f>IF(Data_Override!L136="",Data!L136,Data_Override!L136)</f>
        <v>0</v>
      </c>
      <c r="P136" s="140">
        <f t="shared" si="39"/>
        <v>0</v>
      </c>
      <c r="Q136" s="140">
        <f t="shared" si="40"/>
        <v>0</v>
      </c>
      <c r="S136" s="139">
        <f>IF(Data_Override!N136="",Data!N136,Data_Override!N136)</f>
        <v>135.547767820351</v>
      </c>
      <c r="U136" s="139">
        <f>IF(Data_Override!P136="",Data!P136,Data_Override!P136)</f>
        <v>0</v>
      </c>
      <c r="V136" s="139">
        <f>IF(Data_Override!Q136="",Data!Q136,Data_Override!Q136)</f>
        <v>0</v>
      </c>
      <c r="W136" s="139">
        <f>IF(Data_Override!R136="",Data!R136,Data_Override!R136)</f>
        <v>2.36</v>
      </c>
      <c r="X136" s="139">
        <f>IF(Data_Override!S136="",Data!S136,Data_Override!S136)</f>
        <v>2.24620857793726</v>
      </c>
      <c r="Y136" s="140">
        <f t="shared" si="37"/>
        <v>0</v>
      </c>
      <c r="Z136" s="140">
        <f t="shared" si="38"/>
        <v>2.36</v>
      </c>
      <c r="AB136" s="139">
        <f>IF(Data_Override!U136="",Data!U136,Data_Override!U136)</f>
        <v>78.889652999999996</v>
      </c>
      <c r="AC136" s="139">
        <f>IF(Data_Override!V136="",Data!V136,Data_Override!V136)</f>
        <v>11980.016100000001</v>
      </c>
      <c r="AD136" s="139">
        <f>IF(Data_Override!W136="",Data!W136,Data_Override!W136)</f>
        <v>623.31399999999996</v>
      </c>
    </row>
    <row r="137" spans="1:30" hidden="1" x14ac:dyDescent="0.2">
      <c r="A137" s="141" t="s">
        <v>208</v>
      </c>
      <c r="B137" s="142" t="s">
        <v>33</v>
      </c>
      <c r="C137" s="142" t="s">
        <v>72</v>
      </c>
      <c r="D137" s="19" t="str">
        <f t="shared" si="34"/>
        <v>20</v>
      </c>
      <c r="E137" s="139">
        <f>IF(Data_Override!D137="",Data!D137,Data_Override!D137)</f>
        <v>0</v>
      </c>
      <c r="F137" s="139">
        <f>IF(Data_Override!E137="",Data!E137,Data_Override!E137)</f>
        <v>0</v>
      </c>
      <c r="G137" s="139">
        <f>IF(Data_Override!F137="",Data!F137,Data_Override!F137)</f>
        <v>0</v>
      </c>
      <c r="H137" s="139">
        <f>IF(Data_Override!G137="",Data!G137,Data_Override!G137)</f>
        <v>5.59954553173918E-2</v>
      </c>
      <c r="I137" s="140">
        <f t="shared" si="35"/>
        <v>0</v>
      </c>
      <c r="J137" s="140">
        <f t="shared" si="36"/>
        <v>5.59954553173918E-2</v>
      </c>
      <c r="L137" s="139">
        <f>IF(Data_Override!I137="",Data!I137,Data_Override!I137)</f>
        <v>0</v>
      </c>
      <c r="M137" s="139">
        <f>IF(Data_Override!J137="",Data!J137,Data_Override!J137)</f>
        <v>0</v>
      </c>
      <c r="N137" s="139">
        <f>IF(Data_Override!K137="",Data!K137,Data_Override!K137)</f>
        <v>0</v>
      </c>
      <c r="O137" s="139">
        <f>IF(Data_Override!L137="",Data!L137,Data_Override!L137)</f>
        <v>0</v>
      </c>
      <c r="P137" s="140">
        <f t="shared" si="39"/>
        <v>0</v>
      </c>
      <c r="Q137" s="140">
        <f t="shared" si="40"/>
        <v>0</v>
      </c>
      <c r="S137" s="139">
        <f>IF(Data_Override!N137="",Data!N137,Data_Override!N137)</f>
        <v>145.638681570416</v>
      </c>
      <c r="U137" s="139">
        <f>IF(Data_Override!P137="",Data!P137,Data_Override!P137)</f>
        <v>0</v>
      </c>
      <c r="V137" s="139">
        <f>IF(Data_Override!Q137="",Data!Q137,Data_Override!Q137)</f>
        <v>0</v>
      </c>
      <c r="W137" s="139">
        <f>IF(Data_Override!R137="",Data!R137,Data_Override!R137)</f>
        <v>2.0499999999999998</v>
      </c>
      <c r="X137" s="139">
        <f>IF(Data_Override!S137="",Data!S137,Data_Override!S137)</f>
        <v>1.94964577527981</v>
      </c>
      <c r="Y137" s="140">
        <f t="shared" si="37"/>
        <v>0</v>
      </c>
      <c r="Z137" s="140">
        <f t="shared" si="38"/>
        <v>2.0499999999999998</v>
      </c>
      <c r="AB137" s="139">
        <f>IF(Data_Override!U137="",Data!U137,Data_Override!U137)</f>
        <v>78.157700000000006</v>
      </c>
      <c r="AC137" s="139">
        <f>IF(Data_Override!V137="",Data!V137,Data_Override!V137)</f>
        <v>12025.016100000001</v>
      </c>
      <c r="AD137" s="139">
        <f>IF(Data_Override!W137="",Data!W137,Data_Override!W137)</f>
        <v>629.67100000000005</v>
      </c>
    </row>
    <row r="138" spans="1:30" x14ac:dyDescent="0.2">
      <c r="A138" s="141" t="s">
        <v>209</v>
      </c>
      <c r="B138" s="142" t="s">
        <v>33</v>
      </c>
      <c r="C138" s="142" t="s">
        <v>73</v>
      </c>
      <c r="D138" s="19" t="str">
        <f t="shared" si="34"/>
        <v>21</v>
      </c>
      <c r="E138" s="139">
        <f>IF(Data_Override!D138="",Data!D138,Data_Override!D138)</f>
        <v>0</v>
      </c>
      <c r="F138" s="139">
        <f>IF(Data_Override!E138="",Data!E138,Data_Override!E138)</f>
        <v>3.9696923076923101</v>
      </c>
      <c r="G138" s="139">
        <f>IF(Data_Override!F138="",Data!F138,Data_Override!F138)</f>
        <v>0</v>
      </c>
      <c r="H138" s="139">
        <f>IF(Data_Override!G138="",Data!G138,Data_Override!G138)</f>
        <v>0.57011538461538502</v>
      </c>
      <c r="I138" s="140">
        <f t="shared" si="35"/>
        <v>3.9696923076923101</v>
      </c>
      <c r="J138" s="140">
        <f t="shared" si="36"/>
        <v>0.57011538461538502</v>
      </c>
      <c r="L138" s="139">
        <f>IF(Data_Override!I138="",Data!I138,Data_Override!I138)</f>
        <v>0</v>
      </c>
      <c r="M138" s="139">
        <f>IF(Data_Override!J138="",Data!J138,Data_Override!J138)</f>
        <v>0.37</v>
      </c>
      <c r="N138" s="139">
        <f>IF(Data_Override!K138="",Data!K138,Data_Override!K138)</f>
        <v>0</v>
      </c>
      <c r="O138" s="139">
        <f>IF(Data_Override!L138="",Data!L138,Data_Override!L138)</f>
        <v>0</v>
      </c>
      <c r="P138" s="140">
        <f t="shared" si="39"/>
        <v>0.37</v>
      </c>
      <c r="Q138" s="140">
        <f t="shared" si="40"/>
        <v>0</v>
      </c>
      <c r="S138" s="139">
        <f>IF(Data_Override!N138="",Data!N138,Data_Override!N138)</f>
        <v>134.26551401578601</v>
      </c>
      <c r="U138" s="139">
        <f>IF(Data_Override!P138="",Data!P138,Data_Override!P138)</f>
        <v>0</v>
      </c>
      <c r="V138" s="139">
        <f>IF(Data_Override!Q138="",Data!Q138,Data_Override!Q138)</f>
        <v>0</v>
      </c>
      <c r="W138" s="139">
        <f>IF(Data_Override!R138="",Data!R138,Data_Override!R138)</f>
        <v>3.87</v>
      </c>
      <c r="X138" s="139">
        <f>IF(Data_Override!S138="",Data!S138,Data_Override!S138)</f>
        <v>3.7785389810872601</v>
      </c>
      <c r="Y138" s="140">
        <f t="shared" si="37"/>
        <v>0</v>
      </c>
      <c r="Z138" s="140">
        <f t="shared" si="38"/>
        <v>3.87</v>
      </c>
      <c r="AB138" s="139">
        <f>IF(Data_Override!U138="",Data!U138,Data_Override!U138)</f>
        <v>75.812968999999995</v>
      </c>
      <c r="AC138" s="139">
        <f>IF(Data_Override!V138="",Data!V138,Data_Override!V138)</f>
        <v>12070.016100000001</v>
      </c>
      <c r="AD138" s="139">
        <f>IF(Data_Override!W138="",Data!W138,Data_Override!W138)</f>
        <v>636.07500000000005</v>
      </c>
    </row>
    <row r="139" spans="1:30" x14ac:dyDescent="0.2">
      <c r="A139" s="141" t="s">
        <v>210</v>
      </c>
      <c r="B139" s="142" t="s">
        <v>33</v>
      </c>
      <c r="C139" s="142" t="s">
        <v>74</v>
      </c>
      <c r="D139" s="19" t="str">
        <f t="shared" si="34"/>
        <v>22</v>
      </c>
      <c r="E139" s="139">
        <f>IF(Data_Override!D139="",Data!D139,Data_Override!D139)</f>
        <v>0</v>
      </c>
      <c r="F139" s="139">
        <f>IF(Data_Override!E139="",Data!E139,Data_Override!E139)</f>
        <v>3.9696923076923101</v>
      </c>
      <c r="G139" s="139">
        <f>IF(Data_Override!F139="",Data!F139,Data_Override!F139)</f>
        <v>0</v>
      </c>
      <c r="H139" s="139">
        <f>IF(Data_Override!G139="",Data!G139,Data_Override!G139)</f>
        <v>0.57011538461538502</v>
      </c>
      <c r="I139" s="140">
        <f t="shared" si="35"/>
        <v>3.9696923076923101</v>
      </c>
      <c r="J139" s="140">
        <f t="shared" si="36"/>
        <v>0.57011538461538502</v>
      </c>
      <c r="L139" s="139">
        <f>IF(Data_Override!I139="",Data!I139,Data_Override!I139)</f>
        <v>0</v>
      </c>
      <c r="M139" s="139">
        <f>IF(Data_Override!J139="",Data!J139,Data_Override!J139)</f>
        <v>0.73</v>
      </c>
      <c r="N139" s="139">
        <f>IF(Data_Override!K139="",Data!K139,Data_Override!K139)</f>
        <v>0</v>
      </c>
      <c r="O139" s="139">
        <f>IF(Data_Override!L139="",Data!L139,Data_Override!L139)</f>
        <v>0</v>
      </c>
      <c r="P139" s="140">
        <f t="shared" si="39"/>
        <v>0.73</v>
      </c>
      <c r="Q139" s="140">
        <f t="shared" si="40"/>
        <v>0</v>
      </c>
      <c r="S139" s="139">
        <f>IF(Data_Override!N139="",Data!N139,Data_Override!N139)</f>
        <v>125.598794060228</v>
      </c>
      <c r="U139" s="139">
        <f>IF(Data_Override!P139="",Data!P139,Data_Override!P139)</f>
        <v>0</v>
      </c>
      <c r="V139" s="139">
        <f>IF(Data_Override!Q139="",Data!Q139,Data_Override!Q139)</f>
        <v>0</v>
      </c>
      <c r="W139" s="139">
        <f>IF(Data_Override!R139="",Data!R139,Data_Override!R139)</f>
        <v>3.83</v>
      </c>
      <c r="X139" s="139">
        <f>IF(Data_Override!S139="",Data!S139,Data_Override!S139)</f>
        <v>3.74200631040204</v>
      </c>
      <c r="Y139" s="140">
        <f t="shared" si="37"/>
        <v>0</v>
      </c>
      <c r="Z139" s="140">
        <f t="shared" si="38"/>
        <v>3.83</v>
      </c>
      <c r="AB139" s="139">
        <f>IF(Data_Override!U139="",Data!U139,Data_Override!U139)</f>
        <v>73.468237999999999</v>
      </c>
      <c r="AC139" s="139">
        <f>IF(Data_Override!V139="",Data!V139,Data_Override!V139)</f>
        <v>12115.016100000001</v>
      </c>
      <c r="AD139" s="139">
        <f>IF(Data_Override!W139="",Data!W139,Data_Override!W139)</f>
        <v>642.428</v>
      </c>
    </row>
    <row r="140" spans="1:30" x14ac:dyDescent="0.2">
      <c r="A140" s="141" t="s">
        <v>211</v>
      </c>
      <c r="B140" s="142" t="s">
        <v>33</v>
      </c>
      <c r="C140" s="142" t="s">
        <v>75</v>
      </c>
      <c r="D140" s="19" t="str">
        <f t="shared" si="34"/>
        <v>23</v>
      </c>
      <c r="E140" s="139">
        <f>IF(Data_Override!D140="",Data!D140,Data_Override!D140)</f>
        <v>0</v>
      </c>
      <c r="F140" s="139">
        <f>IF(Data_Override!E140="",Data!E140,Data_Override!E140)</f>
        <v>3.9696923076923101</v>
      </c>
      <c r="G140" s="139">
        <f>IF(Data_Override!F140="",Data!F140,Data_Override!F140)</f>
        <v>0</v>
      </c>
      <c r="H140" s="139">
        <f>IF(Data_Override!G140="",Data!G140,Data_Override!G140)</f>
        <v>0.57011538461538502</v>
      </c>
      <c r="I140" s="140">
        <f t="shared" si="35"/>
        <v>3.9696923076923101</v>
      </c>
      <c r="J140" s="140">
        <f t="shared" si="36"/>
        <v>0.57011538461538502</v>
      </c>
      <c r="L140" s="139">
        <f>IF(Data_Override!I140="",Data!I140,Data_Override!I140)</f>
        <v>0</v>
      </c>
      <c r="M140" s="139">
        <f>IF(Data_Override!J140="",Data!J140,Data_Override!J140)</f>
        <v>1.1000000000000001</v>
      </c>
      <c r="N140" s="139">
        <f>IF(Data_Override!K140="",Data!K140,Data_Override!K140)</f>
        <v>0</v>
      </c>
      <c r="O140" s="139">
        <f>IF(Data_Override!L140="",Data!L140,Data_Override!L140)</f>
        <v>0</v>
      </c>
      <c r="P140" s="140">
        <f t="shared" si="39"/>
        <v>1.1000000000000001</v>
      </c>
      <c r="Q140" s="140">
        <f t="shared" si="40"/>
        <v>0</v>
      </c>
      <c r="S140" s="139">
        <f>IF(Data_Override!N140="",Data!N140,Data_Override!N140)</f>
        <v>144.289496667121</v>
      </c>
      <c r="U140" s="139">
        <f>IF(Data_Override!P140="",Data!P140,Data_Override!P140)</f>
        <v>0</v>
      </c>
      <c r="V140" s="139">
        <f>IF(Data_Override!Q140="",Data!Q140,Data_Override!Q140)</f>
        <v>0</v>
      </c>
      <c r="W140" s="139">
        <f>IF(Data_Override!R140="",Data!R140,Data_Override!R140)</f>
        <v>3.79</v>
      </c>
      <c r="X140" s="139">
        <f>IF(Data_Override!S140="",Data!S140,Data_Override!S140)</f>
        <v>3.7093468755556702</v>
      </c>
      <c r="Y140" s="140">
        <f t="shared" si="37"/>
        <v>0</v>
      </c>
      <c r="Z140" s="140">
        <f t="shared" si="38"/>
        <v>3.79</v>
      </c>
      <c r="AB140" s="139">
        <f>IF(Data_Override!U140="",Data!U140,Data_Override!U140)</f>
        <v>71.123507000000004</v>
      </c>
      <c r="AC140" s="139">
        <f>IF(Data_Override!V140="",Data!V140,Data_Override!V140)</f>
        <v>12160.016100000001</v>
      </c>
      <c r="AD140" s="139">
        <f>IF(Data_Override!W140="",Data!W140,Data_Override!W140)</f>
        <v>648.55999999999995</v>
      </c>
    </row>
    <row r="141" spans="1:30" x14ac:dyDescent="0.2">
      <c r="A141" s="141" t="s">
        <v>212</v>
      </c>
      <c r="B141" s="142" t="s">
        <v>33</v>
      </c>
      <c r="C141" s="142" t="s">
        <v>76</v>
      </c>
      <c r="D141" s="19" t="str">
        <f t="shared" si="34"/>
        <v>24</v>
      </c>
      <c r="E141" s="139">
        <f>IF(Data_Override!D141="",Data!D141,Data_Override!D141)</f>
        <v>0</v>
      </c>
      <c r="F141" s="139">
        <f>IF(Data_Override!E141="",Data!E141,Data_Override!E141)</f>
        <v>3.9696923076923101</v>
      </c>
      <c r="G141" s="139">
        <f>IF(Data_Override!F141="",Data!F141,Data_Override!F141)</f>
        <v>0</v>
      </c>
      <c r="H141" s="139">
        <f>IF(Data_Override!G141="",Data!G141,Data_Override!G141)</f>
        <v>0.57011538461538502</v>
      </c>
      <c r="I141" s="140">
        <f t="shared" si="35"/>
        <v>3.9696923076923101</v>
      </c>
      <c r="J141" s="140">
        <f t="shared" si="36"/>
        <v>0.57011538461538502</v>
      </c>
      <c r="L141" s="139">
        <f>IF(Data_Override!I141="",Data!I141,Data_Override!I141)</f>
        <v>0</v>
      </c>
      <c r="M141" s="139">
        <f>IF(Data_Override!J141="",Data!J141,Data_Override!J141)</f>
        <v>1.46</v>
      </c>
      <c r="N141" s="139">
        <f>IF(Data_Override!K141="",Data!K141,Data_Override!K141)</f>
        <v>0</v>
      </c>
      <c r="O141" s="139">
        <f>IF(Data_Override!L141="",Data!L141,Data_Override!L141)</f>
        <v>0</v>
      </c>
      <c r="P141" s="140">
        <f t="shared" si="39"/>
        <v>1.46</v>
      </c>
      <c r="Q141" s="140">
        <f t="shared" si="40"/>
        <v>0</v>
      </c>
      <c r="S141" s="139">
        <f>IF(Data_Override!N141="",Data!N141,Data_Override!N141)</f>
        <v>125.344844223275</v>
      </c>
      <c r="U141" s="139">
        <f>IF(Data_Override!P141="",Data!P141,Data_Override!P141)</f>
        <v>0</v>
      </c>
      <c r="V141" s="139">
        <f>IF(Data_Override!Q141="",Data!Q141,Data_Override!Q141)</f>
        <v>0</v>
      </c>
      <c r="W141" s="139">
        <f>IF(Data_Override!R141="",Data!R141,Data_Override!R141)</f>
        <v>3.75</v>
      </c>
      <c r="X141" s="139">
        <f>IF(Data_Override!S141="",Data!S141,Data_Override!S141)</f>
        <v>3.68017595911394</v>
      </c>
      <c r="Y141" s="140">
        <f t="shared" si="37"/>
        <v>0</v>
      </c>
      <c r="Z141" s="140">
        <f t="shared" si="38"/>
        <v>3.75</v>
      </c>
      <c r="AB141" s="139">
        <f>IF(Data_Override!U141="",Data!U141,Data_Override!U141)</f>
        <v>68.778775999999993</v>
      </c>
      <c r="AC141" s="139">
        <f>IF(Data_Override!V141="",Data!V141,Data_Override!V141)</f>
        <v>12205.016100000001</v>
      </c>
      <c r="AD141" s="139">
        <f>IF(Data_Override!W141="",Data!W141,Data_Override!W141)</f>
        <v>654.46699999999998</v>
      </c>
    </row>
    <row r="142" spans="1:30" x14ac:dyDescent="0.2">
      <c r="A142" s="141" t="s">
        <v>213</v>
      </c>
      <c r="B142" s="142" t="s">
        <v>33</v>
      </c>
      <c r="C142" s="142" t="s">
        <v>24</v>
      </c>
      <c r="D142" s="19" t="str">
        <f t="shared" si="34"/>
        <v>25</v>
      </c>
      <c r="E142" s="139">
        <f>IF(Data_Override!D142="",Data!D142,Data_Override!D142)</f>
        <v>0</v>
      </c>
      <c r="F142" s="139">
        <f>IF(Data_Override!E142="",Data!E142,Data_Override!E142)</f>
        <v>3.9696923076923101</v>
      </c>
      <c r="G142" s="139">
        <f>IF(Data_Override!F142="",Data!F142,Data_Override!F142)</f>
        <v>0</v>
      </c>
      <c r="H142" s="139">
        <f>IF(Data_Override!G142="",Data!G142,Data_Override!G142)</f>
        <v>0.57011538461538502</v>
      </c>
      <c r="I142" s="140">
        <f t="shared" si="35"/>
        <v>3.9696923076923101</v>
      </c>
      <c r="J142" s="140">
        <f t="shared" si="36"/>
        <v>0.57011538461538502</v>
      </c>
      <c r="L142" s="139">
        <f>IF(Data_Override!I142="",Data!I142,Data_Override!I142)</f>
        <v>0</v>
      </c>
      <c r="M142" s="139">
        <f>IF(Data_Override!J142="",Data!J142,Data_Override!J142)</f>
        <v>1.83</v>
      </c>
      <c r="N142" s="139">
        <f>IF(Data_Override!K142="",Data!K142,Data_Override!K142)</f>
        <v>0</v>
      </c>
      <c r="O142" s="139">
        <f>IF(Data_Override!L142="",Data!L142,Data_Override!L142)</f>
        <v>0</v>
      </c>
      <c r="P142" s="140">
        <f t="shared" si="39"/>
        <v>1.83</v>
      </c>
      <c r="Q142" s="140">
        <f t="shared" si="40"/>
        <v>0</v>
      </c>
      <c r="S142" s="139">
        <f>IF(Data_Override!N142="",Data!N142,Data_Override!N142)</f>
        <v>120.554308843439</v>
      </c>
      <c r="U142" s="139">
        <f>IF(Data_Override!P142="",Data!P142,Data_Override!P142)</f>
        <v>0</v>
      </c>
      <c r="V142" s="139">
        <f>IF(Data_Override!Q142="",Data!Q142,Data_Override!Q142)</f>
        <v>0</v>
      </c>
      <c r="W142" s="139">
        <f>IF(Data_Override!R142="",Data!R142,Data_Override!R142)</f>
        <v>3.72</v>
      </c>
      <c r="X142" s="139">
        <f>IF(Data_Override!S142="",Data!S142,Data_Override!S142)</f>
        <v>3.65421825773138</v>
      </c>
      <c r="Y142" s="140">
        <f t="shared" si="37"/>
        <v>0</v>
      </c>
      <c r="Z142" s="140">
        <f t="shared" si="38"/>
        <v>3.72</v>
      </c>
      <c r="AB142" s="139">
        <f>IF(Data_Override!U142="",Data!U142,Data_Override!U142)</f>
        <v>66.434044999999998</v>
      </c>
      <c r="AC142" s="139">
        <f>IF(Data_Override!V142="",Data!V142,Data_Override!V142)</f>
        <v>12250.016100000001</v>
      </c>
      <c r="AD142" s="139">
        <f>IF(Data_Override!W142="",Data!W142,Data_Override!W142)</f>
        <v>660.20299999999997</v>
      </c>
    </row>
    <row r="143" spans="1:30" hidden="1" x14ac:dyDescent="0.2">
      <c r="A143" s="138" t="str">
        <f t="shared" ref="A143" si="42">B143&amp;RIGHT(C143,2)</f>
        <v>YKY12</v>
      </c>
      <c r="B143" s="19" t="s">
        <v>34</v>
      </c>
      <c r="C143" s="143" t="s">
        <v>64</v>
      </c>
      <c r="D143" s="19" t="str">
        <f t="shared" si="34"/>
        <v>12</v>
      </c>
      <c r="E143" s="139">
        <f>IF(Data_Override!D143="",Data!D143,Data_Override!D143)</f>
        <v>0</v>
      </c>
      <c r="F143" s="139">
        <f>IF(Data_Override!E143="",Data!E143,Data_Override!E143)</f>
        <v>0</v>
      </c>
      <c r="G143" s="139">
        <f>IF(Data_Override!F143="",Data!F143,Data_Override!F143)</f>
        <v>0</v>
      </c>
      <c r="H143" s="139">
        <f>IF(Data_Override!G143="",Data!G143,Data_Override!G143)</f>
        <v>0</v>
      </c>
      <c r="I143" s="140">
        <f t="shared" si="35"/>
        <v>0</v>
      </c>
      <c r="J143" s="140">
        <f t="shared" si="36"/>
        <v>0</v>
      </c>
      <c r="L143" s="139">
        <f>IF(Data_Override!I143="",Data!I143,Data_Override!I143)</f>
        <v>0</v>
      </c>
      <c r="M143" s="139">
        <f>IF(Data_Override!J143="",Data!J143,Data_Override!J143)</f>
        <v>0</v>
      </c>
      <c r="N143" s="139">
        <f>IF(Data_Override!K143="",Data!K143,Data_Override!K143)</f>
        <v>0</v>
      </c>
      <c r="O143" s="139">
        <f>IF(Data_Override!L143="",Data!L143,Data_Override!L143)</f>
        <v>0</v>
      </c>
      <c r="P143" s="140">
        <f t="shared" si="39"/>
        <v>0</v>
      </c>
      <c r="Q143" s="140">
        <f t="shared" si="40"/>
        <v>0</v>
      </c>
      <c r="S143" s="139">
        <f>IF(Data_Override!N143="",Data!N143,Data_Override!N143)</f>
        <v>390.80341904622702</v>
      </c>
      <c r="U143" s="139">
        <f>IF(Data_Override!P143="",Data!P143,Data_Override!P143)</f>
        <v>0</v>
      </c>
      <c r="V143" s="139">
        <f>IF(Data_Override!Q143="",Data!Q143,Data_Override!Q143)</f>
        <v>0</v>
      </c>
      <c r="W143" s="139">
        <f>IF(Data_Override!R143="",Data!R143,Data_Override!R143)</f>
        <v>0</v>
      </c>
      <c r="X143" s="139">
        <f>IF(Data_Override!S143="",Data!S143,Data_Override!S143)</f>
        <v>0</v>
      </c>
      <c r="Y143" s="140">
        <f t="shared" si="37"/>
        <v>0</v>
      </c>
      <c r="Z143" s="140">
        <f t="shared" si="38"/>
        <v>0</v>
      </c>
      <c r="AB143" s="139">
        <f>IF(Data_Override!U143="",Data!U143,Data_Override!U143)</f>
        <v>0</v>
      </c>
      <c r="AC143" s="139">
        <f>IF(Data_Override!V143="",Data!V143,Data_Override!V143)</f>
        <v>0</v>
      </c>
      <c r="AD143" s="139">
        <f>IF(Data_Override!W143="",Data!W143,Data_Override!W143)</f>
        <v>0</v>
      </c>
    </row>
    <row r="144" spans="1:30" hidden="1" x14ac:dyDescent="0.2">
      <c r="A144" s="138" t="str">
        <f>B144&amp;RIGHT(C144,2)</f>
        <v>YKY13</v>
      </c>
      <c r="B144" s="19" t="s">
        <v>34</v>
      </c>
      <c r="C144" s="143" t="s">
        <v>65</v>
      </c>
      <c r="D144" s="19" t="str">
        <f t="shared" si="34"/>
        <v>13</v>
      </c>
      <c r="E144" s="139">
        <f>IF(Data_Override!D144="",Data!D144,Data_Override!D144)</f>
        <v>0</v>
      </c>
      <c r="F144" s="139">
        <f>IF(Data_Override!E144="",Data!E144,Data_Override!E144)</f>
        <v>0</v>
      </c>
      <c r="G144" s="139">
        <f>IF(Data_Override!F144="",Data!F144,Data_Override!F144)</f>
        <v>0</v>
      </c>
      <c r="H144" s="139">
        <f>IF(Data_Override!G144="",Data!G144,Data_Override!G144)</f>
        <v>0</v>
      </c>
      <c r="I144" s="140">
        <f t="shared" si="35"/>
        <v>0</v>
      </c>
      <c r="J144" s="140">
        <f t="shared" si="36"/>
        <v>0</v>
      </c>
      <c r="L144" s="139">
        <f>IF(Data_Override!I144="",Data!I144,Data_Override!I144)</f>
        <v>0</v>
      </c>
      <c r="M144" s="139">
        <f>IF(Data_Override!J144="",Data!J144,Data_Override!J144)</f>
        <v>0</v>
      </c>
      <c r="N144" s="139">
        <f>IF(Data_Override!K144="",Data!K144,Data_Override!K144)</f>
        <v>0</v>
      </c>
      <c r="O144" s="139">
        <f>IF(Data_Override!L144="",Data!L144,Data_Override!L144)</f>
        <v>0</v>
      </c>
      <c r="P144" s="140">
        <f t="shared" si="39"/>
        <v>0</v>
      </c>
      <c r="Q144" s="140">
        <f t="shared" si="40"/>
        <v>0</v>
      </c>
      <c r="S144" s="139">
        <f>IF(Data_Override!N144="",Data!N144,Data_Override!N144)</f>
        <v>309.47344511474898</v>
      </c>
      <c r="U144" s="139">
        <f>IF(Data_Override!P144="",Data!P144,Data_Override!P144)</f>
        <v>0</v>
      </c>
      <c r="V144" s="139">
        <f>IF(Data_Override!Q144="",Data!Q144,Data_Override!Q144)</f>
        <v>0</v>
      </c>
      <c r="W144" s="139">
        <f>IF(Data_Override!R144="",Data!R144,Data_Override!R144)</f>
        <v>0</v>
      </c>
      <c r="X144" s="139">
        <f>IF(Data_Override!S144="",Data!S144,Data_Override!S144)</f>
        <v>0</v>
      </c>
      <c r="Y144" s="140">
        <f t="shared" si="37"/>
        <v>0</v>
      </c>
      <c r="Z144" s="140">
        <f t="shared" si="38"/>
        <v>0</v>
      </c>
      <c r="AB144" s="139">
        <f>IF(Data_Override!U144="",Data!U144,Data_Override!U144)</f>
        <v>0</v>
      </c>
      <c r="AC144" s="139">
        <f>IF(Data_Override!V144="",Data!V144,Data_Override!V144)</f>
        <v>0</v>
      </c>
      <c r="AD144" s="139">
        <f>IF(Data_Override!W144="",Data!W144,Data_Override!W144)</f>
        <v>0</v>
      </c>
    </row>
    <row r="145" spans="1:30" hidden="1" x14ac:dyDescent="0.2">
      <c r="A145" s="138" t="str">
        <f>B145&amp;RIGHT(C145,2)</f>
        <v>YKY14</v>
      </c>
      <c r="B145" s="19" t="s">
        <v>34</v>
      </c>
      <c r="C145" s="143" t="s">
        <v>66</v>
      </c>
      <c r="D145" s="19" t="str">
        <f t="shared" si="34"/>
        <v>14</v>
      </c>
      <c r="E145" s="139">
        <f>IF(Data_Override!D145="",Data!D145,Data_Override!D145)</f>
        <v>0</v>
      </c>
      <c r="F145" s="139">
        <f>IF(Data_Override!E145="",Data!E145,Data_Override!E145)</f>
        <v>0</v>
      </c>
      <c r="G145" s="139">
        <f>IF(Data_Override!F145="",Data!F145,Data_Override!F145)</f>
        <v>0</v>
      </c>
      <c r="H145" s="139">
        <f>IF(Data_Override!G145="",Data!G145,Data_Override!G145)</f>
        <v>0</v>
      </c>
      <c r="I145" s="140">
        <f t="shared" si="35"/>
        <v>0</v>
      </c>
      <c r="J145" s="140">
        <f t="shared" si="36"/>
        <v>0</v>
      </c>
      <c r="L145" s="139">
        <f>IF(Data_Override!I145="",Data!I145,Data_Override!I145)</f>
        <v>0</v>
      </c>
      <c r="M145" s="139">
        <f>IF(Data_Override!J145="",Data!J145,Data_Override!J145)</f>
        <v>0</v>
      </c>
      <c r="N145" s="139">
        <f>IF(Data_Override!K145="",Data!K145,Data_Override!K145)</f>
        <v>0</v>
      </c>
      <c r="O145" s="139">
        <f>IF(Data_Override!L145="",Data!L145,Data_Override!L145)</f>
        <v>0</v>
      </c>
      <c r="P145" s="140">
        <f t="shared" si="39"/>
        <v>0</v>
      </c>
      <c r="Q145" s="140">
        <f t="shared" si="40"/>
        <v>0</v>
      </c>
      <c r="S145" s="139">
        <f>IF(Data_Override!N145="",Data!N145,Data_Override!N145)</f>
        <v>263.59925564048802</v>
      </c>
      <c r="U145" s="139">
        <f>IF(Data_Override!P145="",Data!P145,Data_Override!P145)</f>
        <v>0</v>
      </c>
      <c r="V145" s="139">
        <f>IF(Data_Override!Q145="",Data!Q145,Data_Override!Q145)</f>
        <v>0</v>
      </c>
      <c r="W145" s="139">
        <f>IF(Data_Override!R145="",Data!R145,Data_Override!R145)</f>
        <v>0</v>
      </c>
      <c r="X145" s="139">
        <f>IF(Data_Override!S145="",Data!S145,Data_Override!S145)</f>
        <v>0</v>
      </c>
      <c r="Y145" s="140">
        <f t="shared" si="37"/>
        <v>0</v>
      </c>
      <c r="Z145" s="140">
        <f t="shared" si="38"/>
        <v>0</v>
      </c>
      <c r="AB145" s="139">
        <f>IF(Data_Override!U145="",Data!U145,Data_Override!U145)</f>
        <v>0</v>
      </c>
      <c r="AC145" s="139">
        <f>IF(Data_Override!V145="",Data!V145,Data_Override!V145)</f>
        <v>0</v>
      </c>
      <c r="AD145" s="139">
        <f>IF(Data_Override!W145="",Data!W145,Data_Override!W145)</f>
        <v>0</v>
      </c>
    </row>
    <row r="146" spans="1:30" hidden="1" x14ac:dyDescent="0.2">
      <c r="A146" s="138" t="str">
        <f>B146&amp;RIGHT(C146,2)</f>
        <v>YKY15</v>
      </c>
      <c r="B146" s="19" t="s">
        <v>34</v>
      </c>
      <c r="C146" s="143" t="s">
        <v>67</v>
      </c>
      <c r="D146" s="19" t="str">
        <f t="shared" si="34"/>
        <v>15</v>
      </c>
      <c r="E146" s="139">
        <f>IF(Data_Override!D146="",Data!D146,Data_Override!D146)</f>
        <v>0</v>
      </c>
      <c r="F146" s="139">
        <f>IF(Data_Override!E146="",Data!E146,Data_Override!E146)</f>
        <v>0</v>
      </c>
      <c r="G146" s="139">
        <f>IF(Data_Override!F146="",Data!F146,Data_Override!F146)</f>
        <v>0</v>
      </c>
      <c r="H146" s="139">
        <f>IF(Data_Override!G146="",Data!G146,Data_Override!G146)</f>
        <v>0</v>
      </c>
      <c r="I146" s="140">
        <f t="shared" si="35"/>
        <v>0</v>
      </c>
      <c r="J146" s="140">
        <f t="shared" si="36"/>
        <v>0</v>
      </c>
      <c r="L146" s="139">
        <f>IF(Data_Override!I146="",Data!I146,Data_Override!I146)</f>
        <v>0</v>
      </c>
      <c r="M146" s="139">
        <f>IF(Data_Override!J146="",Data!J146,Data_Override!J146)</f>
        <v>0</v>
      </c>
      <c r="N146" s="139">
        <f>IF(Data_Override!K146="",Data!K146,Data_Override!K146)</f>
        <v>0</v>
      </c>
      <c r="O146" s="139">
        <f>IF(Data_Override!L146="",Data!L146,Data_Override!L146)</f>
        <v>0</v>
      </c>
      <c r="P146" s="140">
        <f t="shared" si="39"/>
        <v>0</v>
      </c>
      <c r="Q146" s="140">
        <f t="shared" si="40"/>
        <v>0</v>
      </c>
      <c r="S146" s="139">
        <f>IF(Data_Override!N146="",Data!N146,Data_Override!N146)</f>
        <v>271.31832507556197</v>
      </c>
      <c r="U146" s="139">
        <f>IF(Data_Override!P146="",Data!P146,Data_Override!P146)</f>
        <v>0</v>
      </c>
      <c r="V146" s="139">
        <f>IF(Data_Override!Q146="",Data!Q146,Data_Override!Q146)</f>
        <v>0</v>
      </c>
      <c r="W146" s="139">
        <f>IF(Data_Override!R146="",Data!R146,Data_Override!R146)</f>
        <v>0</v>
      </c>
      <c r="X146" s="139">
        <f>IF(Data_Override!S146="",Data!S146,Data_Override!S146)</f>
        <v>0</v>
      </c>
      <c r="Y146" s="140">
        <f t="shared" si="37"/>
        <v>0</v>
      </c>
      <c r="Z146" s="140">
        <f t="shared" si="38"/>
        <v>0</v>
      </c>
      <c r="AB146" s="139">
        <f>IF(Data_Override!U146="",Data!U146,Data_Override!U146)</f>
        <v>0</v>
      </c>
      <c r="AC146" s="139">
        <f>IF(Data_Override!V146="",Data!V146,Data_Override!V146)</f>
        <v>0</v>
      </c>
      <c r="AD146" s="139">
        <f>IF(Data_Override!W146="",Data!W146,Data_Override!W146)</f>
        <v>0</v>
      </c>
    </row>
    <row r="147" spans="1:30" hidden="1" x14ac:dyDescent="0.2">
      <c r="A147" s="138" t="str">
        <f>B147&amp;RIGHT(C147,2)</f>
        <v>YKY16</v>
      </c>
      <c r="B147" s="19" t="s">
        <v>34</v>
      </c>
      <c r="C147" s="143" t="s">
        <v>68</v>
      </c>
      <c r="D147" s="19" t="str">
        <f t="shared" si="34"/>
        <v>16</v>
      </c>
      <c r="E147" s="139">
        <f>IF(Data_Override!D147="",Data!D147,Data_Override!D147)</f>
        <v>0</v>
      </c>
      <c r="F147" s="139">
        <f>IF(Data_Override!E147="",Data!E147,Data_Override!E147)</f>
        <v>0</v>
      </c>
      <c r="G147" s="139">
        <f>IF(Data_Override!F147="",Data!F147,Data_Override!F147)</f>
        <v>0</v>
      </c>
      <c r="H147" s="139">
        <f>IF(Data_Override!G147="",Data!G147,Data_Override!G147)</f>
        <v>0</v>
      </c>
      <c r="I147" s="140">
        <f t="shared" si="35"/>
        <v>0</v>
      </c>
      <c r="J147" s="140">
        <f t="shared" si="36"/>
        <v>0</v>
      </c>
      <c r="L147" s="139">
        <f>IF(Data_Override!I147="",Data!I147,Data_Override!I147)</f>
        <v>0</v>
      </c>
      <c r="M147" s="139">
        <f>IF(Data_Override!J147="",Data!J147,Data_Override!J147)</f>
        <v>0</v>
      </c>
      <c r="N147" s="139">
        <f>IF(Data_Override!K147="",Data!K147,Data_Override!K147)</f>
        <v>0</v>
      </c>
      <c r="O147" s="139">
        <f>IF(Data_Override!L147="",Data!L147,Data_Override!L147)</f>
        <v>0</v>
      </c>
      <c r="P147" s="140">
        <f t="shared" si="39"/>
        <v>0</v>
      </c>
      <c r="Q147" s="140">
        <f t="shared" si="40"/>
        <v>0</v>
      </c>
      <c r="S147" s="139">
        <f>IF(Data_Override!N147="",Data!N147,Data_Override!N147)</f>
        <v>295.50844004160803</v>
      </c>
      <c r="U147" s="139">
        <f>IF(Data_Override!P147="",Data!P147,Data_Override!P147)</f>
        <v>0</v>
      </c>
      <c r="V147" s="139">
        <f>IF(Data_Override!Q147="",Data!Q147,Data_Override!Q147)</f>
        <v>0</v>
      </c>
      <c r="W147" s="139">
        <f>IF(Data_Override!R147="",Data!R147,Data_Override!R147)</f>
        <v>0</v>
      </c>
      <c r="X147" s="139">
        <f>IF(Data_Override!S147="",Data!S147,Data_Override!S147)</f>
        <v>0</v>
      </c>
      <c r="Y147" s="140">
        <f t="shared" si="37"/>
        <v>0</v>
      </c>
      <c r="Z147" s="140">
        <f t="shared" si="38"/>
        <v>0</v>
      </c>
      <c r="AB147" s="139">
        <f>IF(Data_Override!U147="",Data!U147,Data_Override!U147)</f>
        <v>0</v>
      </c>
      <c r="AC147" s="139">
        <f>IF(Data_Override!V147="",Data!V147,Data_Override!V147)</f>
        <v>0</v>
      </c>
      <c r="AD147" s="139">
        <f>IF(Data_Override!W147="",Data!W147,Data_Override!W147)</f>
        <v>0</v>
      </c>
    </row>
    <row r="148" spans="1:30" hidden="1" x14ac:dyDescent="0.2">
      <c r="A148" s="138" t="str">
        <f>B148&amp;RIGHT(C148,2)</f>
        <v>YKY17</v>
      </c>
      <c r="B148" s="19" t="s">
        <v>34</v>
      </c>
      <c r="C148" s="143" t="s">
        <v>69</v>
      </c>
      <c r="D148" s="19" t="str">
        <f t="shared" si="34"/>
        <v>17</v>
      </c>
      <c r="E148" s="139">
        <f>IF(Data_Override!D148="",Data!D148,Data_Override!D148)</f>
        <v>0</v>
      </c>
      <c r="F148" s="139">
        <f>IF(Data_Override!E148="",Data!E148,Data_Override!E148)</f>
        <v>0</v>
      </c>
      <c r="G148" s="139">
        <f>IF(Data_Override!F148="",Data!F148,Data_Override!F148)</f>
        <v>0</v>
      </c>
      <c r="H148" s="139">
        <f>IF(Data_Override!G148="",Data!G148,Data_Override!G148)</f>
        <v>0</v>
      </c>
      <c r="I148" s="140">
        <f t="shared" si="35"/>
        <v>0</v>
      </c>
      <c r="J148" s="140">
        <f t="shared" si="36"/>
        <v>0</v>
      </c>
      <c r="L148" s="139">
        <f>IF(Data_Override!I148="",Data!I148,Data_Override!I148)</f>
        <v>0</v>
      </c>
      <c r="M148" s="139">
        <f>IF(Data_Override!J148="",Data!J148,Data_Override!J148)</f>
        <v>0</v>
      </c>
      <c r="N148" s="139">
        <f>IF(Data_Override!K148="",Data!K148,Data_Override!K148)</f>
        <v>0</v>
      </c>
      <c r="O148" s="139">
        <f>IF(Data_Override!L148="",Data!L148,Data_Override!L148)</f>
        <v>0</v>
      </c>
      <c r="P148" s="140">
        <f t="shared" si="39"/>
        <v>0</v>
      </c>
      <c r="Q148" s="140">
        <f t="shared" si="40"/>
        <v>0</v>
      </c>
      <c r="S148" s="139">
        <f>IF(Data_Override!N148="",Data!N148,Data_Override!N148)</f>
        <v>337.30845683780501</v>
      </c>
      <c r="U148" s="139">
        <f>IF(Data_Override!P148="",Data!P148,Data_Override!P148)</f>
        <v>0</v>
      </c>
      <c r="V148" s="139">
        <f>IF(Data_Override!Q148="",Data!Q148,Data_Override!Q148)</f>
        <v>0</v>
      </c>
      <c r="W148" s="139">
        <f>IF(Data_Override!R148="",Data!R148,Data_Override!R148)</f>
        <v>0</v>
      </c>
      <c r="X148" s="139">
        <f>IF(Data_Override!S148="",Data!S148,Data_Override!S148)</f>
        <v>0</v>
      </c>
      <c r="Y148" s="140">
        <f t="shared" si="37"/>
        <v>0</v>
      </c>
      <c r="Z148" s="140">
        <f t="shared" si="38"/>
        <v>0</v>
      </c>
      <c r="AB148" s="139">
        <f>IF(Data_Override!U148="",Data!U148,Data_Override!U148)</f>
        <v>0</v>
      </c>
      <c r="AC148" s="139">
        <f>IF(Data_Override!V148="",Data!V148,Data_Override!V148)</f>
        <v>0</v>
      </c>
      <c r="AD148" s="139">
        <f>IF(Data_Override!W148="",Data!W148,Data_Override!W148)</f>
        <v>0</v>
      </c>
    </row>
    <row r="149" spans="1:30" hidden="1" x14ac:dyDescent="0.2">
      <c r="A149" s="141" t="s">
        <v>214</v>
      </c>
      <c r="B149" s="142" t="s">
        <v>34</v>
      </c>
      <c r="C149" s="142" t="s">
        <v>70</v>
      </c>
      <c r="D149" s="19" t="str">
        <f t="shared" si="34"/>
        <v>18</v>
      </c>
      <c r="E149" s="139">
        <f>IF(Data_Override!D149="",Data!D149,Data_Override!D149)</f>
        <v>0</v>
      </c>
      <c r="F149" s="139">
        <f>IF(Data_Override!E149="",Data!E149,Data_Override!E149)</f>
        <v>0</v>
      </c>
      <c r="G149" s="139">
        <f>IF(Data_Override!F149="",Data!F149,Data_Override!F149)</f>
        <v>0</v>
      </c>
      <c r="H149" s="139">
        <f>IF(Data_Override!G149="",Data!G149,Data_Override!G149)</f>
        <v>0</v>
      </c>
      <c r="I149" s="140">
        <f t="shared" si="35"/>
        <v>0</v>
      </c>
      <c r="J149" s="140">
        <f t="shared" si="36"/>
        <v>0</v>
      </c>
      <c r="L149" s="139">
        <f>IF(Data_Override!I149="",Data!I149,Data_Override!I149)</f>
        <v>0</v>
      </c>
      <c r="M149" s="139">
        <f>IF(Data_Override!J149="",Data!J149,Data_Override!J149)</f>
        <v>0</v>
      </c>
      <c r="N149" s="139">
        <f>IF(Data_Override!K149="",Data!K149,Data_Override!K149)</f>
        <v>0</v>
      </c>
      <c r="O149" s="139">
        <f>IF(Data_Override!L149="",Data!L149,Data_Override!L149)</f>
        <v>0</v>
      </c>
      <c r="P149" s="140">
        <f t="shared" si="39"/>
        <v>0</v>
      </c>
      <c r="Q149" s="140">
        <f t="shared" si="40"/>
        <v>0</v>
      </c>
      <c r="S149" s="139">
        <f>IF(Data_Override!N149="",Data!N149,Data_Override!N149)</f>
        <v>369.59500000000003</v>
      </c>
      <c r="U149" s="139">
        <f>IF(Data_Override!P149="",Data!P149,Data_Override!P149)</f>
        <v>0</v>
      </c>
      <c r="V149" s="139">
        <f>IF(Data_Override!Q149="",Data!Q149,Data_Override!Q149)</f>
        <v>0</v>
      </c>
      <c r="W149" s="139">
        <f>IF(Data_Override!R149="",Data!R149,Data_Override!R149)</f>
        <v>0</v>
      </c>
      <c r="X149" s="139">
        <f>IF(Data_Override!S149="",Data!S149,Data_Override!S149)</f>
        <v>0</v>
      </c>
      <c r="Y149" s="140">
        <f t="shared" si="37"/>
        <v>0</v>
      </c>
      <c r="Z149" s="140">
        <f t="shared" si="38"/>
        <v>0</v>
      </c>
      <c r="AB149" s="139">
        <f>IF(Data_Override!U149="",Data!U149,Data_Override!U149)</f>
        <v>300.27999999999997</v>
      </c>
      <c r="AC149" s="139">
        <f>IF(Data_Override!V149="",Data!V149,Data_Override!V149)</f>
        <v>31693</v>
      </c>
      <c r="AD149" s="139">
        <f>IF(Data_Override!W149="",Data!W149,Data_Override!W149)</f>
        <v>2305.3180000000002</v>
      </c>
    </row>
    <row r="150" spans="1:30" hidden="1" x14ac:dyDescent="0.2">
      <c r="A150" s="141" t="s">
        <v>215</v>
      </c>
      <c r="B150" s="142" t="s">
        <v>34</v>
      </c>
      <c r="C150" s="142" t="s">
        <v>71</v>
      </c>
      <c r="D150" s="19" t="str">
        <f t="shared" si="34"/>
        <v>19</v>
      </c>
      <c r="E150" s="139">
        <f>IF(Data_Override!D150="",Data!D150,Data_Override!D150)</f>
        <v>0</v>
      </c>
      <c r="F150" s="139">
        <f>IF(Data_Override!E150="",Data!E150,Data_Override!E150)</f>
        <v>0</v>
      </c>
      <c r="G150" s="139">
        <f>IF(Data_Override!F150="",Data!F150,Data_Override!F150)</f>
        <v>0</v>
      </c>
      <c r="H150" s="139">
        <f>IF(Data_Override!G150="",Data!G150,Data_Override!G150)</f>
        <v>0</v>
      </c>
      <c r="I150" s="140">
        <f t="shared" si="35"/>
        <v>0</v>
      </c>
      <c r="J150" s="140">
        <f t="shared" si="36"/>
        <v>0</v>
      </c>
      <c r="L150" s="139">
        <f>IF(Data_Override!I150="",Data!I150,Data_Override!I150)</f>
        <v>0</v>
      </c>
      <c r="M150" s="139">
        <f>IF(Data_Override!J150="",Data!J150,Data_Override!J150)</f>
        <v>0</v>
      </c>
      <c r="N150" s="139">
        <f>IF(Data_Override!K150="",Data!K150,Data_Override!K150)</f>
        <v>0</v>
      </c>
      <c r="O150" s="139">
        <f>IF(Data_Override!L150="",Data!L150,Data_Override!L150)</f>
        <v>0</v>
      </c>
      <c r="P150" s="140">
        <f t="shared" si="39"/>
        <v>0</v>
      </c>
      <c r="Q150" s="140">
        <f t="shared" si="40"/>
        <v>0</v>
      </c>
      <c r="S150" s="139">
        <f>IF(Data_Override!N150="",Data!N150,Data_Override!N150)</f>
        <v>414.49795085420197</v>
      </c>
      <c r="U150" s="139">
        <f>IF(Data_Override!P150="",Data!P150,Data_Override!P150)</f>
        <v>0</v>
      </c>
      <c r="V150" s="139">
        <f>IF(Data_Override!Q150="",Data!Q150,Data_Override!Q150)</f>
        <v>0</v>
      </c>
      <c r="W150" s="139">
        <f>IF(Data_Override!R150="",Data!R150,Data_Override!R150)</f>
        <v>0</v>
      </c>
      <c r="X150" s="139">
        <f>IF(Data_Override!S150="",Data!S150,Data_Override!S150)</f>
        <v>0</v>
      </c>
      <c r="Y150" s="140">
        <f t="shared" si="37"/>
        <v>0</v>
      </c>
      <c r="Z150" s="140">
        <f t="shared" si="38"/>
        <v>0</v>
      </c>
      <c r="AB150" s="139">
        <f>IF(Data_Override!U150="",Data!U150,Data_Override!U150)</f>
        <v>297</v>
      </c>
      <c r="AC150" s="139">
        <f>IF(Data_Override!V150="",Data!V150,Data_Override!V150)</f>
        <v>31793</v>
      </c>
      <c r="AD150" s="139">
        <f>IF(Data_Override!W150="",Data!W150,Data_Override!W150)</f>
        <v>2311.35228615813</v>
      </c>
    </row>
    <row r="151" spans="1:30" hidden="1" x14ac:dyDescent="0.2">
      <c r="A151" s="141" t="s">
        <v>216</v>
      </c>
      <c r="B151" s="142" t="s">
        <v>34</v>
      </c>
      <c r="C151" s="142" t="s">
        <v>72</v>
      </c>
      <c r="D151" s="19" t="str">
        <f t="shared" si="34"/>
        <v>20</v>
      </c>
      <c r="E151" s="139">
        <f>IF(Data_Override!D151="",Data!D151,Data_Override!D151)</f>
        <v>0</v>
      </c>
      <c r="F151" s="139">
        <f>IF(Data_Override!E151="",Data!E151,Data_Override!E151)</f>
        <v>0</v>
      </c>
      <c r="G151" s="139">
        <f>IF(Data_Override!F151="",Data!F151,Data_Override!F151)</f>
        <v>0</v>
      </c>
      <c r="H151" s="139">
        <f>IF(Data_Override!G151="",Data!G151,Data_Override!G151)</f>
        <v>0</v>
      </c>
      <c r="I151" s="140">
        <f t="shared" si="35"/>
        <v>0</v>
      </c>
      <c r="J151" s="140">
        <f t="shared" si="36"/>
        <v>0</v>
      </c>
      <c r="L151" s="139">
        <f>IF(Data_Override!I151="",Data!I151,Data_Override!I151)</f>
        <v>0</v>
      </c>
      <c r="M151" s="139">
        <f>IF(Data_Override!J151="",Data!J151,Data_Override!J151)</f>
        <v>0</v>
      </c>
      <c r="N151" s="139">
        <f>IF(Data_Override!K151="",Data!K151,Data_Override!K151)</f>
        <v>0</v>
      </c>
      <c r="O151" s="139">
        <f>IF(Data_Override!L151="",Data!L151,Data_Override!L151)</f>
        <v>0</v>
      </c>
      <c r="P151" s="140">
        <f t="shared" si="39"/>
        <v>0</v>
      </c>
      <c r="Q151" s="140">
        <f t="shared" si="40"/>
        <v>0</v>
      </c>
      <c r="S151" s="139">
        <f>IF(Data_Override!N151="",Data!N151,Data_Override!N151)</f>
        <v>394.01108206733602</v>
      </c>
      <c r="U151" s="139">
        <f>IF(Data_Override!P151="",Data!P151,Data_Override!P151)</f>
        <v>0</v>
      </c>
      <c r="V151" s="139">
        <f>IF(Data_Override!Q151="",Data!Q151,Data_Override!Q151)</f>
        <v>0</v>
      </c>
      <c r="W151" s="139">
        <f>IF(Data_Override!R151="",Data!R151,Data_Override!R151)</f>
        <v>0</v>
      </c>
      <c r="X151" s="139">
        <f>IF(Data_Override!S151="",Data!S151,Data_Override!S151)</f>
        <v>28</v>
      </c>
      <c r="Y151" s="140">
        <f t="shared" si="37"/>
        <v>0</v>
      </c>
      <c r="Z151" s="140">
        <f t="shared" si="38"/>
        <v>28</v>
      </c>
      <c r="AB151" s="139">
        <f>IF(Data_Override!U151="",Data!U151,Data_Override!U151)</f>
        <v>269</v>
      </c>
      <c r="AC151" s="139">
        <f>IF(Data_Override!V151="",Data!V151,Data_Override!V151)</f>
        <v>31893</v>
      </c>
      <c r="AD151" s="139">
        <f>IF(Data_Override!W151="",Data!W151,Data_Override!W151)</f>
        <v>2325.4213540903602</v>
      </c>
    </row>
    <row r="152" spans="1:30" x14ac:dyDescent="0.2">
      <c r="A152" s="141" t="s">
        <v>217</v>
      </c>
      <c r="B152" s="142" t="s">
        <v>34</v>
      </c>
      <c r="C152" s="142" t="s">
        <v>73</v>
      </c>
      <c r="D152" s="19" t="str">
        <f t="shared" si="34"/>
        <v>21</v>
      </c>
      <c r="E152" s="139">
        <f>IF(Data_Override!D152="",Data!D152,Data_Override!D152)</f>
        <v>0</v>
      </c>
      <c r="F152" s="139">
        <f>IF(Data_Override!E152="",Data!E152,Data_Override!E152)</f>
        <v>0.112</v>
      </c>
      <c r="G152" s="139">
        <f>IF(Data_Override!F152="",Data!F152,Data_Override!F152)</f>
        <v>0</v>
      </c>
      <c r="H152" s="139">
        <f>IF(Data_Override!G152="",Data!G152,Data_Override!G152)</f>
        <v>0</v>
      </c>
      <c r="I152" s="140">
        <f t="shared" si="35"/>
        <v>0.112</v>
      </c>
      <c r="J152" s="140">
        <f t="shared" si="36"/>
        <v>0</v>
      </c>
      <c r="L152" s="139">
        <f>IF(Data_Override!I152="",Data!I152,Data_Override!I152)</f>
        <v>0</v>
      </c>
      <c r="M152" s="139">
        <f>IF(Data_Override!J152="",Data!J152,Data_Override!J152)</f>
        <v>0</v>
      </c>
      <c r="N152" s="139">
        <f>IF(Data_Override!K152="",Data!K152,Data_Override!K152)</f>
        <v>0</v>
      </c>
      <c r="O152" s="139">
        <f>IF(Data_Override!L152="",Data!L152,Data_Override!L152)</f>
        <v>0</v>
      </c>
      <c r="P152" s="140">
        <f t="shared" si="39"/>
        <v>0</v>
      </c>
      <c r="Q152" s="140">
        <f t="shared" si="40"/>
        <v>0</v>
      </c>
      <c r="S152" s="139">
        <f>IF(Data_Override!N152="",Data!N152,Data_Override!N152)</f>
        <v>385.79700000000003</v>
      </c>
      <c r="U152" s="139">
        <f>IF(Data_Override!P152="",Data!P152,Data_Override!P152)</f>
        <v>0</v>
      </c>
      <c r="V152" s="139">
        <f>IF(Data_Override!Q152="",Data!Q152,Data_Override!Q152)</f>
        <v>0</v>
      </c>
      <c r="W152" s="139">
        <f>IF(Data_Override!R152="",Data!R152,Data_Override!R152)</f>
        <v>0</v>
      </c>
      <c r="X152" s="139">
        <f>IF(Data_Override!S152="",Data!S152,Data_Override!S152)</f>
        <v>13.45</v>
      </c>
      <c r="Y152" s="140">
        <f t="shared" si="37"/>
        <v>0</v>
      </c>
      <c r="Z152" s="140">
        <f t="shared" si="38"/>
        <v>13.45</v>
      </c>
      <c r="AB152" s="139">
        <f>IF(Data_Override!U152="",Data!U152,Data_Override!U152)</f>
        <v>255.55</v>
      </c>
      <c r="AC152" s="139">
        <f>IF(Data_Override!V152="",Data!V152,Data_Override!V152)</f>
        <v>32002</v>
      </c>
      <c r="AD152" s="139">
        <f>IF(Data_Override!W152="",Data!W152,Data_Override!W152)</f>
        <v>2347.4077730576801</v>
      </c>
    </row>
    <row r="153" spans="1:30" x14ac:dyDescent="0.2">
      <c r="A153" s="141" t="s">
        <v>218</v>
      </c>
      <c r="B153" s="142" t="s">
        <v>34</v>
      </c>
      <c r="C153" s="142" t="s">
        <v>74</v>
      </c>
      <c r="D153" s="19" t="str">
        <f t="shared" si="34"/>
        <v>22</v>
      </c>
      <c r="E153" s="139">
        <f>IF(Data_Override!D153="",Data!D153,Data_Override!D153)</f>
        <v>0</v>
      </c>
      <c r="F153" s="139">
        <f>IF(Data_Override!E153="",Data!E153,Data_Override!E153)</f>
        <v>9.7000000000000003E-2</v>
      </c>
      <c r="G153" s="139">
        <f>IF(Data_Override!F153="",Data!F153,Data_Override!F153)</f>
        <v>0</v>
      </c>
      <c r="H153" s="139">
        <f>IF(Data_Override!G153="",Data!G153,Data_Override!G153)</f>
        <v>0</v>
      </c>
      <c r="I153" s="140">
        <f t="shared" si="35"/>
        <v>9.7000000000000003E-2</v>
      </c>
      <c r="J153" s="140">
        <f t="shared" si="36"/>
        <v>0</v>
      </c>
      <c r="L153" s="139">
        <f>IF(Data_Override!I153="",Data!I153,Data_Override!I153)</f>
        <v>0</v>
      </c>
      <c r="M153" s="139">
        <f>IF(Data_Override!J153="",Data!J153,Data_Override!J153)</f>
        <v>0</v>
      </c>
      <c r="N153" s="139">
        <f>IF(Data_Override!K153="",Data!K153,Data_Override!K153)</f>
        <v>0</v>
      </c>
      <c r="O153" s="139">
        <f>IF(Data_Override!L153="",Data!L153,Data_Override!L153)</f>
        <v>0</v>
      </c>
      <c r="P153" s="140">
        <f t="shared" si="39"/>
        <v>0</v>
      </c>
      <c r="Q153" s="140">
        <f t="shared" si="40"/>
        <v>0</v>
      </c>
      <c r="S153" s="139">
        <f>IF(Data_Override!N153="",Data!N153,Data_Override!N153)</f>
        <v>385.065</v>
      </c>
      <c r="U153" s="139">
        <f>IF(Data_Override!P153="",Data!P153,Data_Override!P153)</f>
        <v>0</v>
      </c>
      <c r="V153" s="139">
        <f>IF(Data_Override!Q153="",Data!Q153,Data_Override!Q153)</f>
        <v>0</v>
      </c>
      <c r="W153" s="139">
        <f>IF(Data_Override!R153="",Data!R153,Data_Override!R153)</f>
        <v>0</v>
      </c>
      <c r="X153" s="139">
        <f>IF(Data_Override!S153="",Data!S153,Data_Override!S153)</f>
        <v>13.45</v>
      </c>
      <c r="Y153" s="140">
        <f t="shared" si="37"/>
        <v>0</v>
      </c>
      <c r="Z153" s="140">
        <f t="shared" si="38"/>
        <v>13.45</v>
      </c>
      <c r="AB153" s="139">
        <f>IF(Data_Override!U153="",Data!U153,Data_Override!U153)</f>
        <v>242.1</v>
      </c>
      <c r="AC153" s="139">
        <f>IF(Data_Override!V153="",Data!V153,Data_Override!V153)</f>
        <v>32111</v>
      </c>
      <c r="AD153" s="139">
        <f>IF(Data_Override!W153="",Data!W153,Data_Override!W153)</f>
        <v>2367.7925834623502</v>
      </c>
    </row>
    <row r="154" spans="1:30" x14ac:dyDescent="0.2">
      <c r="A154" s="141" t="s">
        <v>219</v>
      </c>
      <c r="B154" s="142" t="s">
        <v>34</v>
      </c>
      <c r="C154" s="142" t="s">
        <v>75</v>
      </c>
      <c r="D154" s="19" t="str">
        <f t="shared" si="34"/>
        <v>23</v>
      </c>
      <c r="E154" s="139">
        <f>IF(Data_Override!D154="",Data!D154,Data_Override!D154)</f>
        <v>0</v>
      </c>
      <c r="F154" s="139">
        <f>IF(Data_Override!E154="",Data!E154,Data_Override!E154)</f>
        <v>6.3E-2</v>
      </c>
      <c r="G154" s="139">
        <f>IF(Data_Override!F154="",Data!F154,Data_Override!F154)</f>
        <v>0</v>
      </c>
      <c r="H154" s="139">
        <f>IF(Data_Override!G154="",Data!G154,Data_Override!G154)</f>
        <v>0</v>
      </c>
      <c r="I154" s="140">
        <f t="shared" si="35"/>
        <v>6.3E-2</v>
      </c>
      <c r="J154" s="140">
        <f t="shared" si="36"/>
        <v>0</v>
      </c>
      <c r="L154" s="139">
        <f>IF(Data_Override!I154="",Data!I154,Data_Override!I154)</f>
        <v>0</v>
      </c>
      <c r="M154" s="139">
        <f>IF(Data_Override!J154="",Data!J154,Data_Override!J154)</f>
        <v>0</v>
      </c>
      <c r="N154" s="139">
        <f>IF(Data_Override!K154="",Data!K154,Data_Override!K154)</f>
        <v>0</v>
      </c>
      <c r="O154" s="139">
        <f>IF(Data_Override!L154="",Data!L154,Data_Override!L154)</f>
        <v>0</v>
      </c>
      <c r="P154" s="140">
        <f t="shared" si="39"/>
        <v>0</v>
      </c>
      <c r="Q154" s="140">
        <f t="shared" si="40"/>
        <v>0</v>
      </c>
      <c r="S154" s="139">
        <f>IF(Data_Override!N154="",Data!N154,Data_Override!N154)</f>
        <v>393.66</v>
      </c>
      <c r="U154" s="139">
        <f>IF(Data_Override!P154="",Data!P154,Data_Override!P154)</f>
        <v>0</v>
      </c>
      <c r="V154" s="139">
        <f>IF(Data_Override!Q154="",Data!Q154,Data_Override!Q154)</f>
        <v>2</v>
      </c>
      <c r="W154" s="139">
        <f>IF(Data_Override!R154="",Data!R154,Data_Override!R154)</f>
        <v>0</v>
      </c>
      <c r="X154" s="139">
        <f>IF(Data_Override!S154="",Data!S154,Data_Override!S154)</f>
        <v>13.45</v>
      </c>
      <c r="Y154" s="140">
        <f t="shared" si="37"/>
        <v>2</v>
      </c>
      <c r="Z154" s="140">
        <f t="shared" si="38"/>
        <v>13.45</v>
      </c>
      <c r="AB154" s="139">
        <f>IF(Data_Override!U154="",Data!U154,Data_Override!U154)</f>
        <v>228.65</v>
      </c>
      <c r="AC154" s="139">
        <f>IF(Data_Override!V154="",Data!V154,Data_Override!V154)</f>
        <v>32219</v>
      </c>
      <c r="AD154" s="139">
        <f>IF(Data_Override!W154="",Data!W154,Data_Override!W154)</f>
        <v>2388.2779908109001</v>
      </c>
    </row>
    <row r="155" spans="1:30" x14ac:dyDescent="0.2">
      <c r="A155" s="141" t="s">
        <v>220</v>
      </c>
      <c r="B155" s="142" t="s">
        <v>34</v>
      </c>
      <c r="C155" s="142" t="s">
        <v>76</v>
      </c>
      <c r="D155" s="19" t="str">
        <f t="shared" ref="D155:D185" si="43">RIGHT(A155,2)</f>
        <v>24</v>
      </c>
      <c r="E155" s="139">
        <f>IF(Data_Override!D155="",Data!D155,Data_Override!D155)</f>
        <v>0</v>
      </c>
      <c r="F155" s="139">
        <f>IF(Data_Override!E155="",Data!E155,Data_Override!E155)</f>
        <v>4.7E-2</v>
      </c>
      <c r="G155" s="139">
        <f>IF(Data_Override!F155="",Data!F155,Data_Override!F155)</f>
        <v>0</v>
      </c>
      <c r="H155" s="139">
        <f>IF(Data_Override!G155="",Data!G155,Data_Override!G155)</f>
        <v>0</v>
      </c>
      <c r="I155" s="140">
        <f t="shared" ref="I155:I185" si="44">IFERROR(SUM(E155:F155),"")</f>
        <v>4.7E-2</v>
      </c>
      <c r="J155" s="140">
        <f t="shared" ref="J155:J185" si="45">IFERROR(SUM(G155:H155),"")</f>
        <v>0</v>
      </c>
      <c r="L155" s="139">
        <f>IF(Data_Override!I155="",Data!I155,Data_Override!I155)</f>
        <v>0</v>
      </c>
      <c r="M155" s="139">
        <f>IF(Data_Override!J155="",Data!J155,Data_Override!J155)</f>
        <v>0</v>
      </c>
      <c r="N155" s="139">
        <f>IF(Data_Override!K155="",Data!K155,Data_Override!K155)</f>
        <v>0</v>
      </c>
      <c r="O155" s="139">
        <f>IF(Data_Override!L155="",Data!L155,Data_Override!L155)</f>
        <v>0</v>
      </c>
      <c r="P155" s="140">
        <f t="shared" si="39"/>
        <v>0</v>
      </c>
      <c r="Q155" s="140">
        <f t="shared" si="40"/>
        <v>0</v>
      </c>
      <c r="S155" s="139">
        <f>IF(Data_Override!N155="",Data!N155,Data_Override!N155)</f>
        <v>376.67899999999997</v>
      </c>
      <c r="U155" s="139">
        <f>IF(Data_Override!P155="",Data!P155,Data_Override!P155)</f>
        <v>0</v>
      </c>
      <c r="V155" s="139">
        <f>IF(Data_Override!Q155="",Data!Q155,Data_Override!Q155)</f>
        <v>0</v>
      </c>
      <c r="W155" s="139">
        <f>IF(Data_Override!R155="",Data!R155,Data_Override!R155)</f>
        <v>0</v>
      </c>
      <c r="X155" s="139">
        <f>IF(Data_Override!S155="",Data!S155,Data_Override!S155)</f>
        <v>13.45</v>
      </c>
      <c r="Y155" s="140">
        <f t="shared" si="37"/>
        <v>0</v>
      </c>
      <c r="Z155" s="140">
        <f t="shared" si="38"/>
        <v>13.45</v>
      </c>
      <c r="AB155" s="139">
        <f>IF(Data_Override!U155="",Data!U155,Data_Override!U155)</f>
        <v>215.2</v>
      </c>
      <c r="AC155" s="139">
        <f>IF(Data_Override!V155="",Data!V155,Data_Override!V155)</f>
        <v>32328</v>
      </c>
      <c r="AD155" s="139">
        <f>IF(Data_Override!W155="",Data!W155,Data_Override!W155)</f>
        <v>2408.72737654704</v>
      </c>
    </row>
    <row r="156" spans="1:30" x14ac:dyDescent="0.2">
      <c r="A156" s="141" t="s">
        <v>221</v>
      </c>
      <c r="B156" s="142" t="s">
        <v>34</v>
      </c>
      <c r="C156" s="142" t="s">
        <v>24</v>
      </c>
      <c r="D156" s="19" t="str">
        <f t="shared" si="43"/>
        <v>25</v>
      </c>
      <c r="E156" s="139">
        <f>IF(Data_Override!D156="",Data!D156,Data_Override!D156)</f>
        <v>0</v>
      </c>
      <c r="F156" s="139">
        <f>IF(Data_Override!E156="",Data!E156,Data_Override!E156)</f>
        <v>2.1999999999999999E-2</v>
      </c>
      <c r="G156" s="139">
        <f>IF(Data_Override!F156="",Data!F156,Data_Override!F156)</f>
        <v>0</v>
      </c>
      <c r="H156" s="139">
        <f>IF(Data_Override!G156="",Data!G156,Data_Override!G156)</f>
        <v>0</v>
      </c>
      <c r="I156" s="140">
        <f t="shared" si="44"/>
        <v>2.1999999999999999E-2</v>
      </c>
      <c r="J156" s="140">
        <f t="shared" si="45"/>
        <v>0</v>
      </c>
      <c r="L156" s="139">
        <f>IF(Data_Override!I156="",Data!I156,Data_Override!I156)</f>
        <v>0</v>
      </c>
      <c r="M156" s="139">
        <f>IF(Data_Override!J156="",Data!J156,Data_Override!J156)</f>
        <v>0</v>
      </c>
      <c r="N156" s="139">
        <f>IF(Data_Override!K156="",Data!K156,Data_Override!K156)</f>
        <v>0</v>
      </c>
      <c r="O156" s="139">
        <f>IF(Data_Override!L156="",Data!L156,Data_Override!L156)</f>
        <v>0</v>
      </c>
      <c r="P156" s="140">
        <f t="shared" si="39"/>
        <v>0</v>
      </c>
      <c r="Q156" s="140">
        <f t="shared" si="40"/>
        <v>0</v>
      </c>
      <c r="S156" s="139">
        <f>IF(Data_Override!N156="",Data!N156,Data_Override!N156)</f>
        <v>345.66399999999999</v>
      </c>
      <c r="U156" s="139">
        <f>IF(Data_Override!P156="",Data!P156,Data_Override!P156)</f>
        <v>0</v>
      </c>
      <c r="V156" s="139">
        <f>IF(Data_Override!Q156="",Data!Q156,Data_Override!Q156)</f>
        <v>0</v>
      </c>
      <c r="W156" s="139">
        <f>IF(Data_Override!R156="",Data!R156,Data_Override!R156)</f>
        <v>0</v>
      </c>
      <c r="X156" s="139">
        <f>IF(Data_Override!S156="",Data!S156,Data_Override!S156)</f>
        <v>13.45</v>
      </c>
      <c r="Y156" s="140">
        <f t="shared" si="37"/>
        <v>0</v>
      </c>
      <c r="Z156" s="140">
        <f t="shared" si="38"/>
        <v>13.45</v>
      </c>
      <c r="AB156" s="139">
        <f>IF(Data_Override!U156="",Data!U156,Data_Override!U156)</f>
        <v>201.75</v>
      </c>
      <c r="AC156" s="139">
        <f>IF(Data_Override!V156="",Data!V156,Data_Override!V156)</f>
        <v>32436</v>
      </c>
      <c r="AD156" s="139">
        <f>IF(Data_Override!W156="",Data!W156,Data_Override!W156)</f>
        <v>2429.2194492581002</v>
      </c>
    </row>
    <row r="157" spans="1:30" hidden="1" x14ac:dyDescent="0.2">
      <c r="A157" s="138" t="str">
        <f t="shared" ref="A157" si="46">B157&amp;RIGHT(C157,2)</f>
        <v>AFW12</v>
      </c>
      <c r="B157" s="19" t="s">
        <v>35</v>
      </c>
      <c r="C157" s="143" t="s">
        <v>64</v>
      </c>
      <c r="D157" s="19" t="str">
        <f t="shared" si="43"/>
        <v>12</v>
      </c>
      <c r="E157" s="139">
        <f>IF(Data_Override!D157="",Data!D157,Data_Override!D157)</f>
        <v>0</v>
      </c>
      <c r="F157" s="139">
        <f>IF(Data_Override!E157="",Data!E157,Data_Override!E157)</f>
        <v>0</v>
      </c>
      <c r="G157" s="139">
        <f>IF(Data_Override!F157="",Data!F157,Data_Override!F157)</f>
        <v>0</v>
      </c>
      <c r="H157" s="139">
        <f>IF(Data_Override!G157="",Data!G157,Data_Override!G157)</f>
        <v>0</v>
      </c>
      <c r="I157" s="140">
        <f t="shared" si="44"/>
        <v>0</v>
      </c>
      <c r="J157" s="140">
        <f t="shared" si="45"/>
        <v>0</v>
      </c>
      <c r="L157" s="139">
        <f>IF(Data_Override!I157="",Data!I157,Data_Override!I157)</f>
        <v>0</v>
      </c>
      <c r="M157" s="139">
        <f>IF(Data_Override!J157="",Data!J157,Data_Override!J157)</f>
        <v>0</v>
      </c>
      <c r="N157" s="139">
        <f>IF(Data_Override!K157="",Data!K157,Data_Override!K157)</f>
        <v>0</v>
      </c>
      <c r="O157" s="139">
        <f>IF(Data_Override!L157="",Data!L157,Data_Override!L157)</f>
        <v>0</v>
      </c>
      <c r="P157" s="140">
        <f t="shared" ref="P157:P196" si="47">IFERROR(SUM(L157:M157),"")</f>
        <v>0</v>
      </c>
      <c r="Q157" s="140">
        <f t="shared" ref="Q157:Q196" si="48">IFERROR(SUM(N157:O157),"")</f>
        <v>0</v>
      </c>
      <c r="S157" s="139">
        <f>IF(Data_Override!N157="",Data!N157,Data_Override!N157)</f>
        <v>212.92467844835201</v>
      </c>
      <c r="U157" s="139">
        <f>IF(Data_Override!P157="",Data!P157,Data_Override!P157)</f>
        <v>0</v>
      </c>
      <c r="V157" s="139">
        <f>IF(Data_Override!Q157="",Data!Q157,Data_Override!Q157)</f>
        <v>0</v>
      </c>
      <c r="W157" s="139">
        <f>IF(Data_Override!R157="",Data!R157,Data_Override!R157)</f>
        <v>0</v>
      </c>
      <c r="X157" s="139">
        <f>IF(Data_Override!S157="",Data!S157,Data_Override!S157)</f>
        <v>0</v>
      </c>
      <c r="Y157" s="140">
        <f t="shared" ref="Y157:Y195" si="49">IFERROR(MAX(U157,V157),"")</f>
        <v>0</v>
      </c>
      <c r="Z157" s="140">
        <f t="shared" ref="Z157:Z195" si="50">IFERROR(MAX(W157,X157),"")</f>
        <v>0</v>
      </c>
      <c r="AB157" s="139">
        <f>IF(Data_Override!U157="",Data!U157,Data_Override!U157)</f>
        <v>0</v>
      </c>
      <c r="AC157" s="139">
        <f>IF(Data_Override!V157="",Data!V157,Data_Override!V157)</f>
        <v>0</v>
      </c>
      <c r="AD157" s="139">
        <f>IF(Data_Override!W157="",Data!W157,Data_Override!W157)</f>
        <v>0</v>
      </c>
    </row>
    <row r="158" spans="1:30" hidden="1" x14ac:dyDescent="0.2">
      <c r="A158" s="138" t="str">
        <f>B158&amp;RIGHT(C158,2)</f>
        <v>AFW13</v>
      </c>
      <c r="B158" s="19" t="s">
        <v>35</v>
      </c>
      <c r="C158" s="143" t="s">
        <v>65</v>
      </c>
      <c r="D158" s="19" t="str">
        <f t="shared" si="43"/>
        <v>13</v>
      </c>
      <c r="E158" s="139">
        <f>IF(Data_Override!D158="",Data!D158,Data_Override!D158)</f>
        <v>0</v>
      </c>
      <c r="F158" s="139">
        <f>IF(Data_Override!E158="",Data!E158,Data_Override!E158)</f>
        <v>0</v>
      </c>
      <c r="G158" s="139">
        <f>IF(Data_Override!F158="",Data!F158,Data_Override!F158)</f>
        <v>0</v>
      </c>
      <c r="H158" s="139">
        <f>IF(Data_Override!G158="",Data!G158,Data_Override!G158)</f>
        <v>5.8375720448662598</v>
      </c>
      <c r="I158" s="140">
        <f t="shared" si="44"/>
        <v>0</v>
      </c>
      <c r="J158" s="140">
        <f t="shared" si="45"/>
        <v>5.8375720448662598</v>
      </c>
      <c r="L158" s="139">
        <f>IF(Data_Override!I158="",Data!I158,Data_Override!I158)</f>
        <v>0</v>
      </c>
      <c r="M158" s="139">
        <f>IF(Data_Override!J158="",Data!J158,Data_Override!J158)</f>
        <v>0</v>
      </c>
      <c r="N158" s="139">
        <f>IF(Data_Override!K158="",Data!K158,Data_Override!K158)</f>
        <v>0</v>
      </c>
      <c r="O158" s="139">
        <f>IF(Data_Override!L158="",Data!L158,Data_Override!L158)</f>
        <v>0</v>
      </c>
      <c r="P158" s="140">
        <f t="shared" si="47"/>
        <v>0</v>
      </c>
      <c r="Q158" s="140">
        <f t="shared" si="48"/>
        <v>0</v>
      </c>
      <c r="S158" s="139">
        <f>IF(Data_Override!N158="",Data!N158,Data_Override!N158)</f>
        <v>219.303877998274</v>
      </c>
      <c r="U158" s="139">
        <f>IF(Data_Override!P158="",Data!P158,Data_Override!P158)</f>
        <v>0</v>
      </c>
      <c r="V158" s="139">
        <f>IF(Data_Override!Q158="",Data!Q158,Data_Override!Q158)</f>
        <v>0</v>
      </c>
      <c r="W158" s="139">
        <f>IF(Data_Override!R158="",Data!R158,Data_Override!R158)</f>
        <v>0</v>
      </c>
      <c r="X158" s="139">
        <f>IF(Data_Override!S158="",Data!S158,Data_Override!S158)</f>
        <v>0</v>
      </c>
      <c r="Y158" s="140">
        <f t="shared" si="49"/>
        <v>0</v>
      </c>
      <c r="Z158" s="140">
        <f t="shared" si="50"/>
        <v>0</v>
      </c>
      <c r="AB158" s="139">
        <f>IF(Data_Override!U158="",Data!U158,Data_Override!U158)</f>
        <v>0</v>
      </c>
      <c r="AC158" s="139">
        <f>IF(Data_Override!V158="",Data!V158,Data_Override!V158)</f>
        <v>0</v>
      </c>
      <c r="AD158" s="139">
        <f>IF(Data_Override!W158="",Data!W158,Data_Override!W158)</f>
        <v>0</v>
      </c>
    </row>
    <row r="159" spans="1:30" hidden="1" x14ac:dyDescent="0.2">
      <c r="A159" s="138" t="str">
        <f>B159&amp;RIGHT(C159,2)</f>
        <v>AFW14</v>
      </c>
      <c r="B159" s="19" t="s">
        <v>35</v>
      </c>
      <c r="C159" s="143" t="s">
        <v>66</v>
      </c>
      <c r="D159" s="19" t="str">
        <f t="shared" si="43"/>
        <v>14</v>
      </c>
      <c r="E159" s="139">
        <f>IF(Data_Override!D159="",Data!D159,Data_Override!D159)</f>
        <v>0</v>
      </c>
      <c r="F159" s="139">
        <f>IF(Data_Override!E159="",Data!E159,Data_Override!E159)</f>
        <v>0</v>
      </c>
      <c r="G159" s="139">
        <f>IF(Data_Override!F159="",Data!F159,Data_Override!F159)</f>
        <v>0</v>
      </c>
      <c r="H159" s="139">
        <f>IF(Data_Override!G159="",Data!G159,Data_Override!G159)</f>
        <v>4.5396610885733599</v>
      </c>
      <c r="I159" s="140">
        <f t="shared" si="44"/>
        <v>0</v>
      </c>
      <c r="J159" s="140">
        <f t="shared" si="45"/>
        <v>4.5396610885733599</v>
      </c>
      <c r="L159" s="139">
        <f>IF(Data_Override!I159="",Data!I159,Data_Override!I159)</f>
        <v>0</v>
      </c>
      <c r="M159" s="139">
        <f>IF(Data_Override!J159="",Data!J159,Data_Override!J159)</f>
        <v>0</v>
      </c>
      <c r="N159" s="139">
        <f>IF(Data_Override!K159="",Data!K159,Data_Override!K159)</f>
        <v>0</v>
      </c>
      <c r="O159" s="139">
        <f>IF(Data_Override!L159="",Data!L159,Data_Override!L159)</f>
        <v>0</v>
      </c>
      <c r="P159" s="140">
        <f t="shared" si="47"/>
        <v>0</v>
      </c>
      <c r="Q159" s="140">
        <f t="shared" si="48"/>
        <v>0</v>
      </c>
      <c r="S159" s="139">
        <f>IF(Data_Override!N159="",Data!N159,Data_Override!N159)</f>
        <v>224.10494100743699</v>
      </c>
      <c r="U159" s="139">
        <f>IF(Data_Override!P159="",Data!P159,Data_Override!P159)</f>
        <v>0</v>
      </c>
      <c r="V159" s="139">
        <f>IF(Data_Override!Q159="",Data!Q159,Data_Override!Q159)</f>
        <v>0</v>
      </c>
      <c r="W159" s="139">
        <f>IF(Data_Override!R159="",Data!R159,Data_Override!R159)</f>
        <v>0</v>
      </c>
      <c r="X159" s="139">
        <f>IF(Data_Override!S159="",Data!S159,Data_Override!S159)</f>
        <v>0</v>
      </c>
      <c r="Y159" s="140">
        <f t="shared" si="49"/>
        <v>0</v>
      </c>
      <c r="Z159" s="140">
        <f t="shared" si="50"/>
        <v>0</v>
      </c>
      <c r="AB159" s="139">
        <f>IF(Data_Override!U159="",Data!U159,Data_Override!U159)</f>
        <v>0</v>
      </c>
      <c r="AC159" s="139">
        <f>IF(Data_Override!V159="",Data!V159,Data_Override!V159)</f>
        <v>0</v>
      </c>
      <c r="AD159" s="139">
        <f>IF(Data_Override!W159="",Data!W159,Data_Override!W159)</f>
        <v>0</v>
      </c>
    </row>
    <row r="160" spans="1:30" hidden="1" x14ac:dyDescent="0.2">
      <c r="A160" s="138" t="str">
        <f>B160&amp;RIGHT(C160,2)</f>
        <v>AFW15</v>
      </c>
      <c r="B160" s="19" t="s">
        <v>35</v>
      </c>
      <c r="C160" s="143" t="s">
        <v>67</v>
      </c>
      <c r="D160" s="19" t="str">
        <f t="shared" si="43"/>
        <v>15</v>
      </c>
      <c r="E160" s="139">
        <f>IF(Data_Override!D160="",Data!D160,Data_Override!D160)</f>
        <v>0</v>
      </c>
      <c r="F160" s="139">
        <f>IF(Data_Override!E160="",Data!E160,Data_Override!E160)</f>
        <v>0</v>
      </c>
      <c r="G160" s="139">
        <f>IF(Data_Override!F160="",Data!F160,Data_Override!F160)</f>
        <v>0</v>
      </c>
      <c r="H160" s="139">
        <f>IF(Data_Override!G160="",Data!G160,Data_Override!G160)</f>
        <v>2.0900810562379898E-2</v>
      </c>
      <c r="I160" s="140">
        <f t="shared" si="44"/>
        <v>0</v>
      </c>
      <c r="J160" s="140">
        <f t="shared" si="45"/>
        <v>2.0900810562379898E-2</v>
      </c>
      <c r="L160" s="139">
        <f>IF(Data_Override!I160="",Data!I160,Data_Override!I160)</f>
        <v>0</v>
      </c>
      <c r="M160" s="139">
        <f>IF(Data_Override!J160="",Data!J160,Data_Override!J160)</f>
        <v>0</v>
      </c>
      <c r="N160" s="139">
        <f>IF(Data_Override!K160="",Data!K160,Data_Override!K160)</f>
        <v>0</v>
      </c>
      <c r="O160" s="139">
        <f>IF(Data_Override!L160="",Data!L160,Data_Override!L160)</f>
        <v>0</v>
      </c>
      <c r="P160" s="140">
        <f t="shared" si="47"/>
        <v>0</v>
      </c>
      <c r="Q160" s="140">
        <f t="shared" si="48"/>
        <v>0</v>
      </c>
      <c r="S160" s="139">
        <f>IF(Data_Override!N160="",Data!N160,Data_Override!N160)</f>
        <v>216.45192930559</v>
      </c>
      <c r="U160" s="139">
        <f>IF(Data_Override!P160="",Data!P160,Data_Override!P160)</f>
        <v>0</v>
      </c>
      <c r="V160" s="139">
        <f>IF(Data_Override!Q160="",Data!Q160,Data_Override!Q160)</f>
        <v>0</v>
      </c>
      <c r="W160" s="139">
        <f>IF(Data_Override!R160="",Data!R160,Data_Override!R160)</f>
        <v>0</v>
      </c>
      <c r="X160" s="139">
        <f>IF(Data_Override!S160="",Data!S160,Data_Override!S160)</f>
        <v>0</v>
      </c>
      <c r="Y160" s="140">
        <f t="shared" si="49"/>
        <v>0</v>
      </c>
      <c r="Z160" s="140">
        <f t="shared" si="50"/>
        <v>0</v>
      </c>
      <c r="AB160" s="139">
        <f>IF(Data_Override!U160="",Data!U160,Data_Override!U160)</f>
        <v>0</v>
      </c>
      <c r="AC160" s="139">
        <f>IF(Data_Override!V160="",Data!V160,Data_Override!V160)</f>
        <v>0</v>
      </c>
      <c r="AD160" s="139">
        <f>IF(Data_Override!W160="",Data!W160,Data_Override!W160)</f>
        <v>0</v>
      </c>
    </row>
    <row r="161" spans="1:30" hidden="1" x14ac:dyDescent="0.2">
      <c r="A161" s="138" t="str">
        <f>B161&amp;RIGHT(C161,2)</f>
        <v>AFW16</v>
      </c>
      <c r="B161" s="19" t="s">
        <v>35</v>
      </c>
      <c r="C161" s="143" t="s">
        <v>68</v>
      </c>
      <c r="D161" s="19" t="str">
        <f t="shared" si="43"/>
        <v>16</v>
      </c>
      <c r="E161" s="139">
        <f>IF(Data_Override!D161="",Data!D161,Data_Override!D161)</f>
        <v>0</v>
      </c>
      <c r="F161" s="139">
        <f>IF(Data_Override!E161="",Data!E161,Data_Override!E161)</f>
        <v>0</v>
      </c>
      <c r="G161" s="139">
        <f>IF(Data_Override!F161="",Data!F161,Data_Override!F161)</f>
        <v>0</v>
      </c>
      <c r="H161" s="139">
        <f>IF(Data_Override!G161="",Data!G161,Data_Override!G161)</f>
        <v>3.9526034941763601</v>
      </c>
      <c r="I161" s="140">
        <f t="shared" si="44"/>
        <v>0</v>
      </c>
      <c r="J161" s="140">
        <f t="shared" si="45"/>
        <v>3.9526034941763601</v>
      </c>
      <c r="L161" s="139">
        <f>IF(Data_Override!I161="",Data!I161,Data_Override!I161)</f>
        <v>0</v>
      </c>
      <c r="M161" s="139">
        <f>IF(Data_Override!J161="",Data!J161,Data_Override!J161)</f>
        <v>0</v>
      </c>
      <c r="N161" s="139">
        <f>IF(Data_Override!K161="",Data!K161,Data_Override!K161)</f>
        <v>0</v>
      </c>
      <c r="O161" s="139">
        <f>IF(Data_Override!L161="",Data!L161,Data_Override!L161)</f>
        <v>0</v>
      </c>
      <c r="P161" s="140">
        <f t="shared" si="47"/>
        <v>0</v>
      </c>
      <c r="Q161" s="140">
        <f t="shared" si="48"/>
        <v>0</v>
      </c>
      <c r="S161" s="139">
        <f>IF(Data_Override!N161="",Data!N161,Data_Override!N161)</f>
        <v>237.34660881863601</v>
      </c>
      <c r="U161" s="139">
        <f>IF(Data_Override!P161="",Data!P161,Data_Override!P161)</f>
        <v>0</v>
      </c>
      <c r="V161" s="139">
        <f>IF(Data_Override!Q161="",Data!Q161,Data_Override!Q161)</f>
        <v>0</v>
      </c>
      <c r="W161" s="139">
        <f>IF(Data_Override!R161="",Data!R161,Data_Override!R161)</f>
        <v>0</v>
      </c>
      <c r="X161" s="139">
        <f>IF(Data_Override!S161="",Data!S161,Data_Override!S161)</f>
        <v>0</v>
      </c>
      <c r="Y161" s="140">
        <f t="shared" si="49"/>
        <v>0</v>
      </c>
      <c r="Z161" s="140">
        <f t="shared" si="50"/>
        <v>0</v>
      </c>
      <c r="AB161" s="139">
        <f>IF(Data_Override!U161="",Data!U161,Data_Override!U161)</f>
        <v>0</v>
      </c>
      <c r="AC161" s="139">
        <f>IF(Data_Override!V161="",Data!V161,Data_Override!V161)</f>
        <v>0</v>
      </c>
      <c r="AD161" s="139">
        <f>IF(Data_Override!W161="",Data!W161,Data_Override!W161)</f>
        <v>0</v>
      </c>
    </row>
    <row r="162" spans="1:30" hidden="1" x14ac:dyDescent="0.2">
      <c r="A162" s="138" t="str">
        <f>B162&amp;RIGHT(C162,2)</f>
        <v>AFW17</v>
      </c>
      <c r="B162" s="19" t="s">
        <v>35</v>
      </c>
      <c r="C162" s="143" t="s">
        <v>69</v>
      </c>
      <c r="D162" s="19" t="str">
        <f t="shared" si="43"/>
        <v>17</v>
      </c>
      <c r="E162" s="139">
        <f>IF(Data_Override!D162="",Data!D162,Data_Override!D162)</f>
        <v>0</v>
      </c>
      <c r="F162" s="139">
        <f>IF(Data_Override!E162="",Data!E162,Data_Override!E162)</f>
        <v>0</v>
      </c>
      <c r="G162" s="139">
        <f>IF(Data_Override!F162="",Data!F162,Data_Override!F162)</f>
        <v>1.52514698399672</v>
      </c>
      <c r="H162" s="139">
        <f>IF(Data_Override!G162="",Data!G162,Data_Override!G162)</f>
        <v>2.12863717685679</v>
      </c>
      <c r="I162" s="140">
        <f t="shared" si="44"/>
        <v>0</v>
      </c>
      <c r="J162" s="140">
        <f t="shared" si="45"/>
        <v>3.65378416085351</v>
      </c>
      <c r="L162" s="139">
        <f>IF(Data_Override!I162="",Data!I162,Data_Override!I162)</f>
        <v>0</v>
      </c>
      <c r="M162" s="139">
        <f>IF(Data_Override!J162="",Data!J162,Data_Override!J162)</f>
        <v>0</v>
      </c>
      <c r="N162" s="139">
        <f>IF(Data_Override!K162="",Data!K162,Data_Override!K162)</f>
        <v>0</v>
      </c>
      <c r="O162" s="139">
        <f>IF(Data_Override!L162="",Data!L162,Data_Override!L162)</f>
        <v>0</v>
      </c>
      <c r="P162" s="140">
        <f t="shared" si="47"/>
        <v>0</v>
      </c>
      <c r="Q162" s="140">
        <f t="shared" si="48"/>
        <v>0</v>
      </c>
      <c r="S162" s="139">
        <f>IF(Data_Override!N162="",Data!N162,Data_Override!N162)</f>
        <v>275.80733426343897</v>
      </c>
      <c r="U162" s="139">
        <f>IF(Data_Override!P162="",Data!P162,Data_Override!P162)</f>
        <v>0</v>
      </c>
      <c r="V162" s="139">
        <f>IF(Data_Override!Q162="",Data!Q162,Data_Override!Q162)</f>
        <v>0</v>
      </c>
      <c r="W162" s="139">
        <f>IF(Data_Override!R162="",Data!R162,Data_Override!R162)</f>
        <v>0</v>
      </c>
      <c r="X162" s="139">
        <f>IF(Data_Override!S162="",Data!S162,Data_Override!S162)</f>
        <v>0</v>
      </c>
      <c r="Y162" s="140">
        <f t="shared" si="49"/>
        <v>0</v>
      </c>
      <c r="Z162" s="140">
        <f t="shared" si="50"/>
        <v>0</v>
      </c>
      <c r="AB162" s="139">
        <f>IF(Data_Override!U162="",Data!U162,Data_Override!U162)</f>
        <v>0</v>
      </c>
      <c r="AC162" s="139">
        <f>IF(Data_Override!V162="",Data!V162,Data_Override!V162)</f>
        <v>0</v>
      </c>
      <c r="AD162" s="139">
        <f>IF(Data_Override!W162="",Data!W162,Data_Override!W162)</f>
        <v>0</v>
      </c>
    </row>
    <row r="163" spans="1:30" hidden="1" x14ac:dyDescent="0.2">
      <c r="A163" s="141" t="s">
        <v>222</v>
      </c>
      <c r="B163" s="142" t="s">
        <v>35</v>
      </c>
      <c r="C163" s="142" t="s">
        <v>70</v>
      </c>
      <c r="D163" s="19" t="str">
        <f t="shared" si="43"/>
        <v>18</v>
      </c>
      <c r="E163" s="139">
        <f>IF(Data_Override!D163="",Data!D163,Data_Override!D163)</f>
        <v>1.1950000000000001</v>
      </c>
      <c r="F163" s="139">
        <f>IF(Data_Override!E163="",Data!E163,Data_Override!E163)</f>
        <v>0.72199999999999998</v>
      </c>
      <c r="G163" s="139">
        <f>IF(Data_Override!F163="",Data!F163,Data_Override!F163)</f>
        <v>0</v>
      </c>
      <c r="H163" s="139">
        <f>IF(Data_Override!G163="",Data!G163,Data_Override!G163)</f>
        <v>0</v>
      </c>
      <c r="I163" s="140">
        <f t="shared" si="44"/>
        <v>1.917</v>
      </c>
      <c r="J163" s="140">
        <f t="shared" si="45"/>
        <v>0</v>
      </c>
      <c r="L163" s="139">
        <f>IF(Data_Override!I163="",Data!I163,Data_Override!I163)</f>
        <v>0</v>
      </c>
      <c r="M163" s="139">
        <f>IF(Data_Override!J163="",Data!J163,Data_Override!J163)</f>
        <v>0</v>
      </c>
      <c r="N163" s="139">
        <f>IF(Data_Override!K163="",Data!K163,Data_Override!K163)</f>
        <v>0</v>
      </c>
      <c r="O163" s="139">
        <f>IF(Data_Override!L163="",Data!L163,Data_Override!L163)</f>
        <v>4.6479999999999997</v>
      </c>
      <c r="P163" s="140">
        <f t="shared" si="47"/>
        <v>0</v>
      </c>
      <c r="Q163" s="140">
        <f t="shared" si="48"/>
        <v>4.6479999999999997</v>
      </c>
      <c r="S163" s="139">
        <f>IF(Data_Override!N163="",Data!N163,Data_Override!N163)</f>
        <v>255.57824310006501</v>
      </c>
      <c r="U163" s="139">
        <f>IF(Data_Override!P163="",Data!P163,Data_Override!P163)</f>
        <v>5</v>
      </c>
      <c r="V163" s="139">
        <f>IF(Data_Override!Q163="",Data!Q163,Data_Override!Q163)</f>
        <v>5</v>
      </c>
      <c r="W163" s="139">
        <f>IF(Data_Override!R163="",Data!R163,Data_Override!R163)</f>
        <v>29.643767700386501</v>
      </c>
      <c r="X163" s="139">
        <f>IF(Data_Override!S163="",Data!S163,Data_Override!S163)</f>
        <v>29.643767700386501</v>
      </c>
      <c r="Y163" s="140">
        <f t="shared" si="49"/>
        <v>5</v>
      </c>
      <c r="Z163" s="140">
        <f t="shared" si="50"/>
        <v>29.643767700386501</v>
      </c>
      <c r="AB163" s="139">
        <f>IF(Data_Override!U163="",Data!U163,Data_Override!U163)</f>
        <v>172.67</v>
      </c>
      <c r="AC163" s="139">
        <f>IF(Data_Override!V163="",Data!V163,Data_Override!V163)</f>
        <v>16682.8</v>
      </c>
      <c r="AD163" s="139">
        <f>IF(Data_Override!W163="",Data!W163,Data_Override!W163)</f>
        <v>1500.1959999999999</v>
      </c>
    </row>
    <row r="164" spans="1:30" hidden="1" x14ac:dyDescent="0.2">
      <c r="A164" s="141" t="s">
        <v>223</v>
      </c>
      <c r="B164" s="142" t="s">
        <v>35</v>
      </c>
      <c r="C164" s="142" t="s">
        <v>71</v>
      </c>
      <c r="D164" s="19" t="str">
        <f t="shared" si="43"/>
        <v>19</v>
      </c>
      <c r="E164" s="139">
        <f>IF(Data_Override!D164="",Data!D164,Data_Override!D164)</f>
        <v>0</v>
      </c>
      <c r="F164" s="139">
        <f>IF(Data_Override!E164="",Data!E164,Data_Override!E164)</f>
        <v>0</v>
      </c>
      <c r="G164" s="139">
        <f>IF(Data_Override!F164="",Data!F164,Data_Override!F164)</f>
        <v>0</v>
      </c>
      <c r="H164" s="139">
        <f>IF(Data_Override!G164="",Data!G164,Data_Override!G164)</f>
        <v>0</v>
      </c>
      <c r="I164" s="140">
        <f t="shared" si="44"/>
        <v>0</v>
      </c>
      <c r="J164" s="140">
        <f t="shared" si="45"/>
        <v>0</v>
      </c>
      <c r="L164" s="139">
        <f>IF(Data_Override!I164="",Data!I164,Data_Override!I164)</f>
        <v>0</v>
      </c>
      <c r="M164" s="139">
        <f>IF(Data_Override!J164="",Data!J164,Data_Override!J164)</f>
        <v>0</v>
      </c>
      <c r="N164" s="139">
        <f>IF(Data_Override!K164="",Data!K164,Data_Override!K164)</f>
        <v>0</v>
      </c>
      <c r="O164" s="139">
        <f>IF(Data_Override!L164="",Data!L164,Data_Override!L164)</f>
        <v>3.1840000000000002</v>
      </c>
      <c r="P164" s="140">
        <f t="shared" si="47"/>
        <v>0</v>
      </c>
      <c r="Q164" s="140">
        <f t="shared" si="48"/>
        <v>3.1840000000000002</v>
      </c>
      <c r="S164" s="139">
        <f>IF(Data_Override!N164="",Data!N164,Data_Override!N164)</f>
        <v>240.09070357975099</v>
      </c>
      <c r="U164" s="139">
        <f>IF(Data_Override!P164="",Data!P164,Data_Override!P164)</f>
        <v>8.6300000000000008</v>
      </c>
      <c r="V164" s="139">
        <f>IF(Data_Override!Q164="",Data!Q164,Data_Override!Q164)</f>
        <v>1.97</v>
      </c>
      <c r="W164" s="139">
        <f>IF(Data_Override!R164="",Data!R164,Data_Override!R164)</f>
        <v>15.6794494719</v>
      </c>
      <c r="X164" s="139">
        <f>IF(Data_Override!S164="",Data!S164,Data_Override!S164)</f>
        <v>15.6794494719</v>
      </c>
      <c r="Y164" s="140">
        <f t="shared" si="49"/>
        <v>8.6300000000000008</v>
      </c>
      <c r="Z164" s="140">
        <f t="shared" si="50"/>
        <v>15.6794494719</v>
      </c>
      <c r="AB164" s="139">
        <f>IF(Data_Override!U164="",Data!U164,Data_Override!U164)</f>
        <v>200.61</v>
      </c>
      <c r="AC164" s="139">
        <f>IF(Data_Override!V164="",Data!V164,Data_Override!V164)</f>
        <v>16729.8</v>
      </c>
      <c r="AD164" s="139">
        <f>IF(Data_Override!W164="",Data!W164,Data_Override!W164)</f>
        <v>1517.019</v>
      </c>
    </row>
    <row r="165" spans="1:30" hidden="1" x14ac:dyDescent="0.2">
      <c r="A165" s="141" t="s">
        <v>224</v>
      </c>
      <c r="B165" s="142" t="s">
        <v>35</v>
      </c>
      <c r="C165" s="142" t="s">
        <v>72</v>
      </c>
      <c r="D165" s="19" t="str">
        <f t="shared" si="43"/>
        <v>20</v>
      </c>
      <c r="E165" s="139">
        <f>IF(Data_Override!D165="",Data!D165,Data_Override!D165)</f>
        <v>0</v>
      </c>
      <c r="F165" s="139">
        <f>IF(Data_Override!E165="",Data!E165,Data_Override!E165)</f>
        <v>0</v>
      </c>
      <c r="G165" s="139">
        <f>IF(Data_Override!F165="",Data!F165,Data_Override!F165)</f>
        <v>0</v>
      </c>
      <c r="H165" s="139">
        <f>IF(Data_Override!G165="",Data!G165,Data_Override!G165)</f>
        <v>0</v>
      </c>
      <c r="I165" s="140">
        <f t="shared" si="44"/>
        <v>0</v>
      </c>
      <c r="J165" s="140">
        <f t="shared" si="45"/>
        <v>0</v>
      </c>
      <c r="L165" s="139">
        <f>IF(Data_Override!I165="",Data!I165,Data_Override!I165)</f>
        <v>0</v>
      </c>
      <c r="M165" s="139">
        <f>IF(Data_Override!J165="",Data!J165,Data_Override!J165)</f>
        <v>0</v>
      </c>
      <c r="N165" s="139">
        <f>IF(Data_Override!K165="",Data!K165,Data_Override!K165)</f>
        <v>0</v>
      </c>
      <c r="O165" s="139">
        <f>IF(Data_Override!L165="",Data!L165,Data_Override!L165)</f>
        <v>2.879</v>
      </c>
      <c r="P165" s="140">
        <f t="shared" si="47"/>
        <v>0</v>
      </c>
      <c r="Q165" s="140">
        <f t="shared" si="48"/>
        <v>2.879</v>
      </c>
      <c r="S165" s="139">
        <f>IF(Data_Override!N165="",Data!N165,Data_Override!N165)</f>
        <v>226.31729095707001</v>
      </c>
      <c r="U165" s="139">
        <f>IF(Data_Override!P165="",Data!P165,Data_Override!P165)</f>
        <v>0</v>
      </c>
      <c r="V165" s="139">
        <f>IF(Data_Override!Q165="",Data!Q165,Data_Override!Q165)</f>
        <v>0</v>
      </c>
      <c r="W165" s="139">
        <f>IF(Data_Override!R165="",Data!R165,Data_Override!R165)</f>
        <v>12.3054314715</v>
      </c>
      <c r="X165" s="139">
        <f>IF(Data_Override!S165="",Data!S165,Data_Override!S165)</f>
        <v>12.3054314715</v>
      </c>
      <c r="Y165" s="140">
        <f t="shared" si="49"/>
        <v>0</v>
      </c>
      <c r="Z165" s="140">
        <f t="shared" si="50"/>
        <v>12.3054314715</v>
      </c>
      <c r="AB165" s="139">
        <f>IF(Data_Override!U165="",Data!U165,Data_Override!U165)</f>
        <v>162.19999999999999</v>
      </c>
      <c r="AC165" s="139">
        <f>IF(Data_Override!V165="",Data!V165,Data_Override!V165)</f>
        <v>16769.8</v>
      </c>
      <c r="AD165" s="139">
        <f>IF(Data_Override!W165="",Data!W165,Data_Override!W165)</f>
        <v>1526.126</v>
      </c>
    </row>
    <row r="166" spans="1:30" x14ac:dyDescent="0.2">
      <c r="A166" s="141" t="s">
        <v>225</v>
      </c>
      <c r="B166" s="142" t="s">
        <v>35</v>
      </c>
      <c r="C166" s="142" t="s">
        <v>73</v>
      </c>
      <c r="D166" s="19" t="str">
        <f t="shared" si="43"/>
        <v>21</v>
      </c>
      <c r="E166" s="139">
        <f>IF(Data_Override!D166="",Data!D166,Data_Override!D166)</f>
        <v>0</v>
      </c>
      <c r="F166" s="139">
        <f>IF(Data_Override!E166="",Data!E166,Data_Override!E166)</f>
        <v>12.7246502838666</v>
      </c>
      <c r="G166" s="139">
        <f>IF(Data_Override!F166="",Data!F166,Data_Override!F166)</f>
        <v>0</v>
      </c>
      <c r="H166" s="139">
        <f>IF(Data_Override!G166="",Data!G166,Data_Override!G166)</f>
        <v>9.08</v>
      </c>
      <c r="I166" s="140">
        <f t="shared" si="44"/>
        <v>12.7246502838666</v>
      </c>
      <c r="J166" s="140">
        <f t="shared" si="45"/>
        <v>9.08</v>
      </c>
      <c r="L166" s="139">
        <f>IF(Data_Override!I166="",Data!I166,Data_Override!I166)</f>
        <v>0</v>
      </c>
      <c r="M166" s="139">
        <f>IF(Data_Override!J166="",Data!J166,Data_Override!J166)</f>
        <v>0</v>
      </c>
      <c r="N166" s="139">
        <f>IF(Data_Override!K166="",Data!K166,Data_Override!K166)</f>
        <v>0</v>
      </c>
      <c r="O166" s="139">
        <f>IF(Data_Override!L166="",Data!L166,Data_Override!L166)</f>
        <v>10.337</v>
      </c>
      <c r="P166" s="140">
        <f t="shared" si="47"/>
        <v>0</v>
      </c>
      <c r="Q166" s="140">
        <f t="shared" si="48"/>
        <v>10.337</v>
      </c>
      <c r="S166" s="139">
        <f>IF(Data_Override!N166="",Data!N166,Data_Override!N166)</f>
        <v>287.60997389362899</v>
      </c>
      <c r="U166" s="139">
        <f>IF(Data_Override!P166="",Data!P166,Data_Override!P166)</f>
        <v>2.0699999999999998</v>
      </c>
      <c r="V166" s="139">
        <f>IF(Data_Override!Q166="",Data!Q166,Data_Override!Q166)</f>
        <v>2.0699999999999998</v>
      </c>
      <c r="W166" s="139">
        <f>IF(Data_Override!R166="",Data!R166,Data_Override!R166)</f>
        <v>11.979289041942099</v>
      </c>
      <c r="X166" s="139">
        <f>IF(Data_Override!S166="",Data!S166,Data_Override!S166)</f>
        <v>11.979289041942099</v>
      </c>
      <c r="Y166" s="140">
        <f t="shared" si="49"/>
        <v>2.0699999999999998</v>
      </c>
      <c r="Z166" s="140">
        <f t="shared" si="50"/>
        <v>11.979289041942099</v>
      </c>
      <c r="AB166" s="139">
        <f>IF(Data_Override!U166="",Data!U166,Data_Override!U166)</f>
        <v>156.19999999999999</v>
      </c>
      <c r="AC166" s="139">
        <f>IF(Data_Override!V166="",Data!V166,Data_Override!V166)</f>
        <v>16818.8</v>
      </c>
      <c r="AD166" s="139">
        <f>IF(Data_Override!W166="",Data!W166,Data_Override!W166)</f>
        <v>1546.7360000000001</v>
      </c>
    </row>
    <row r="167" spans="1:30" x14ac:dyDescent="0.2">
      <c r="A167" s="141" t="s">
        <v>226</v>
      </c>
      <c r="B167" s="142" t="s">
        <v>35</v>
      </c>
      <c r="C167" s="142" t="s">
        <v>74</v>
      </c>
      <c r="D167" s="19" t="str">
        <f t="shared" si="43"/>
        <v>22</v>
      </c>
      <c r="E167" s="139">
        <f>IF(Data_Override!D167="",Data!D167,Data_Override!D167)</f>
        <v>0</v>
      </c>
      <c r="F167" s="139">
        <f>IF(Data_Override!E167="",Data!E167,Data_Override!E167)</f>
        <v>15.209147751048301</v>
      </c>
      <c r="G167" s="139">
        <f>IF(Data_Override!F167="",Data!F167,Data_Override!F167)</f>
        <v>0</v>
      </c>
      <c r="H167" s="139">
        <f>IF(Data_Override!G167="",Data!G167,Data_Override!G167)</f>
        <v>9.08</v>
      </c>
      <c r="I167" s="140">
        <f t="shared" si="44"/>
        <v>15.209147751048301</v>
      </c>
      <c r="J167" s="140">
        <f t="shared" si="45"/>
        <v>9.08</v>
      </c>
      <c r="L167" s="139">
        <f>IF(Data_Override!I167="",Data!I167,Data_Override!I167)</f>
        <v>0</v>
      </c>
      <c r="M167" s="139">
        <f>IF(Data_Override!J167="",Data!J167,Data_Override!J167)</f>
        <v>0</v>
      </c>
      <c r="N167" s="139">
        <f>IF(Data_Override!K167="",Data!K167,Data_Override!K167)</f>
        <v>0</v>
      </c>
      <c r="O167" s="139">
        <f>IF(Data_Override!L167="",Data!L167,Data_Override!L167)</f>
        <v>10.337</v>
      </c>
      <c r="P167" s="140">
        <f t="shared" si="47"/>
        <v>0</v>
      </c>
      <c r="Q167" s="140">
        <f t="shared" si="48"/>
        <v>10.337</v>
      </c>
      <c r="S167" s="139">
        <f>IF(Data_Override!N167="",Data!N167,Data_Override!N167)</f>
        <v>290.69152534758302</v>
      </c>
      <c r="U167" s="139">
        <f>IF(Data_Override!P167="",Data!P167,Data_Override!P167)</f>
        <v>0.14000000000000001</v>
      </c>
      <c r="V167" s="139">
        <f>IF(Data_Override!Q167="",Data!Q167,Data_Override!Q167)</f>
        <v>0.14000000000000001</v>
      </c>
      <c r="W167" s="139">
        <f>IF(Data_Override!R167="",Data!R167,Data_Override!R167)</f>
        <v>11.3284683759421</v>
      </c>
      <c r="X167" s="139">
        <f>IF(Data_Override!S167="",Data!S167,Data_Override!S167)</f>
        <v>11.3284683759421</v>
      </c>
      <c r="Y167" s="140">
        <f t="shared" si="49"/>
        <v>0.14000000000000001</v>
      </c>
      <c r="Z167" s="140">
        <f t="shared" si="50"/>
        <v>11.3284683759421</v>
      </c>
      <c r="AB167" s="139">
        <f>IF(Data_Override!U167="",Data!U167,Data_Override!U167)</f>
        <v>150.19999999999999</v>
      </c>
      <c r="AC167" s="139">
        <f>IF(Data_Override!V167="",Data!V167,Data_Override!V167)</f>
        <v>16867.8</v>
      </c>
      <c r="AD167" s="139">
        <f>IF(Data_Override!W167="",Data!W167,Data_Override!W167)</f>
        <v>1563.1669999999999</v>
      </c>
    </row>
    <row r="168" spans="1:30" x14ac:dyDescent="0.2">
      <c r="A168" s="141" t="s">
        <v>227</v>
      </c>
      <c r="B168" s="142" t="s">
        <v>35</v>
      </c>
      <c r="C168" s="142" t="s">
        <v>75</v>
      </c>
      <c r="D168" s="19" t="str">
        <f t="shared" si="43"/>
        <v>23</v>
      </c>
      <c r="E168" s="139">
        <f>IF(Data_Override!D168="",Data!D168,Data_Override!D168)</f>
        <v>0</v>
      </c>
      <c r="F168" s="139">
        <f>IF(Data_Override!E168="",Data!E168,Data_Override!E168)</f>
        <v>7.3027462368216698</v>
      </c>
      <c r="G168" s="139">
        <f>IF(Data_Override!F168="",Data!F168,Data_Override!F168)</f>
        <v>0</v>
      </c>
      <c r="H168" s="139">
        <f>IF(Data_Override!G168="",Data!G168,Data_Override!G168)</f>
        <v>9.08</v>
      </c>
      <c r="I168" s="140">
        <f t="shared" si="44"/>
        <v>7.3027462368216698</v>
      </c>
      <c r="J168" s="140">
        <f t="shared" si="45"/>
        <v>9.08</v>
      </c>
      <c r="L168" s="139">
        <f>IF(Data_Override!I168="",Data!I168,Data_Override!I168)</f>
        <v>0</v>
      </c>
      <c r="M168" s="139">
        <f>IF(Data_Override!J168="",Data!J168,Data_Override!J168)</f>
        <v>0</v>
      </c>
      <c r="N168" s="139">
        <f>IF(Data_Override!K168="",Data!K168,Data_Override!K168)</f>
        <v>0</v>
      </c>
      <c r="O168" s="139">
        <f>IF(Data_Override!L168="",Data!L168,Data_Override!L168)</f>
        <v>10.337</v>
      </c>
      <c r="P168" s="140">
        <f t="shared" si="47"/>
        <v>0</v>
      </c>
      <c r="Q168" s="140">
        <f t="shared" si="48"/>
        <v>10.337</v>
      </c>
      <c r="S168" s="139">
        <f>IF(Data_Override!N168="",Data!N168,Data_Override!N168)</f>
        <v>281.39118041484301</v>
      </c>
      <c r="U168" s="139">
        <f>IF(Data_Override!P168="",Data!P168,Data_Override!P168)</f>
        <v>1.32</v>
      </c>
      <c r="V168" s="139">
        <f>IF(Data_Override!Q168="",Data!Q168,Data_Override!Q168)</f>
        <v>0.97</v>
      </c>
      <c r="W168" s="139">
        <f>IF(Data_Override!R168="",Data!R168,Data_Override!R168)</f>
        <v>11.8766442319421</v>
      </c>
      <c r="X168" s="139">
        <f>IF(Data_Override!S168="",Data!S168,Data_Override!S168)</f>
        <v>11.8766442319421</v>
      </c>
      <c r="Y168" s="140">
        <f t="shared" si="49"/>
        <v>1.32</v>
      </c>
      <c r="Z168" s="140">
        <f t="shared" si="50"/>
        <v>11.8766442319421</v>
      </c>
      <c r="AB168" s="139">
        <f>IF(Data_Override!U168="",Data!U168,Data_Override!U168)</f>
        <v>144.19999999999999</v>
      </c>
      <c r="AC168" s="139">
        <f>IF(Data_Override!V168="",Data!V168,Data_Override!V168)</f>
        <v>16916.8</v>
      </c>
      <c r="AD168" s="139">
        <f>IF(Data_Override!W168="",Data!W168,Data_Override!W168)</f>
        <v>1579.6089999999999</v>
      </c>
    </row>
    <row r="169" spans="1:30" x14ac:dyDescent="0.2">
      <c r="A169" s="141" t="s">
        <v>228</v>
      </c>
      <c r="B169" s="142" t="s">
        <v>35</v>
      </c>
      <c r="C169" s="142" t="s">
        <v>76</v>
      </c>
      <c r="D169" s="19" t="str">
        <f t="shared" si="43"/>
        <v>24</v>
      </c>
      <c r="E169" s="139">
        <f>IF(Data_Override!D169="",Data!D169,Data_Override!D169)</f>
        <v>0</v>
      </c>
      <c r="F169" s="139">
        <f>IF(Data_Override!E169="",Data!E169,Data_Override!E169)</f>
        <v>6.2594906781858102</v>
      </c>
      <c r="G169" s="139">
        <f>IF(Data_Override!F169="",Data!F169,Data_Override!F169)</f>
        <v>0</v>
      </c>
      <c r="H169" s="139">
        <f>IF(Data_Override!G169="",Data!G169,Data_Override!G169)</f>
        <v>9.08</v>
      </c>
      <c r="I169" s="140">
        <f t="shared" si="44"/>
        <v>6.2594906781858102</v>
      </c>
      <c r="J169" s="140">
        <f t="shared" si="45"/>
        <v>9.08</v>
      </c>
      <c r="L169" s="139">
        <f>IF(Data_Override!I169="",Data!I169,Data_Override!I169)</f>
        <v>0</v>
      </c>
      <c r="M169" s="139">
        <f>IF(Data_Override!J169="",Data!J169,Data_Override!J169)</f>
        <v>0</v>
      </c>
      <c r="N169" s="139">
        <f>IF(Data_Override!K169="",Data!K169,Data_Override!K169)</f>
        <v>0</v>
      </c>
      <c r="O169" s="139">
        <f>IF(Data_Override!L169="",Data!L169,Data_Override!L169)</f>
        <v>10.337</v>
      </c>
      <c r="P169" s="140">
        <f t="shared" si="47"/>
        <v>0</v>
      </c>
      <c r="Q169" s="140">
        <f t="shared" si="48"/>
        <v>10.337</v>
      </c>
      <c r="S169" s="139">
        <f>IF(Data_Override!N169="",Data!N169,Data_Override!N169)</f>
        <v>264.45966385672398</v>
      </c>
      <c r="U169" s="139">
        <f>IF(Data_Override!P169="",Data!P169,Data_Override!P169)</f>
        <v>5</v>
      </c>
      <c r="V169" s="139">
        <f>IF(Data_Override!Q169="",Data!Q169,Data_Override!Q169)</f>
        <v>5</v>
      </c>
      <c r="W169" s="139">
        <f>IF(Data_Override!R169="",Data!R169,Data_Override!R169)</f>
        <v>14.029746141249699</v>
      </c>
      <c r="X169" s="139">
        <f>IF(Data_Override!S169="",Data!S169,Data_Override!S169)</f>
        <v>14.029746141249699</v>
      </c>
      <c r="Y169" s="140">
        <f t="shared" si="49"/>
        <v>5</v>
      </c>
      <c r="Z169" s="140">
        <f t="shared" si="50"/>
        <v>14.029746141249699</v>
      </c>
      <c r="AB169" s="139">
        <f>IF(Data_Override!U169="",Data!U169,Data_Override!U169)</f>
        <v>138.19999999999999</v>
      </c>
      <c r="AC169" s="139">
        <f>IF(Data_Override!V169="",Data!V169,Data_Override!V169)</f>
        <v>16978.8</v>
      </c>
      <c r="AD169" s="139">
        <f>IF(Data_Override!W169="",Data!W169,Data_Override!W169)</f>
        <v>1596.059</v>
      </c>
    </row>
    <row r="170" spans="1:30" x14ac:dyDescent="0.2">
      <c r="A170" s="141" t="s">
        <v>229</v>
      </c>
      <c r="B170" s="142" t="s">
        <v>35</v>
      </c>
      <c r="C170" s="142" t="s">
        <v>24</v>
      </c>
      <c r="D170" s="19" t="str">
        <f t="shared" si="43"/>
        <v>25</v>
      </c>
      <c r="E170" s="139">
        <f>IF(Data_Override!D170="",Data!D170,Data_Override!D170)</f>
        <v>0</v>
      </c>
      <c r="F170" s="139">
        <f>IF(Data_Override!E170="",Data!E170,Data_Override!E170)</f>
        <v>0</v>
      </c>
      <c r="G170" s="139">
        <f>IF(Data_Override!F170="",Data!F170,Data_Override!F170)</f>
        <v>0</v>
      </c>
      <c r="H170" s="139">
        <f>IF(Data_Override!G170="",Data!G170,Data_Override!G170)</f>
        <v>9.08</v>
      </c>
      <c r="I170" s="140">
        <f t="shared" si="44"/>
        <v>0</v>
      </c>
      <c r="J170" s="140">
        <f t="shared" si="45"/>
        <v>9.08</v>
      </c>
      <c r="L170" s="139">
        <f>IF(Data_Override!I170="",Data!I170,Data_Override!I170)</f>
        <v>0</v>
      </c>
      <c r="M170" s="139">
        <f>IF(Data_Override!J170="",Data!J170,Data_Override!J170)</f>
        <v>0</v>
      </c>
      <c r="N170" s="139">
        <f>IF(Data_Override!K170="",Data!K170,Data_Override!K170)</f>
        <v>0</v>
      </c>
      <c r="O170" s="139">
        <f>IF(Data_Override!L170="",Data!L170,Data_Override!L170)</f>
        <v>10.337</v>
      </c>
      <c r="P170" s="140">
        <f t="shared" si="47"/>
        <v>0</v>
      </c>
      <c r="Q170" s="140">
        <f t="shared" si="48"/>
        <v>10.337</v>
      </c>
      <c r="S170" s="139">
        <f>IF(Data_Override!N170="",Data!N170,Data_Override!N170)</f>
        <v>241.87214968152301</v>
      </c>
      <c r="U170" s="139">
        <f>IF(Data_Override!P170="",Data!P170,Data_Override!P170)</f>
        <v>0</v>
      </c>
      <c r="V170" s="139">
        <f>IF(Data_Override!Q170="",Data!Q170,Data_Override!Q170)</f>
        <v>0</v>
      </c>
      <c r="W170" s="139">
        <f>IF(Data_Override!R170="",Data!R170,Data_Override!R170)</f>
        <v>9.7390218386345104</v>
      </c>
      <c r="X170" s="139">
        <f>IF(Data_Override!S170="",Data!S170,Data_Override!S170)</f>
        <v>9.7390218386345104</v>
      </c>
      <c r="Y170" s="140">
        <f t="shared" si="49"/>
        <v>0</v>
      </c>
      <c r="Z170" s="140">
        <f t="shared" si="50"/>
        <v>9.7390218386345104</v>
      </c>
      <c r="AB170" s="139">
        <f>IF(Data_Override!U170="",Data!U170,Data_Override!U170)</f>
        <v>132.19999999999999</v>
      </c>
      <c r="AC170" s="139">
        <f>IF(Data_Override!V170="",Data!V170,Data_Override!V170)</f>
        <v>17028</v>
      </c>
      <c r="AD170" s="139">
        <f>IF(Data_Override!W170="",Data!W170,Data_Override!W170)</f>
        <v>1612.5170000000001</v>
      </c>
    </row>
    <row r="171" spans="1:30" hidden="1" x14ac:dyDescent="0.2">
      <c r="A171" s="138" t="str">
        <f t="shared" ref="A171" si="51">B171&amp;RIGHT(C171,2)</f>
        <v>BRL12</v>
      </c>
      <c r="B171" s="19" t="s">
        <v>36</v>
      </c>
      <c r="C171" s="143" t="s">
        <v>64</v>
      </c>
      <c r="D171" s="19" t="str">
        <f t="shared" si="43"/>
        <v>12</v>
      </c>
      <c r="E171" s="139">
        <f>IF(Data_Override!D171="",Data!D171,Data_Override!D171)</f>
        <v>0</v>
      </c>
      <c r="F171" s="139">
        <f>IF(Data_Override!E171="",Data!E171,Data_Override!E171)</f>
        <v>0.59120880091897099</v>
      </c>
      <c r="G171" s="139">
        <f>IF(Data_Override!F171="",Data!F171,Data_Override!F171)</f>
        <v>0</v>
      </c>
      <c r="H171" s="139">
        <f>IF(Data_Override!G171="",Data!G171,Data_Override!G171)</f>
        <v>4.76945268180613</v>
      </c>
      <c r="I171" s="140">
        <f t="shared" si="44"/>
        <v>0.59120880091897099</v>
      </c>
      <c r="J171" s="140">
        <f t="shared" si="45"/>
        <v>4.76945268180613</v>
      </c>
      <c r="L171" s="139">
        <f>IF(Data_Override!I171="",Data!I171,Data_Override!I171)</f>
        <v>0</v>
      </c>
      <c r="M171" s="139">
        <f>IF(Data_Override!J171="",Data!J171,Data_Override!J171)</f>
        <v>0</v>
      </c>
      <c r="N171" s="139">
        <f>IF(Data_Override!K171="",Data!K171,Data_Override!K171)</f>
        <v>0</v>
      </c>
      <c r="O171" s="139">
        <f>IF(Data_Override!L171="",Data!L171,Data_Override!L171)</f>
        <v>0</v>
      </c>
      <c r="P171" s="140">
        <f t="shared" si="47"/>
        <v>0</v>
      </c>
      <c r="Q171" s="140">
        <f t="shared" si="48"/>
        <v>0</v>
      </c>
      <c r="S171" s="139">
        <f>IF(Data_Override!N171="",Data!N171,Data_Override!N171)</f>
        <v>106.85518918441301</v>
      </c>
      <c r="U171" s="139">
        <f>IF(Data_Override!P171="",Data!P171,Data_Override!P171)</f>
        <v>0</v>
      </c>
      <c r="V171" s="139">
        <f>IF(Data_Override!Q171="",Data!Q171,Data_Override!Q171)</f>
        <v>0</v>
      </c>
      <c r="W171" s="139">
        <f>IF(Data_Override!R171="",Data!R171,Data_Override!R171)</f>
        <v>0</v>
      </c>
      <c r="X171" s="139">
        <f>IF(Data_Override!S171="",Data!S171,Data_Override!S171)</f>
        <v>0</v>
      </c>
      <c r="Y171" s="140">
        <f t="shared" si="49"/>
        <v>0</v>
      </c>
      <c r="Z171" s="140">
        <f t="shared" si="50"/>
        <v>0</v>
      </c>
      <c r="AB171" s="139">
        <f>IF(Data_Override!U171="",Data!U171,Data_Override!U171)</f>
        <v>0</v>
      </c>
      <c r="AC171" s="139">
        <f>IF(Data_Override!V171="",Data!V171,Data_Override!V171)</f>
        <v>0</v>
      </c>
      <c r="AD171" s="139">
        <f>IF(Data_Override!W171="",Data!W171,Data_Override!W171)</f>
        <v>0</v>
      </c>
    </row>
    <row r="172" spans="1:30" hidden="1" x14ac:dyDescent="0.2">
      <c r="A172" s="138" t="str">
        <f>B172&amp;RIGHT(C172,2)</f>
        <v>BRL13</v>
      </c>
      <c r="B172" s="19" t="s">
        <v>36</v>
      </c>
      <c r="C172" s="143" t="s">
        <v>65</v>
      </c>
      <c r="D172" s="19" t="str">
        <f t="shared" si="43"/>
        <v>13</v>
      </c>
      <c r="E172" s="139">
        <f>IF(Data_Override!D172="",Data!D172,Data_Override!D172)</f>
        <v>0</v>
      </c>
      <c r="F172" s="139">
        <f>IF(Data_Override!E172="",Data!E172,Data_Override!E172)</f>
        <v>2.41811440897325</v>
      </c>
      <c r="G172" s="139">
        <f>IF(Data_Override!F172="",Data!F172,Data_Override!F172)</f>
        <v>0</v>
      </c>
      <c r="H172" s="139">
        <f>IF(Data_Override!G172="",Data!G172,Data_Override!G172)</f>
        <v>5.5268103537532296</v>
      </c>
      <c r="I172" s="140">
        <f t="shared" si="44"/>
        <v>2.41811440897325</v>
      </c>
      <c r="J172" s="140">
        <f t="shared" si="45"/>
        <v>5.5268103537532296</v>
      </c>
      <c r="L172" s="139">
        <f>IF(Data_Override!I172="",Data!I172,Data_Override!I172)</f>
        <v>0</v>
      </c>
      <c r="M172" s="139">
        <f>IF(Data_Override!J172="",Data!J172,Data_Override!J172)</f>
        <v>0</v>
      </c>
      <c r="N172" s="139">
        <f>IF(Data_Override!K172="",Data!K172,Data_Override!K172)</f>
        <v>0</v>
      </c>
      <c r="O172" s="139">
        <f>IF(Data_Override!L172="",Data!L172,Data_Override!L172)</f>
        <v>0</v>
      </c>
      <c r="P172" s="140">
        <f t="shared" si="47"/>
        <v>0</v>
      </c>
      <c r="Q172" s="140">
        <f t="shared" si="48"/>
        <v>0</v>
      </c>
      <c r="S172" s="139">
        <f>IF(Data_Override!N172="",Data!N172,Data_Override!N172)</f>
        <v>136.686587575495</v>
      </c>
      <c r="U172" s="139">
        <f>IF(Data_Override!P172="",Data!P172,Data_Override!P172)</f>
        <v>0</v>
      </c>
      <c r="V172" s="139">
        <f>IF(Data_Override!Q172="",Data!Q172,Data_Override!Q172)</f>
        <v>0</v>
      </c>
      <c r="W172" s="139">
        <f>IF(Data_Override!R172="",Data!R172,Data_Override!R172)</f>
        <v>0</v>
      </c>
      <c r="X172" s="139">
        <f>IF(Data_Override!S172="",Data!S172,Data_Override!S172)</f>
        <v>0</v>
      </c>
      <c r="Y172" s="140">
        <f t="shared" si="49"/>
        <v>0</v>
      </c>
      <c r="Z172" s="140">
        <f t="shared" si="50"/>
        <v>0</v>
      </c>
      <c r="AB172" s="139">
        <f>IF(Data_Override!U172="",Data!U172,Data_Override!U172)</f>
        <v>0</v>
      </c>
      <c r="AC172" s="139">
        <f>IF(Data_Override!V172="",Data!V172,Data_Override!V172)</f>
        <v>0</v>
      </c>
      <c r="AD172" s="139">
        <f>IF(Data_Override!W172="",Data!W172,Data_Override!W172)</f>
        <v>0</v>
      </c>
    </row>
    <row r="173" spans="1:30" hidden="1" x14ac:dyDescent="0.2">
      <c r="A173" s="138" t="str">
        <f>B173&amp;RIGHT(C173,2)</f>
        <v>BRL14</v>
      </c>
      <c r="B173" s="19" t="s">
        <v>36</v>
      </c>
      <c r="C173" s="143" t="s">
        <v>66</v>
      </c>
      <c r="D173" s="19" t="str">
        <f t="shared" si="43"/>
        <v>14</v>
      </c>
      <c r="E173" s="139">
        <f>IF(Data_Override!D173="",Data!D173,Data_Override!D173)</f>
        <v>0</v>
      </c>
      <c r="F173" s="139">
        <f>IF(Data_Override!E173="",Data!E173,Data_Override!E173)</f>
        <v>2.8844552062204198</v>
      </c>
      <c r="G173" s="139">
        <f>IF(Data_Override!F173="",Data!F173,Data_Override!F173)</f>
        <v>0</v>
      </c>
      <c r="H173" s="139">
        <f>IF(Data_Override!G173="",Data!G173,Data_Override!G173)</f>
        <v>5.05545960108181</v>
      </c>
      <c r="I173" s="140">
        <f t="shared" si="44"/>
        <v>2.8844552062204198</v>
      </c>
      <c r="J173" s="140">
        <f t="shared" si="45"/>
        <v>5.05545960108181</v>
      </c>
      <c r="L173" s="139">
        <f>IF(Data_Override!I173="",Data!I173,Data_Override!I173)</f>
        <v>0</v>
      </c>
      <c r="M173" s="139">
        <f>IF(Data_Override!J173="",Data!J173,Data_Override!J173)</f>
        <v>0</v>
      </c>
      <c r="N173" s="139">
        <f>IF(Data_Override!K173="",Data!K173,Data_Override!K173)</f>
        <v>0</v>
      </c>
      <c r="O173" s="139">
        <f>IF(Data_Override!L173="",Data!L173,Data_Override!L173)</f>
        <v>0</v>
      </c>
      <c r="P173" s="140">
        <f t="shared" si="47"/>
        <v>0</v>
      </c>
      <c r="Q173" s="140">
        <f t="shared" si="48"/>
        <v>0</v>
      </c>
      <c r="S173" s="139">
        <f>IF(Data_Override!N173="",Data!N173,Data_Override!N173)</f>
        <v>124.52623309668699</v>
      </c>
      <c r="U173" s="139">
        <f>IF(Data_Override!P173="",Data!P173,Data_Override!P173)</f>
        <v>0</v>
      </c>
      <c r="V173" s="139">
        <f>IF(Data_Override!Q173="",Data!Q173,Data_Override!Q173)</f>
        <v>0</v>
      </c>
      <c r="W173" s="139">
        <f>IF(Data_Override!R173="",Data!R173,Data_Override!R173)</f>
        <v>0</v>
      </c>
      <c r="X173" s="139">
        <f>IF(Data_Override!S173="",Data!S173,Data_Override!S173)</f>
        <v>0</v>
      </c>
      <c r="Y173" s="140">
        <f t="shared" si="49"/>
        <v>0</v>
      </c>
      <c r="Z173" s="140">
        <f t="shared" si="50"/>
        <v>0</v>
      </c>
      <c r="AB173" s="139">
        <f>IF(Data_Override!U173="",Data!U173,Data_Override!U173)</f>
        <v>0</v>
      </c>
      <c r="AC173" s="139">
        <f>IF(Data_Override!V173="",Data!V173,Data_Override!V173)</f>
        <v>0</v>
      </c>
      <c r="AD173" s="139">
        <f>IF(Data_Override!W173="",Data!W173,Data_Override!W173)</f>
        <v>0</v>
      </c>
    </row>
    <row r="174" spans="1:30" hidden="1" x14ac:dyDescent="0.2">
      <c r="A174" s="138" t="str">
        <f>B174&amp;RIGHT(C174,2)</f>
        <v>BRL15</v>
      </c>
      <c r="B174" s="19" t="s">
        <v>36</v>
      </c>
      <c r="C174" s="143" t="s">
        <v>67</v>
      </c>
      <c r="D174" s="19" t="str">
        <f t="shared" si="43"/>
        <v>15</v>
      </c>
      <c r="E174" s="139">
        <f>IF(Data_Override!D174="",Data!D174,Data_Override!D174)</f>
        <v>0</v>
      </c>
      <c r="F174" s="139">
        <f>IF(Data_Override!E174="",Data!E174,Data_Override!E174)</f>
        <v>0.46922319712542798</v>
      </c>
      <c r="G174" s="139">
        <f>IF(Data_Override!F174="",Data!F174,Data_Override!F174)</f>
        <v>0</v>
      </c>
      <c r="H174" s="139">
        <f>IF(Data_Override!G174="",Data!G174,Data_Override!G174)</f>
        <v>3.2030492186847201</v>
      </c>
      <c r="I174" s="140">
        <f t="shared" si="44"/>
        <v>0.46922319712542798</v>
      </c>
      <c r="J174" s="140">
        <f t="shared" si="45"/>
        <v>3.2030492186847201</v>
      </c>
      <c r="L174" s="139">
        <f>IF(Data_Override!I174="",Data!I174,Data_Override!I174)</f>
        <v>0</v>
      </c>
      <c r="M174" s="139">
        <f>IF(Data_Override!J174="",Data!J174,Data_Override!J174)</f>
        <v>0</v>
      </c>
      <c r="N174" s="139">
        <f>IF(Data_Override!K174="",Data!K174,Data_Override!K174)</f>
        <v>0</v>
      </c>
      <c r="O174" s="139">
        <f>IF(Data_Override!L174="",Data!L174,Data_Override!L174)</f>
        <v>0</v>
      </c>
      <c r="P174" s="140">
        <f t="shared" si="47"/>
        <v>0</v>
      </c>
      <c r="Q174" s="140">
        <f t="shared" si="48"/>
        <v>0</v>
      </c>
      <c r="S174" s="139">
        <f>IF(Data_Override!N174="",Data!N174,Data_Override!N174)</f>
        <v>111.47342809392499</v>
      </c>
      <c r="U174" s="139">
        <f>IF(Data_Override!P174="",Data!P174,Data_Override!P174)</f>
        <v>0</v>
      </c>
      <c r="V174" s="139">
        <f>IF(Data_Override!Q174="",Data!Q174,Data_Override!Q174)</f>
        <v>0</v>
      </c>
      <c r="W174" s="139">
        <f>IF(Data_Override!R174="",Data!R174,Data_Override!R174)</f>
        <v>0</v>
      </c>
      <c r="X174" s="139">
        <f>IF(Data_Override!S174="",Data!S174,Data_Override!S174)</f>
        <v>0</v>
      </c>
      <c r="Y174" s="140">
        <f t="shared" si="49"/>
        <v>0</v>
      </c>
      <c r="Z174" s="140">
        <f t="shared" si="50"/>
        <v>0</v>
      </c>
      <c r="AB174" s="139">
        <f>IF(Data_Override!U174="",Data!U174,Data_Override!U174)</f>
        <v>0</v>
      </c>
      <c r="AC174" s="139">
        <f>IF(Data_Override!V174="",Data!V174,Data_Override!V174)</f>
        <v>0</v>
      </c>
      <c r="AD174" s="139">
        <f>IF(Data_Override!W174="",Data!W174,Data_Override!W174)</f>
        <v>0</v>
      </c>
    </row>
    <row r="175" spans="1:30" hidden="1" x14ac:dyDescent="0.2">
      <c r="A175" s="138" t="str">
        <f>B175&amp;RIGHT(C175,2)</f>
        <v>BRL16</v>
      </c>
      <c r="B175" s="19" t="s">
        <v>36</v>
      </c>
      <c r="C175" s="143" t="s">
        <v>68</v>
      </c>
      <c r="D175" s="19" t="str">
        <f t="shared" si="43"/>
        <v>16</v>
      </c>
      <c r="E175" s="139">
        <f>IF(Data_Override!D175="",Data!D175,Data_Override!D175)</f>
        <v>0</v>
      </c>
      <c r="F175" s="139">
        <f>IF(Data_Override!E175="",Data!E175,Data_Override!E175)</f>
        <v>7.28302828618968E-3</v>
      </c>
      <c r="G175" s="139">
        <f>IF(Data_Override!F175="",Data!F175,Data_Override!F175)</f>
        <v>0</v>
      </c>
      <c r="H175" s="139">
        <f>IF(Data_Override!G175="",Data!G175,Data_Override!G175)</f>
        <v>1.7073499168053199</v>
      </c>
      <c r="I175" s="140">
        <f t="shared" si="44"/>
        <v>7.28302828618968E-3</v>
      </c>
      <c r="J175" s="140">
        <f t="shared" si="45"/>
        <v>1.7073499168053199</v>
      </c>
      <c r="L175" s="139">
        <f>IF(Data_Override!I175="",Data!I175,Data_Override!I175)</f>
        <v>0</v>
      </c>
      <c r="M175" s="139">
        <f>IF(Data_Override!J175="",Data!J175,Data_Override!J175)</f>
        <v>0</v>
      </c>
      <c r="N175" s="139">
        <f>IF(Data_Override!K175="",Data!K175,Data_Override!K175)</f>
        <v>0</v>
      </c>
      <c r="O175" s="139">
        <f>IF(Data_Override!L175="",Data!L175,Data_Override!L175)</f>
        <v>0</v>
      </c>
      <c r="P175" s="140">
        <f t="shared" si="47"/>
        <v>0</v>
      </c>
      <c r="Q175" s="140">
        <f t="shared" si="48"/>
        <v>0</v>
      </c>
      <c r="S175" s="139">
        <f>IF(Data_Override!N175="",Data!N175,Data_Override!N175)</f>
        <v>74.081923294509096</v>
      </c>
      <c r="U175" s="139">
        <f>IF(Data_Override!P175="",Data!P175,Data_Override!P175)</f>
        <v>0</v>
      </c>
      <c r="V175" s="139">
        <f>IF(Data_Override!Q175="",Data!Q175,Data_Override!Q175)</f>
        <v>0</v>
      </c>
      <c r="W175" s="139">
        <f>IF(Data_Override!R175="",Data!R175,Data_Override!R175)</f>
        <v>0</v>
      </c>
      <c r="X175" s="139">
        <f>IF(Data_Override!S175="",Data!S175,Data_Override!S175)</f>
        <v>0</v>
      </c>
      <c r="Y175" s="140">
        <f t="shared" si="49"/>
        <v>0</v>
      </c>
      <c r="Z175" s="140">
        <f t="shared" si="50"/>
        <v>0</v>
      </c>
      <c r="AB175" s="139">
        <f>IF(Data_Override!U175="",Data!U175,Data_Override!U175)</f>
        <v>0</v>
      </c>
      <c r="AC175" s="139">
        <f>IF(Data_Override!V175="",Data!V175,Data_Override!V175)</f>
        <v>0</v>
      </c>
      <c r="AD175" s="139">
        <f>IF(Data_Override!W175="",Data!W175,Data_Override!W175)</f>
        <v>0</v>
      </c>
    </row>
    <row r="176" spans="1:30" hidden="1" x14ac:dyDescent="0.2">
      <c r="A176" s="138" t="str">
        <f>B176&amp;RIGHT(C176,2)</f>
        <v>BRL17</v>
      </c>
      <c r="B176" s="19" t="s">
        <v>36</v>
      </c>
      <c r="C176" s="143" t="s">
        <v>69</v>
      </c>
      <c r="D176" s="19" t="str">
        <f t="shared" si="43"/>
        <v>17</v>
      </c>
      <c r="E176" s="139">
        <f>IF(Data_Override!D176="",Data!D176,Data_Override!D176)</f>
        <v>0</v>
      </c>
      <c r="F176" s="139">
        <f>IF(Data_Override!E176="",Data!E176,Data_Override!E176)</f>
        <v>0</v>
      </c>
      <c r="G176" s="139">
        <f>IF(Data_Override!F176="",Data!F176,Data_Override!F176)</f>
        <v>0</v>
      </c>
      <c r="H176" s="139">
        <f>IF(Data_Override!G176="",Data!G176,Data_Override!G176)</f>
        <v>3.1344541649569102</v>
      </c>
      <c r="I176" s="140">
        <f t="shared" si="44"/>
        <v>0</v>
      </c>
      <c r="J176" s="140">
        <f t="shared" si="45"/>
        <v>3.1344541649569102</v>
      </c>
      <c r="L176" s="139">
        <f>IF(Data_Override!I176="",Data!I176,Data_Override!I176)</f>
        <v>0</v>
      </c>
      <c r="M176" s="139">
        <f>IF(Data_Override!J176="",Data!J176,Data_Override!J176)</f>
        <v>0</v>
      </c>
      <c r="N176" s="139">
        <f>IF(Data_Override!K176="",Data!K176,Data_Override!K176)</f>
        <v>0</v>
      </c>
      <c r="O176" s="139">
        <f>IF(Data_Override!L176="",Data!L176,Data_Override!L176)</f>
        <v>0</v>
      </c>
      <c r="P176" s="140">
        <f t="shared" si="47"/>
        <v>0</v>
      </c>
      <c r="Q176" s="140">
        <f t="shared" si="48"/>
        <v>0</v>
      </c>
      <c r="S176" s="139">
        <f>IF(Data_Override!N176="",Data!N176,Data_Override!N176)</f>
        <v>85.121881165367199</v>
      </c>
      <c r="U176" s="139">
        <f>IF(Data_Override!P176="",Data!P176,Data_Override!P176)</f>
        <v>0</v>
      </c>
      <c r="V176" s="139">
        <f>IF(Data_Override!Q176="",Data!Q176,Data_Override!Q176)</f>
        <v>0</v>
      </c>
      <c r="W176" s="139">
        <f>IF(Data_Override!R176="",Data!R176,Data_Override!R176)</f>
        <v>0</v>
      </c>
      <c r="X176" s="139">
        <f>IF(Data_Override!S176="",Data!S176,Data_Override!S176)</f>
        <v>0</v>
      </c>
      <c r="Y176" s="140">
        <f t="shared" si="49"/>
        <v>0</v>
      </c>
      <c r="Z176" s="140">
        <f t="shared" si="50"/>
        <v>0</v>
      </c>
      <c r="AB176" s="139">
        <f>IF(Data_Override!U176="",Data!U176,Data_Override!U176)</f>
        <v>0</v>
      </c>
      <c r="AC176" s="139">
        <f>IF(Data_Override!V176="",Data!V176,Data_Override!V176)</f>
        <v>0</v>
      </c>
      <c r="AD176" s="139">
        <f>IF(Data_Override!W176="",Data!W176,Data_Override!W176)</f>
        <v>0</v>
      </c>
    </row>
    <row r="177" spans="1:30" hidden="1" x14ac:dyDescent="0.2">
      <c r="A177" s="141" t="s">
        <v>230</v>
      </c>
      <c r="B177" s="142" t="s">
        <v>36</v>
      </c>
      <c r="C177" s="142" t="s">
        <v>70</v>
      </c>
      <c r="D177" s="19" t="str">
        <f t="shared" si="43"/>
        <v>18</v>
      </c>
      <c r="E177" s="139">
        <f>IF(Data_Override!D177="",Data!D177,Data_Override!D177)</f>
        <v>0</v>
      </c>
      <c r="F177" s="139">
        <f>IF(Data_Override!E177="",Data!E177,Data_Override!E177)</f>
        <v>0</v>
      </c>
      <c r="G177" s="139">
        <f>IF(Data_Override!F177="",Data!F177,Data_Override!F177)</f>
        <v>0</v>
      </c>
      <c r="H177" s="139">
        <f>IF(Data_Override!G177="",Data!G177,Data_Override!G177)</f>
        <v>5.4039999999999999</v>
      </c>
      <c r="I177" s="140">
        <f t="shared" si="44"/>
        <v>0</v>
      </c>
      <c r="J177" s="140">
        <f t="shared" si="45"/>
        <v>5.4039999999999999</v>
      </c>
      <c r="L177" s="139">
        <f>IF(Data_Override!I177="",Data!I177,Data_Override!I177)</f>
        <v>0</v>
      </c>
      <c r="M177" s="139">
        <f>IF(Data_Override!J177="",Data!J177,Data_Override!J177)</f>
        <v>0</v>
      </c>
      <c r="N177" s="139">
        <f>IF(Data_Override!K177="",Data!K177,Data_Override!K177)</f>
        <v>0</v>
      </c>
      <c r="O177" s="139">
        <f>IF(Data_Override!L177="",Data!L177,Data_Override!L177)</f>
        <v>0</v>
      </c>
      <c r="P177" s="140">
        <f t="shared" si="47"/>
        <v>0</v>
      </c>
      <c r="Q177" s="140">
        <f t="shared" si="48"/>
        <v>0</v>
      </c>
      <c r="S177" s="139">
        <f>IF(Data_Override!N177="",Data!N177,Data_Override!N177)</f>
        <v>103.363</v>
      </c>
      <c r="U177" s="139">
        <f>IF(Data_Override!P177="",Data!P177,Data_Override!P177)</f>
        <v>0</v>
      </c>
      <c r="V177" s="139">
        <f>IF(Data_Override!Q177="",Data!Q177,Data_Override!Q177)</f>
        <v>0</v>
      </c>
      <c r="W177" s="139">
        <f>IF(Data_Override!R177="",Data!R177,Data_Override!R177)</f>
        <v>0</v>
      </c>
      <c r="X177" s="139">
        <f>IF(Data_Override!S177="",Data!S177,Data_Override!S177)</f>
        <v>0.49</v>
      </c>
      <c r="Y177" s="140">
        <f t="shared" si="49"/>
        <v>0</v>
      </c>
      <c r="Z177" s="140">
        <f t="shared" si="50"/>
        <v>0.49</v>
      </c>
      <c r="AB177" s="139">
        <f>IF(Data_Override!U177="",Data!U177,Data_Override!U177)</f>
        <v>46.64</v>
      </c>
      <c r="AC177" s="139">
        <f>IF(Data_Override!V177="",Data!V177,Data_Override!V177)</f>
        <v>6828</v>
      </c>
      <c r="AD177" s="139">
        <f>IF(Data_Override!W177="",Data!W177,Data_Override!W177)</f>
        <v>536.13800000000003</v>
      </c>
    </row>
    <row r="178" spans="1:30" hidden="1" x14ac:dyDescent="0.2">
      <c r="A178" s="141" t="s">
        <v>231</v>
      </c>
      <c r="B178" s="142" t="s">
        <v>36</v>
      </c>
      <c r="C178" s="142" t="s">
        <v>71</v>
      </c>
      <c r="D178" s="19" t="str">
        <f t="shared" si="43"/>
        <v>19</v>
      </c>
      <c r="E178" s="139">
        <f>IF(Data_Override!D178="",Data!D178,Data_Override!D178)</f>
        <v>0</v>
      </c>
      <c r="F178" s="139">
        <f>IF(Data_Override!E178="",Data!E178,Data_Override!E178)</f>
        <v>0.70249632295415398</v>
      </c>
      <c r="G178" s="139">
        <f>IF(Data_Override!F178="",Data!F178,Data_Override!F178)</f>
        <v>0</v>
      </c>
      <c r="H178" s="139">
        <f>IF(Data_Override!G178="",Data!G178,Data_Override!G178)</f>
        <v>1.9440949773118399</v>
      </c>
      <c r="I178" s="140">
        <f t="shared" si="44"/>
        <v>0.70249632295415398</v>
      </c>
      <c r="J178" s="140">
        <f t="shared" si="45"/>
        <v>1.9440949773118399</v>
      </c>
      <c r="L178" s="139">
        <f>IF(Data_Override!I178="",Data!I178,Data_Override!I178)</f>
        <v>0</v>
      </c>
      <c r="M178" s="139">
        <f>IF(Data_Override!J178="",Data!J178,Data_Override!J178)</f>
        <v>0</v>
      </c>
      <c r="N178" s="139">
        <f>IF(Data_Override!K178="",Data!K178,Data_Override!K178)</f>
        <v>0</v>
      </c>
      <c r="O178" s="139">
        <f>IF(Data_Override!L178="",Data!L178,Data_Override!L178)</f>
        <v>0</v>
      </c>
      <c r="P178" s="140">
        <f t="shared" si="47"/>
        <v>0</v>
      </c>
      <c r="Q178" s="140">
        <f t="shared" si="48"/>
        <v>0</v>
      </c>
      <c r="S178" s="139">
        <f>IF(Data_Override!N178="",Data!N178,Data_Override!N178)</f>
        <v>104.82067000469399</v>
      </c>
      <c r="U178" s="139">
        <f>IF(Data_Override!P178="",Data!P178,Data_Override!P178)</f>
        <v>0</v>
      </c>
      <c r="V178" s="139">
        <f>IF(Data_Override!Q178="",Data!Q178,Data_Override!Q178)</f>
        <v>0</v>
      </c>
      <c r="W178" s="139">
        <f>IF(Data_Override!R178="",Data!R178,Data_Override!R178)</f>
        <v>0</v>
      </c>
      <c r="X178" s="139">
        <f>IF(Data_Override!S178="",Data!S178,Data_Override!S178)</f>
        <v>3.01</v>
      </c>
      <c r="Y178" s="140">
        <f t="shared" si="49"/>
        <v>0</v>
      </c>
      <c r="Z178" s="140">
        <f t="shared" si="50"/>
        <v>3.01</v>
      </c>
      <c r="AB178" s="139">
        <f>IF(Data_Override!U178="",Data!U178,Data_Override!U178)</f>
        <v>44</v>
      </c>
      <c r="AC178" s="139">
        <f>IF(Data_Override!V178="",Data!V178,Data_Override!V178)</f>
        <v>6854</v>
      </c>
      <c r="AD178" s="139">
        <f>IF(Data_Override!W178="",Data!W178,Data_Override!W178)</f>
        <v>542.029</v>
      </c>
    </row>
    <row r="179" spans="1:30" hidden="1" x14ac:dyDescent="0.2">
      <c r="A179" s="141" t="s">
        <v>232</v>
      </c>
      <c r="B179" s="142" t="s">
        <v>36</v>
      </c>
      <c r="C179" s="142" t="s">
        <v>72</v>
      </c>
      <c r="D179" s="19" t="str">
        <f t="shared" si="43"/>
        <v>20</v>
      </c>
      <c r="E179" s="139">
        <f>IF(Data_Override!D179="",Data!D179,Data_Override!D179)</f>
        <v>0</v>
      </c>
      <c r="F179" s="139">
        <f>IF(Data_Override!E179="",Data!E179,Data_Override!E179)</f>
        <v>2.2848239090350302</v>
      </c>
      <c r="G179" s="139">
        <f>IF(Data_Override!F179="",Data!F179,Data_Override!F179)</f>
        <v>0</v>
      </c>
      <c r="H179" s="139">
        <f>IF(Data_Override!G179="",Data!G179,Data_Override!G179)</f>
        <v>1.09533189920098</v>
      </c>
      <c r="I179" s="140">
        <f t="shared" si="44"/>
        <v>2.2848239090350302</v>
      </c>
      <c r="J179" s="140">
        <f t="shared" si="45"/>
        <v>1.09533189920098</v>
      </c>
      <c r="L179" s="139">
        <f>IF(Data_Override!I179="",Data!I179,Data_Override!I179)</f>
        <v>0</v>
      </c>
      <c r="M179" s="139">
        <f>IF(Data_Override!J179="",Data!J179,Data_Override!J179)</f>
        <v>0</v>
      </c>
      <c r="N179" s="139">
        <f>IF(Data_Override!K179="",Data!K179,Data_Override!K179)</f>
        <v>0</v>
      </c>
      <c r="O179" s="139">
        <f>IF(Data_Override!L179="",Data!L179,Data_Override!L179)</f>
        <v>0</v>
      </c>
      <c r="P179" s="140">
        <f t="shared" si="47"/>
        <v>0</v>
      </c>
      <c r="Q179" s="140">
        <f t="shared" si="48"/>
        <v>0</v>
      </c>
      <c r="S179" s="139">
        <f>IF(Data_Override!N179="",Data!N179,Data_Override!N179)</f>
        <v>101.847611094038</v>
      </c>
      <c r="U179" s="139">
        <f>IF(Data_Override!P179="",Data!P179,Data_Override!P179)</f>
        <v>0</v>
      </c>
      <c r="V179" s="139">
        <f>IF(Data_Override!Q179="",Data!Q179,Data_Override!Q179)</f>
        <v>0</v>
      </c>
      <c r="W179" s="139">
        <f>IF(Data_Override!R179="",Data!R179,Data_Override!R179)</f>
        <v>0</v>
      </c>
      <c r="X179" s="139">
        <f>IF(Data_Override!S179="",Data!S179,Data_Override!S179)</f>
        <v>1.36</v>
      </c>
      <c r="Y179" s="140">
        <f t="shared" si="49"/>
        <v>0</v>
      </c>
      <c r="Z179" s="140">
        <f t="shared" si="50"/>
        <v>1.36</v>
      </c>
      <c r="AB179" s="139">
        <f>IF(Data_Override!U179="",Data!U179,Data_Override!U179)</f>
        <v>43</v>
      </c>
      <c r="AC179" s="139">
        <f>IF(Data_Override!V179="",Data!V179,Data_Override!V179)</f>
        <v>6880</v>
      </c>
      <c r="AD179" s="139">
        <f>IF(Data_Override!W179="",Data!W179,Data_Override!W179)</f>
        <v>548.09500000000003</v>
      </c>
    </row>
    <row r="180" spans="1:30" x14ac:dyDescent="0.2">
      <c r="A180" s="141" t="s">
        <v>233</v>
      </c>
      <c r="B180" s="142" t="s">
        <v>36</v>
      </c>
      <c r="C180" s="142" t="s">
        <v>73</v>
      </c>
      <c r="D180" s="19" t="str">
        <f t="shared" si="43"/>
        <v>21</v>
      </c>
      <c r="E180" s="139">
        <f>IF(Data_Override!D180="",Data!D180,Data_Override!D180)</f>
        <v>0</v>
      </c>
      <c r="F180" s="139">
        <f>IF(Data_Override!E180="",Data!E180,Data_Override!E180)</f>
        <v>0</v>
      </c>
      <c r="G180" s="139">
        <f>IF(Data_Override!F180="",Data!F180,Data_Override!F180)</f>
        <v>0</v>
      </c>
      <c r="H180" s="139">
        <f>IF(Data_Override!G180="",Data!G180,Data_Override!G180)</f>
        <v>0.69599999999999995</v>
      </c>
      <c r="I180" s="140">
        <f t="shared" si="44"/>
        <v>0</v>
      </c>
      <c r="J180" s="140">
        <f t="shared" si="45"/>
        <v>0.69599999999999995</v>
      </c>
      <c r="L180" s="139">
        <f>IF(Data_Override!I180="",Data!I180,Data_Override!I180)</f>
        <v>0</v>
      </c>
      <c r="M180" s="139">
        <f>IF(Data_Override!J180="",Data!J180,Data_Override!J180)</f>
        <v>0</v>
      </c>
      <c r="N180" s="139">
        <f>IF(Data_Override!K180="",Data!K180,Data_Override!K180)</f>
        <v>0</v>
      </c>
      <c r="O180" s="139">
        <f>IF(Data_Override!L180="",Data!L180,Data_Override!L180)</f>
        <v>0.14799999999999999</v>
      </c>
      <c r="P180" s="140">
        <f t="shared" si="47"/>
        <v>0</v>
      </c>
      <c r="Q180" s="140">
        <f t="shared" si="48"/>
        <v>0.14799999999999999</v>
      </c>
      <c r="S180" s="139">
        <f>IF(Data_Override!N180="",Data!N180,Data_Override!N180)</f>
        <v>91.388000000000005</v>
      </c>
      <c r="U180" s="139">
        <f>IF(Data_Override!P180="",Data!P180,Data_Override!P180)</f>
        <v>0</v>
      </c>
      <c r="V180" s="139">
        <f>IF(Data_Override!Q180="",Data!Q180,Data_Override!Q180)</f>
        <v>0</v>
      </c>
      <c r="W180" s="139">
        <f>IF(Data_Override!R180="",Data!R180,Data_Override!R180)</f>
        <v>0</v>
      </c>
      <c r="X180" s="139">
        <f>IF(Data_Override!S180="",Data!S180,Data_Override!S180)</f>
        <v>1.04</v>
      </c>
      <c r="Y180" s="140">
        <f t="shared" si="49"/>
        <v>0</v>
      </c>
      <c r="Z180" s="140">
        <f t="shared" si="50"/>
        <v>1.04</v>
      </c>
      <c r="AB180" s="139">
        <f>IF(Data_Override!U180="",Data!U180,Data_Override!U180)</f>
        <v>42</v>
      </c>
      <c r="AC180" s="139">
        <f>IF(Data_Override!V180="",Data!V180,Data_Override!V180)</f>
        <v>6906</v>
      </c>
      <c r="AD180" s="139">
        <f>IF(Data_Override!W180="",Data!W180,Data_Override!W180)</f>
        <v>554.74400000000003</v>
      </c>
    </row>
    <row r="181" spans="1:30" x14ac:dyDescent="0.2">
      <c r="A181" s="141" t="s">
        <v>234</v>
      </c>
      <c r="B181" s="142" t="s">
        <v>36</v>
      </c>
      <c r="C181" s="142" t="s">
        <v>74</v>
      </c>
      <c r="D181" s="19" t="str">
        <f t="shared" si="43"/>
        <v>22</v>
      </c>
      <c r="E181" s="139">
        <f>IF(Data_Override!D181="",Data!D181,Data_Override!D181)</f>
        <v>0</v>
      </c>
      <c r="F181" s="139">
        <f>IF(Data_Override!E181="",Data!E181,Data_Override!E181)</f>
        <v>0</v>
      </c>
      <c r="G181" s="139">
        <f>IF(Data_Override!F181="",Data!F181,Data_Override!F181)</f>
        <v>0</v>
      </c>
      <c r="H181" s="139">
        <f>IF(Data_Override!G181="",Data!G181,Data_Override!G181)</f>
        <v>0.69599999999999995</v>
      </c>
      <c r="I181" s="140">
        <f t="shared" si="44"/>
        <v>0</v>
      </c>
      <c r="J181" s="140">
        <f t="shared" si="45"/>
        <v>0.69599999999999995</v>
      </c>
      <c r="L181" s="139">
        <f>IF(Data_Override!I181="",Data!I181,Data_Override!I181)</f>
        <v>0</v>
      </c>
      <c r="M181" s="139">
        <f>IF(Data_Override!J181="",Data!J181,Data_Override!J181)</f>
        <v>0</v>
      </c>
      <c r="N181" s="139">
        <f>IF(Data_Override!K181="",Data!K181,Data_Override!K181)</f>
        <v>0</v>
      </c>
      <c r="O181" s="139">
        <f>IF(Data_Override!L181="",Data!L181,Data_Override!L181)</f>
        <v>0.14899999999999999</v>
      </c>
      <c r="P181" s="140">
        <f t="shared" si="47"/>
        <v>0</v>
      </c>
      <c r="Q181" s="140">
        <f t="shared" si="48"/>
        <v>0.14899999999999999</v>
      </c>
      <c r="S181" s="139">
        <f>IF(Data_Override!N181="",Data!N181,Data_Override!N181)</f>
        <v>89.27</v>
      </c>
      <c r="U181" s="139">
        <f>IF(Data_Override!P181="",Data!P181,Data_Override!P181)</f>
        <v>0</v>
      </c>
      <c r="V181" s="139">
        <f>IF(Data_Override!Q181="",Data!Q181,Data_Override!Q181)</f>
        <v>0</v>
      </c>
      <c r="W181" s="139">
        <f>IF(Data_Override!R181="",Data!R181,Data_Override!R181)</f>
        <v>0</v>
      </c>
      <c r="X181" s="139">
        <f>IF(Data_Override!S181="",Data!S181,Data_Override!S181)</f>
        <v>1.04</v>
      </c>
      <c r="Y181" s="140">
        <f t="shared" si="49"/>
        <v>0</v>
      </c>
      <c r="Z181" s="140">
        <f t="shared" si="50"/>
        <v>1.04</v>
      </c>
      <c r="AB181" s="139">
        <f>IF(Data_Override!U181="",Data!U181,Data_Override!U181)</f>
        <v>41</v>
      </c>
      <c r="AC181" s="139">
        <f>IF(Data_Override!V181="",Data!V181,Data_Override!V181)</f>
        <v>6932</v>
      </c>
      <c r="AD181" s="139">
        <f>IF(Data_Override!W181="",Data!W181,Data_Override!W181)</f>
        <v>560.50400000000002</v>
      </c>
    </row>
    <row r="182" spans="1:30" x14ac:dyDescent="0.2">
      <c r="A182" s="141" t="s">
        <v>235</v>
      </c>
      <c r="B182" s="142" t="s">
        <v>36</v>
      </c>
      <c r="C182" s="142" t="s">
        <v>75</v>
      </c>
      <c r="D182" s="19" t="str">
        <f t="shared" si="43"/>
        <v>23</v>
      </c>
      <c r="E182" s="139">
        <f>IF(Data_Override!D182="",Data!D182,Data_Override!D182)</f>
        <v>0</v>
      </c>
      <c r="F182" s="139">
        <f>IF(Data_Override!E182="",Data!E182,Data_Override!E182)</f>
        <v>0</v>
      </c>
      <c r="G182" s="139">
        <f>IF(Data_Override!F182="",Data!F182,Data_Override!F182)</f>
        <v>0</v>
      </c>
      <c r="H182" s="139">
        <f>IF(Data_Override!G182="",Data!G182,Data_Override!G182)</f>
        <v>0.69599999999999995</v>
      </c>
      <c r="I182" s="140">
        <f t="shared" si="44"/>
        <v>0</v>
      </c>
      <c r="J182" s="140">
        <f t="shared" si="45"/>
        <v>0.69599999999999995</v>
      </c>
      <c r="L182" s="139">
        <f>IF(Data_Override!I182="",Data!I182,Data_Override!I182)</f>
        <v>0</v>
      </c>
      <c r="M182" s="139">
        <f>IF(Data_Override!J182="",Data!J182,Data_Override!J182)</f>
        <v>0</v>
      </c>
      <c r="N182" s="139">
        <f>IF(Data_Override!K182="",Data!K182,Data_Override!K182)</f>
        <v>0</v>
      </c>
      <c r="O182" s="139">
        <f>IF(Data_Override!L182="",Data!L182,Data_Override!L182)</f>
        <v>0.151</v>
      </c>
      <c r="P182" s="140">
        <f t="shared" si="47"/>
        <v>0</v>
      </c>
      <c r="Q182" s="140">
        <f t="shared" si="48"/>
        <v>0.151</v>
      </c>
      <c r="S182" s="139">
        <f>IF(Data_Override!N182="",Data!N182,Data_Override!N182)</f>
        <v>89.474000000000004</v>
      </c>
      <c r="U182" s="139">
        <f>IF(Data_Override!P182="",Data!P182,Data_Override!P182)</f>
        <v>0</v>
      </c>
      <c r="V182" s="139">
        <f>IF(Data_Override!Q182="",Data!Q182,Data_Override!Q182)</f>
        <v>0</v>
      </c>
      <c r="W182" s="139">
        <f>IF(Data_Override!R182="",Data!R182,Data_Override!R182)</f>
        <v>0</v>
      </c>
      <c r="X182" s="139">
        <f>IF(Data_Override!S182="",Data!S182,Data_Override!S182)</f>
        <v>1.54</v>
      </c>
      <c r="Y182" s="140">
        <f t="shared" si="49"/>
        <v>0</v>
      </c>
      <c r="Z182" s="140">
        <f t="shared" si="50"/>
        <v>1.54</v>
      </c>
      <c r="AB182" s="139">
        <f>IF(Data_Override!U182="",Data!U182,Data_Override!U182)</f>
        <v>39.5</v>
      </c>
      <c r="AC182" s="139">
        <f>IF(Data_Override!V182="",Data!V182,Data_Override!V182)</f>
        <v>6958</v>
      </c>
      <c r="AD182" s="139">
        <f>IF(Data_Override!W182="",Data!W182,Data_Override!W182)</f>
        <v>566.19600000000003</v>
      </c>
    </row>
    <row r="183" spans="1:30" x14ac:dyDescent="0.2">
      <c r="A183" s="141" t="s">
        <v>236</v>
      </c>
      <c r="B183" s="142" t="s">
        <v>36</v>
      </c>
      <c r="C183" s="142" t="s">
        <v>76</v>
      </c>
      <c r="D183" s="19" t="str">
        <f t="shared" si="43"/>
        <v>24</v>
      </c>
      <c r="E183" s="139">
        <f>IF(Data_Override!D183="",Data!D183,Data_Override!D183)</f>
        <v>0</v>
      </c>
      <c r="F183" s="139">
        <f>IF(Data_Override!E183="",Data!E183,Data_Override!E183)</f>
        <v>0</v>
      </c>
      <c r="G183" s="139">
        <f>IF(Data_Override!F183="",Data!F183,Data_Override!F183)</f>
        <v>0</v>
      </c>
      <c r="H183" s="139">
        <f>IF(Data_Override!G183="",Data!G183,Data_Override!G183)</f>
        <v>0.69599999999999995</v>
      </c>
      <c r="I183" s="140">
        <f t="shared" si="44"/>
        <v>0</v>
      </c>
      <c r="J183" s="140">
        <f t="shared" si="45"/>
        <v>0.69599999999999995</v>
      </c>
      <c r="L183" s="139">
        <f>IF(Data_Override!I183="",Data!I183,Data_Override!I183)</f>
        <v>0</v>
      </c>
      <c r="M183" s="139">
        <f>IF(Data_Override!J183="",Data!J183,Data_Override!J183)</f>
        <v>0</v>
      </c>
      <c r="N183" s="139">
        <f>IF(Data_Override!K183="",Data!K183,Data_Override!K183)</f>
        <v>0</v>
      </c>
      <c r="O183" s="139">
        <f>IF(Data_Override!L183="",Data!L183,Data_Override!L183)</f>
        <v>0.153</v>
      </c>
      <c r="P183" s="140">
        <f t="shared" si="47"/>
        <v>0</v>
      </c>
      <c r="Q183" s="140">
        <f t="shared" si="48"/>
        <v>0.153</v>
      </c>
      <c r="S183" s="139">
        <f>IF(Data_Override!N183="",Data!N183,Data_Override!N183)</f>
        <v>89.114000000000004</v>
      </c>
      <c r="U183" s="139">
        <f>IF(Data_Override!P183="",Data!P183,Data_Override!P183)</f>
        <v>0</v>
      </c>
      <c r="V183" s="139">
        <f>IF(Data_Override!Q183="",Data!Q183,Data_Override!Q183)</f>
        <v>0</v>
      </c>
      <c r="W183" s="139">
        <f>IF(Data_Override!R183="",Data!R183,Data_Override!R183)</f>
        <v>0</v>
      </c>
      <c r="X183" s="139">
        <f>IF(Data_Override!S183="",Data!S183,Data_Override!S183)</f>
        <v>1.54</v>
      </c>
      <c r="Y183" s="140">
        <f t="shared" si="49"/>
        <v>0</v>
      </c>
      <c r="Z183" s="140">
        <f t="shared" si="50"/>
        <v>1.54</v>
      </c>
      <c r="AB183" s="139">
        <f>IF(Data_Override!U183="",Data!U183,Data_Override!U183)</f>
        <v>38</v>
      </c>
      <c r="AC183" s="139">
        <f>IF(Data_Override!V183="",Data!V183,Data_Override!V183)</f>
        <v>6984</v>
      </c>
      <c r="AD183" s="139">
        <f>IF(Data_Override!W183="",Data!W183,Data_Override!W183)</f>
        <v>571.77300000000002</v>
      </c>
    </row>
    <row r="184" spans="1:30" x14ac:dyDescent="0.2">
      <c r="A184" s="141" t="s">
        <v>237</v>
      </c>
      <c r="B184" s="142" t="s">
        <v>36</v>
      </c>
      <c r="C184" s="142" t="s">
        <v>24</v>
      </c>
      <c r="D184" s="19" t="str">
        <f t="shared" si="43"/>
        <v>25</v>
      </c>
      <c r="E184" s="139">
        <f>IF(Data_Override!D184="",Data!D184,Data_Override!D184)</f>
        <v>0</v>
      </c>
      <c r="F184" s="139">
        <f>IF(Data_Override!E184="",Data!E184,Data_Override!E184)</f>
        <v>0</v>
      </c>
      <c r="G184" s="139">
        <f>IF(Data_Override!F184="",Data!F184,Data_Override!F184)</f>
        <v>0</v>
      </c>
      <c r="H184" s="139">
        <f>IF(Data_Override!G184="",Data!G184,Data_Override!G184)</f>
        <v>0.69599999999999995</v>
      </c>
      <c r="I184" s="140">
        <f t="shared" si="44"/>
        <v>0</v>
      </c>
      <c r="J184" s="140">
        <f t="shared" si="45"/>
        <v>0.69599999999999995</v>
      </c>
      <c r="L184" s="139">
        <f>IF(Data_Override!I184="",Data!I184,Data_Override!I184)</f>
        <v>0</v>
      </c>
      <c r="M184" s="139">
        <f>IF(Data_Override!J184="",Data!J184,Data_Override!J184)</f>
        <v>0</v>
      </c>
      <c r="N184" s="139">
        <f>IF(Data_Override!K184="",Data!K184,Data_Override!K184)</f>
        <v>0</v>
      </c>
      <c r="O184" s="139">
        <f>IF(Data_Override!L184="",Data!L184,Data_Override!L184)</f>
        <v>0.154</v>
      </c>
      <c r="P184" s="140">
        <f t="shared" si="47"/>
        <v>0</v>
      </c>
      <c r="Q184" s="140">
        <f t="shared" si="48"/>
        <v>0.154</v>
      </c>
      <c r="S184" s="139">
        <f>IF(Data_Override!N184="",Data!N184,Data_Override!N184)</f>
        <v>89.552000000000007</v>
      </c>
      <c r="U184" s="139">
        <f>IF(Data_Override!P184="",Data!P184,Data_Override!P184)</f>
        <v>0</v>
      </c>
      <c r="V184" s="139">
        <f>IF(Data_Override!Q184="",Data!Q184,Data_Override!Q184)</f>
        <v>0</v>
      </c>
      <c r="W184" s="139">
        <f>IF(Data_Override!R184="",Data!R184,Data_Override!R184)</f>
        <v>0</v>
      </c>
      <c r="X184" s="139">
        <f>IF(Data_Override!S184="",Data!S184,Data_Override!S184)</f>
        <v>1.53</v>
      </c>
      <c r="Y184" s="140">
        <f t="shared" si="49"/>
        <v>0</v>
      </c>
      <c r="Z184" s="140">
        <f t="shared" si="50"/>
        <v>1.53</v>
      </c>
      <c r="AB184" s="139">
        <f>IF(Data_Override!U184="",Data!U184,Data_Override!U184)</f>
        <v>36.5</v>
      </c>
      <c r="AC184" s="139">
        <f>IF(Data_Override!V184="",Data!V184,Data_Override!V184)</f>
        <v>7010</v>
      </c>
      <c r="AD184" s="139">
        <f>IF(Data_Override!W184="",Data!W184,Data_Override!W184)</f>
        <v>577.23299999999995</v>
      </c>
    </row>
    <row r="185" spans="1:30" hidden="1" x14ac:dyDescent="0.2">
      <c r="A185" s="138" t="str">
        <f t="shared" ref="A185" si="52">B185&amp;RIGHT(C185,2)</f>
        <v>BWH12</v>
      </c>
      <c r="B185" s="19" t="s">
        <v>110</v>
      </c>
      <c r="C185" s="143" t="s">
        <v>64</v>
      </c>
      <c r="D185" s="19" t="str">
        <f t="shared" si="43"/>
        <v>12</v>
      </c>
      <c r="E185" s="139">
        <f>IF(Data_Override!D185="",Data!D185,Data_Override!D185)</f>
        <v>0</v>
      </c>
      <c r="F185" s="139">
        <f>IF(Data_Override!E185="",Data!E185,Data_Override!E185)</f>
        <v>0</v>
      </c>
      <c r="G185" s="139">
        <f>IF(Data_Override!F185="",Data!F185,Data_Override!F185)</f>
        <v>0</v>
      </c>
      <c r="H185" s="139">
        <f>IF(Data_Override!G185="",Data!G185,Data_Override!G185)</f>
        <v>0</v>
      </c>
      <c r="I185" s="140">
        <f t="shared" si="44"/>
        <v>0</v>
      </c>
      <c r="J185" s="140">
        <f t="shared" si="45"/>
        <v>0</v>
      </c>
      <c r="L185" s="139">
        <f>IF(Data_Override!I185="",Data!I185,Data_Override!I185)</f>
        <v>0</v>
      </c>
      <c r="M185" s="139">
        <f>IF(Data_Override!J185="",Data!J185,Data_Override!J185)</f>
        <v>0</v>
      </c>
      <c r="N185" s="139">
        <f>IF(Data_Override!K185="",Data!K185,Data_Override!K185)</f>
        <v>0</v>
      </c>
      <c r="O185" s="139">
        <f>IF(Data_Override!L185="",Data!L185,Data_Override!L185)</f>
        <v>0</v>
      </c>
      <c r="P185" s="140">
        <f t="shared" si="47"/>
        <v>0</v>
      </c>
      <c r="Q185" s="140">
        <f t="shared" si="48"/>
        <v>0</v>
      </c>
      <c r="S185" s="139">
        <f>IF(Data_Override!N185="",Data!N185,Data_Override!N185)</f>
        <v>27.845381991693898</v>
      </c>
      <c r="U185" s="139">
        <f>IF(Data_Override!P185="",Data!P185,Data_Override!P185)</f>
        <v>0</v>
      </c>
      <c r="V185" s="139">
        <f>IF(Data_Override!Q185="",Data!Q185,Data_Override!Q185)</f>
        <v>0</v>
      </c>
      <c r="W185" s="139">
        <f>IF(Data_Override!R185="",Data!R185,Data_Override!R185)</f>
        <v>0</v>
      </c>
      <c r="X185" s="139">
        <f>IF(Data_Override!S185="",Data!S185,Data_Override!S185)</f>
        <v>0</v>
      </c>
      <c r="Y185" s="140">
        <f t="shared" si="49"/>
        <v>0</v>
      </c>
      <c r="Z185" s="140">
        <f t="shared" si="50"/>
        <v>0</v>
      </c>
      <c r="AB185" s="139">
        <f>IF(Data_Override!U185="",Data!U185,Data_Override!U185)</f>
        <v>0</v>
      </c>
      <c r="AC185" s="139">
        <f>IF(Data_Override!V185="",Data!V185,Data_Override!V185)</f>
        <v>0</v>
      </c>
      <c r="AD185" s="139">
        <f>IF(Data_Override!W185="",Data!W185,Data_Override!W185)</f>
        <v>0</v>
      </c>
    </row>
    <row r="186" spans="1:30" hidden="1" x14ac:dyDescent="0.2">
      <c r="A186" s="138" t="str">
        <f>B186&amp;RIGHT(C186,2)</f>
        <v>BWH13</v>
      </c>
      <c r="B186" s="19" t="s">
        <v>110</v>
      </c>
      <c r="C186" s="143" t="s">
        <v>65</v>
      </c>
      <c r="D186" s="19" t="str">
        <f t="shared" ref="D186:D226" si="53">RIGHT(A186,2)</f>
        <v>13</v>
      </c>
      <c r="E186" s="139">
        <f>IF(Data_Override!D186="",Data!D186,Data_Override!D186)</f>
        <v>0</v>
      </c>
      <c r="F186" s="139">
        <f>IF(Data_Override!E186="",Data!E186,Data_Override!E186)</f>
        <v>0</v>
      </c>
      <c r="G186" s="139">
        <f>IF(Data_Override!F186="",Data!F186,Data_Override!F186)</f>
        <v>0</v>
      </c>
      <c r="H186" s="139">
        <f>IF(Data_Override!G186="",Data!G186,Data_Override!G186)</f>
        <v>0</v>
      </c>
      <c r="I186" s="140">
        <f t="shared" ref="I186:I226" si="54">IFERROR(SUM(E186:F186),"")</f>
        <v>0</v>
      </c>
      <c r="J186" s="140">
        <f t="shared" ref="J186:J226" si="55">IFERROR(SUM(G186:H186),"")</f>
        <v>0</v>
      </c>
      <c r="L186" s="139">
        <f>IF(Data_Override!I186="",Data!I186,Data_Override!I186)</f>
        <v>0</v>
      </c>
      <c r="M186" s="139">
        <f>IF(Data_Override!J186="",Data!J186,Data_Override!J186)</f>
        <v>0</v>
      </c>
      <c r="N186" s="139">
        <f>IF(Data_Override!K186="",Data!K186,Data_Override!K186)</f>
        <v>0</v>
      </c>
      <c r="O186" s="139">
        <f>IF(Data_Override!L186="",Data!L186,Data_Override!L186)</f>
        <v>0</v>
      </c>
      <c r="P186" s="140">
        <f t="shared" si="47"/>
        <v>0</v>
      </c>
      <c r="Q186" s="140">
        <f t="shared" si="48"/>
        <v>0</v>
      </c>
      <c r="S186" s="139">
        <f>IF(Data_Override!N186="",Data!N186,Data_Override!N186)</f>
        <v>26.162249870578101</v>
      </c>
      <c r="U186" s="139">
        <f>IF(Data_Override!P186="",Data!P186,Data_Override!P186)</f>
        <v>0</v>
      </c>
      <c r="V186" s="139">
        <f>IF(Data_Override!Q186="",Data!Q186,Data_Override!Q186)</f>
        <v>0</v>
      </c>
      <c r="W186" s="139">
        <f>IF(Data_Override!R186="",Data!R186,Data_Override!R186)</f>
        <v>0</v>
      </c>
      <c r="X186" s="139">
        <f>IF(Data_Override!S186="",Data!S186,Data_Override!S186)</f>
        <v>0</v>
      </c>
      <c r="Y186" s="140">
        <f t="shared" si="49"/>
        <v>0</v>
      </c>
      <c r="Z186" s="140">
        <f t="shared" si="50"/>
        <v>0</v>
      </c>
      <c r="AB186" s="139">
        <f>IF(Data_Override!U186="",Data!U186,Data_Override!U186)</f>
        <v>0</v>
      </c>
      <c r="AC186" s="139">
        <f>IF(Data_Override!V186="",Data!V186,Data_Override!V186)</f>
        <v>0</v>
      </c>
      <c r="AD186" s="139">
        <f>IF(Data_Override!W186="",Data!W186,Data_Override!W186)</f>
        <v>0</v>
      </c>
    </row>
    <row r="187" spans="1:30" hidden="1" x14ac:dyDescent="0.2">
      <c r="A187" s="138" t="str">
        <f>B187&amp;RIGHT(C187,2)</f>
        <v>BWH14</v>
      </c>
      <c r="B187" s="19" t="s">
        <v>110</v>
      </c>
      <c r="C187" s="143" t="s">
        <v>66</v>
      </c>
      <c r="D187" s="19" t="str">
        <f t="shared" si="53"/>
        <v>14</v>
      </c>
      <c r="E187" s="139">
        <f>IF(Data_Override!D187="",Data!D187,Data_Override!D187)</f>
        <v>0</v>
      </c>
      <c r="F187" s="139">
        <f>IF(Data_Override!E187="",Data!E187,Data_Override!E187)</f>
        <v>0</v>
      </c>
      <c r="G187" s="139">
        <f>IF(Data_Override!F187="",Data!F187,Data_Override!F187)</f>
        <v>0</v>
      </c>
      <c r="H187" s="139">
        <f>IF(Data_Override!G187="",Data!G187,Data_Override!G187)</f>
        <v>0</v>
      </c>
      <c r="I187" s="140">
        <f t="shared" si="54"/>
        <v>0</v>
      </c>
      <c r="J187" s="140">
        <f t="shared" si="55"/>
        <v>0</v>
      </c>
      <c r="L187" s="139">
        <f>IF(Data_Override!I187="",Data!I187,Data_Override!I187)</f>
        <v>0</v>
      </c>
      <c r="M187" s="139">
        <f>IF(Data_Override!J187="",Data!J187,Data_Override!J187)</f>
        <v>0</v>
      </c>
      <c r="N187" s="139">
        <f>IF(Data_Override!K187="",Data!K187,Data_Override!K187)</f>
        <v>0</v>
      </c>
      <c r="O187" s="139">
        <f>IF(Data_Override!L187="",Data!L187,Data_Override!L187)</f>
        <v>0</v>
      </c>
      <c r="P187" s="140">
        <f t="shared" si="47"/>
        <v>0</v>
      </c>
      <c r="Q187" s="140">
        <f t="shared" si="48"/>
        <v>0</v>
      </c>
      <c r="S187" s="139">
        <f>IF(Data_Override!N187="",Data!N187,Data_Override!N187)</f>
        <v>30.2651118999324</v>
      </c>
      <c r="U187" s="139">
        <f>IF(Data_Override!P187="",Data!P187,Data_Override!P187)</f>
        <v>0</v>
      </c>
      <c r="V187" s="139">
        <f>IF(Data_Override!Q187="",Data!Q187,Data_Override!Q187)</f>
        <v>0</v>
      </c>
      <c r="W187" s="139">
        <f>IF(Data_Override!R187="",Data!R187,Data_Override!R187)</f>
        <v>0</v>
      </c>
      <c r="X187" s="139">
        <f>IF(Data_Override!S187="",Data!S187,Data_Override!S187)</f>
        <v>0</v>
      </c>
      <c r="Y187" s="140">
        <f t="shared" si="49"/>
        <v>0</v>
      </c>
      <c r="Z187" s="140">
        <f t="shared" si="50"/>
        <v>0</v>
      </c>
      <c r="AB187" s="139">
        <f>IF(Data_Override!U187="",Data!U187,Data_Override!U187)</f>
        <v>0</v>
      </c>
      <c r="AC187" s="139">
        <f>IF(Data_Override!V187="",Data!V187,Data_Override!V187)</f>
        <v>0</v>
      </c>
      <c r="AD187" s="139">
        <f>IF(Data_Override!W187="",Data!W187,Data_Override!W187)</f>
        <v>0</v>
      </c>
    </row>
    <row r="188" spans="1:30" hidden="1" x14ac:dyDescent="0.2">
      <c r="A188" s="138" t="str">
        <f>B188&amp;RIGHT(C188,2)</f>
        <v>BWH15</v>
      </c>
      <c r="B188" s="19" t="s">
        <v>110</v>
      </c>
      <c r="C188" s="143" t="s">
        <v>67</v>
      </c>
      <c r="D188" s="19" t="str">
        <f t="shared" si="53"/>
        <v>15</v>
      </c>
      <c r="E188" s="139">
        <f>IF(Data_Override!D188="",Data!D188,Data_Override!D188)</f>
        <v>0</v>
      </c>
      <c r="F188" s="139">
        <f>IF(Data_Override!E188="",Data!E188,Data_Override!E188)</f>
        <v>0</v>
      </c>
      <c r="G188" s="139">
        <f>IF(Data_Override!F188="",Data!F188,Data_Override!F188)</f>
        <v>0</v>
      </c>
      <c r="H188" s="139">
        <f>IF(Data_Override!G188="",Data!G188,Data_Override!G188)</f>
        <v>0</v>
      </c>
      <c r="I188" s="140">
        <f t="shared" si="54"/>
        <v>0</v>
      </c>
      <c r="J188" s="140">
        <f t="shared" si="55"/>
        <v>0</v>
      </c>
      <c r="L188" s="139">
        <f>IF(Data_Override!I188="",Data!I188,Data_Override!I188)</f>
        <v>0</v>
      </c>
      <c r="M188" s="139">
        <f>IF(Data_Override!J188="",Data!J188,Data_Override!J188)</f>
        <v>0</v>
      </c>
      <c r="N188" s="139">
        <f>IF(Data_Override!K188="",Data!K188,Data_Override!K188)</f>
        <v>0</v>
      </c>
      <c r="O188" s="139">
        <f>IF(Data_Override!L188="",Data!L188,Data_Override!L188)</f>
        <v>0</v>
      </c>
      <c r="P188" s="140">
        <f t="shared" si="47"/>
        <v>0</v>
      </c>
      <c r="Q188" s="140">
        <f t="shared" si="48"/>
        <v>0</v>
      </c>
      <c r="S188" s="139">
        <f>IF(Data_Override!N188="",Data!N188,Data_Override!N188)</f>
        <v>28.388525946352502</v>
      </c>
      <c r="U188" s="139">
        <f>IF(Data_Override!P188="",Data!P188,Data_Override!P188)</f>
        <v>0</v>
      </c>
      <c r="V188" s="139">
        <f>IF(Data_Override!Q188="",Data!Q188,Data_Override!Q188)</f>
        <v>0</v>
      </c>
      <c r="W188" s="139">
        <f>IF(Data_Override!R188="",Data!R188,Data_Override!R188)</f>
        <v>0</v>
      </c>
      <c r="X188" s="139">
        <f>IF(Data_Override!S188="",Data!S188,Data_Override!S188)</f>
        <v>0</v>
      </c>
      <c r="Y188" s="140">
        <f t="shared" si="49"/>
        <v>0</v>
      </c>
      <c r="Z188" s="140">
        <f t="shared" si="50"/>
        <v>0</v>
      </c>
      <c r="AB188" s="139">
        <f>IF(Data_Override!U188="",Data!U188,Data_Override!U188)</f>
        <v>0</v>
      </c>
      <c r="AC188" s="139">
        <f>IF(Data_Override!V188="",Data!V188,Data_Override!V188)</f>
        <v>0</v>
      </c>
      <c r="AD188" s="139">
        <f>IF(Data_Override!W188="",Data!W188,Data_Override!W188)</f>
        <v>0</v>
      </c>
    </row>
    <row r="189" spans="1:30" hidden="1" x14ac:dyDescent="0.2">
      <c r="A189" s="138" t="str">
        <f>B189&amp;RIGHT(C189,2)</f>
        <v>BWH16</v>
      </c>
      <c r="B189" s="19" t="s">
        <v>110</v>
      </c>
      <c r="C189" s="143" t="s">
        <v>68</v>
      </c>
      <c r="D189" s="19" t="str">
        <f t="shared" si="53"/>
        <v>16</v>
      </c>
      <c r="E189" s="139">
        <f>IF(Data_Override!D189="",Data!D189,Data_Override!D189)</f>
        <v>0</v>
      </c>
      <c r="F189" s="139">
        <f>IF(Data_Override!E189="",Data!E189,Data_Override!E189)</f>
        <v>0</v>
      </c>
      <c r="G189" s="139">
        <f>IF(Data_Override!F189="",Data!F189,Data_Override!F189)</f>
        <v>0</v>
      </c>
      <c r="H189" s="139">
        <f>IF(Data_Override!G189="",Data!G189,Data_Override!G189)</f>
        <v>5.2021630615640604E-3</v>
      </c>
      <c r="I189" s="140">
        <f t="shared" si="54"/>
        <v>0</v>
      </c>
      <c r="J189" s="140">
        <f t="shared" si="55"/>
        <v>5.2021630615640604E-3</v>
      </c>
      <c r="L189" s="139">
        <f>IF(Data_Override!I189="",Data!I189,Data_Override!I189)</f>
        <v>0</v>
      </c>
      <c r="M189" s="139">
        <f>IF(Data_Override!J189="",Data!J189,Data_Override!J189)</f>
        <v>0</v>
      </c>
      <c r="N189" s="139">
        <f>IF(Data_Override!K189="",Data!K189,Data_Override!K189)</f>
        <v>0</v>
      </c>
      <c r="O189" s="139">
        <f>IF(Data_Override!L189="",Data!L189,Data_Override!L189)</f>
        <v>0</v>
      </c>
      <c r="P189" s="140">
        <f t="shared" si="47"/>
        <v>0</v>
      </c>
      <c r="Q189" s="140">
        <f t="shared" si="48"/>
        <v>0</v>
      </c>
      <c r="S189" s="139">
        <f>IF(Data_Override!N189="",Data!N189,Data_Override!N189)</f>
        <v>26.035785690515802</v>
      </c>
      <c r="U189" s="139">
        <f>IF(Data_Override!P189="",Data!P189,Data_Override!P189)</f>
        <v>0</v>
      </c>
      <c r="V189" s="139">
        <f>IF(Data_Override!Q189="",Data!Q189,Data_Override!Q189)</f>
        <v>0</v>
      </c>
      <c r="W189" s="139">
        <f>IF(Data_Override!R189="",Data!R189,Data_Override!R189)</f>
        <v>0</v>
      </c>
      <c r="X189" s="139">
        <f>IF(Data_Override!S189="",Data!S189,Data_Override!S189)</f>
        <v>0</v>
      </c>
      <c r="Y189" s="140">
        <f t="shared" si="49"/>
        <v>0</v>
      </c>
      <c r="Z189" s="140">
        <f t="shared" si="50"/>
        <v>0</v>
      </c>
      <c r="AB189" s="139">
        <f>IF(Data_Override!U189="",Data!U189,Data_Override!U189)</f>
        <v>0</v>
      </c>
      <c r="AC189" s="139">
        <f>IF(Data_Override!V189="",Data!V189,Data_Override!V189)</f>
        <v>0</v>
      </c>
      <c r="AD189" s="139">
        <f>IF(Data_Override!W189="",Data!W189,Data_Override!W189)</f>
        <v>0</v>
      </c>
    </row>
    <row r="190" spans="1:30" hidden="1" x14ac:dyDescent="0.2">
      <c r="A190" s="138" t="str">
        <f>B190&amp;RIGHT(C190,2)</f>
        <v>BWH17</v>
      </c>
      <c r="B190" s="19" t="s">
        <v>110</v>
      </c>
      <c r="C190" s="143" t="s">
        <v>69</v>
      </c>
      <c r="D190" s="19" t="str">
        <f t="shared" si="53"/>
        <v>17</v>
      </c>
      <c r="E190" s="139">
        <f>IF(Data_Override!D190="",Data!D190,Data_Override!D190)</f>
        <v>0</v>
      </c>
      <c r="F190" s="139">
        <f>IF(Data_Override!E190="",Data!E190,Data_Override!E190)</f>
        <v>0</v>
      </c>
      <c r="G190" s="139">
        <f>IF(Data_Override!F190="",Data!F190,Data_Override!F190)</f>
        <v>0</v>
      </c>
      <c r="H190" s="139">
        <f>IF(Data_Override!G190="",Data!G190,Data_Override!G190)</f>
        <v>0</v>
      </c>
      <c r="I190" s="140">
        <f t="shared" si="54"/>
        <v>0</v>
      </c>
      <c r="J190" s="140">
        <f t="shared" si="55"/>
        <v>0</v>
      </c>
      <c r="L190" s="139">
        <f>IF(Data_Override!I190="",Data!I190,Data_Override!I190)</f>
        <v>0</v>
      </c>
      <c r="M190" s="139">
        <f>IF(Data_Override!J190="",Data!J190,Data_Override!J190)</f>
        <v>0</v>
      </c>
      <c r="N190" s="139">
        <f>IF(Data_Override!K190="",Data!K190,Data_Override!K190)</f>
        <v>0</v>
      </c>
      <c r="O190" s="139">
        <f>IF(Data_Override!L190="",Data!L190,Data_Override!L190)</f>
        <v>0</v>
      </c>
      <c r="P190" s="140">
        <f t="shared" si="47"/>
        <v>0</v>
      </c>
      <c r="Q190" s="140">
        <f t="shared" si="48"/>
        <v>0</v>
      </c>
      <c r="S190" s="139">
        <f>IF(Data_Override!N190="",Data!N190,Data_Override!N190)</f>
        <v>0</v>
      </c>
      <c r="U190" s="139">
        <f>IF(Data_Override!P190="",Data!P190,Data_Override!P190)</f>
        <v>0</v>
      </c>
      <c r="V190" s="139">
        <f>IF(Data_Override!Q190="",Data!Q190,Data_Override!Q190)</f>
        <v>0</v>
      </c>
      <c r="W190" s="139">
        <f>IF(Data_Override!R190="",Data!R190,Data_Override!R190)</f>
        <v>0</v>
      </c>
      <c r="X190" s="139">
        <f>IF(Data_Override!S190="",Data!S190,Data_Override!S190)</f>
        <v>0</v>
      </c>
      <c r="Y190" s="140">
        <f t="shared" si="49"/>
        <v>0</v>
      </c>
      <c r="Z190" s="140">
        <f t="shared" si="50"/>
        <v>0</v>
      </c>
      <c r="AB190" s="139">
        <f>IF(Data_Override!U190="",Data!U190,Data_Override!U190)</f>
        <v>0</v>
      </c>
      <c r="AC190" s="139">
        <f>IF(Data_Override!V190="",Data!V190,Data_Override!V190)</f>
        <v>0</v>
      </c>
      <c r="AD190" s="139">
        <f>IF(Data_Override!W190="",Data!W190,Data_Override!W190)</f>
        <v>0</v>
      </c>
    </row>
    <row r="191" spans="1:30" hidden="1" x14ac:dyDescent="0.2">
      <c r="A191" s="141" t="s">
        <v>238</v>
      </c>
      <c r="B191" s="142" t="s">
        <v>110</v>
      </c>
      <c r="C191" s="142" t="s">
        <v>70</v>
      </c>
      <c r="D191" s="19" t="str">
        <f t="shared" si="53"/>
        <v>18</v>
      </c>
      <c r="E191" s="139">
        <f>IF(Data_Override!D191="",Data!D191,Data_Override!D191)</f>
        <v>0</v>
      </c>
      <c r="F191" s="139">
        <f>IF(Data_Override!E191="",Data!E191,Data_Override!E191)</f>
        <v>0</v>
      </c>
      <c r="G191" s="139">
        <f>IF(Data_Override!F191="",Data!F191,Data_Override!F191)</f>
        <v>0</v>
      </c>
      <c r="H191" s="139">
        <f>IF(Data_Override!G191="",Data!G191,Data_Override!G191)</f>
        <v>0</v>
      </c>
      <c r="I191" s="140">
        <f t="shared" si="54"/>
        <v>0</v>
      </c>
      <c r="J191" s="140">
        <f t="shared" si="55"/>
        <v>0</v>
      </c>
      <c r="L191" s="139">
        <f>IF(Data_Override!I191="",Data!I191,Data_Override!I191)</f>
        <v>0</v>
      </c>
      <c r="M191" s="139">
        <f>IF(Data_Override!J191="",Data!J191,Data_Override!J191)</f>
        <v>0</v>
      </c>
      <c r="N191" s="139">
        <f>IF(Data_Override!K191="",Data!K191,Data_Override!K191)</f>
        <v>0</v>
      </c>
      <c r="O191" s="139">
        <f>IF(Data_Override!L191="",Data!L191,Data_Override!L191)</f>
        <v>0</v>
      </c>
      <c r="P191" s="140">
        <f t="shared" si="47"/>
        <v>0</v>
      </c>
      <c r="Q191" s="140">
        <f t="shared" si="48"/>
        <v>0</v>
      </c>
      <c r="S191" s="139">
        <f>IF(Data_Override!N191="",Data!N191,Data_Override!N191)</f>
        <v>0</v>
      </c>
      <c r="U191" s="139">
        <f>IF(Data_Override!P191="",Data!P191,Data_Override!P191)</f>
        <v>0</v>
      </c>
      <c r="V191" s="139">
        <f>IF(Data_Override!Q191="",Data!Q191,Data_Override!Q191)</f>
        <v>0</v>
      </c>
      <c r="W191" s="139">
        <f>IF(Data_Override!R191="",Data!R191,Data_Override!R191)</f>
        <v>0</v>
      </c>
      <c r="X191" s="139">
        <f>IF(Data_Override!S191="",Data!S191,Data_Override!S191)</f>
        <v>0</v>
      </c>
      <c r="Y191" s="140">
        <f t="shared" si="49"/>
        <v>0</v>
      </c>
      <c r="Z191" s="140">
        <f t="shared" si="50"/>
        <v>0</v>
      </c>
      <c r="AB191" s="139">
        <f>IF(Data_Override!U191="",Data!U191,Data_Override!U191)</f>
        <v>0</v>
      </c>
      <c r="AC191" s="139">
        <f>IF(Data_Override!V191="",Data!V191,Data_Override!V191)</f>
        <v>0</v>
      </c>
      <c r="AD191" s="139">
        <f>IF(Data_Override!W191="",Data!W191,Data_Override!W191)</f>
        <v>0</v>
      </c>
    </row>
    <row r="192" spans="1:30" hidden="1" x14ac:dyDescent="0.2">
      <c r="A192" s="141" t="s">
        <v>239</v>
      </c>
      <c r="B192" s="142" t="s">
        <v>110</v>
      </c>
      <c r="C192" s="142" t="s">
        <v>71</v>
      </c>
      <c r="D192" s="19" t="str">
        <f t="shared" si="53"/>
        <v>19</v>
      </c>
      <c r="E192" s="139">
        <f>IF(Data_Override!D192="",Data!D192,Data_Override!D192)</f>
        <v>0</v>
      </c>
      <c r="F192" s="139">
        <f>IF(Data_Override!E192="",Data!E192,Data_Override!E192)</f>
        <v>0</v>
      </c>
      <c r="G192" s="139">
        <f>IF(Data_Override!F192="",Data!F192,Data_Override!F192)</f>
        <v>0</v>
      </c>
      <c r="H192" s="139">
        <f>IF(Data_Override!G192="",Data!G192,Data_Override!G192)</f>
        <v>0</v>
      </c>
      <c r="I192" s="140">
        <f t="shared" si="54"/>
        <v>0</v>
      </c>
      <c r="J192" s="140">
        <f t="shared" si="55"/>
        <v>0</v>
      </c>
      <c r="L192" s="139">
        <f>IF(Data_Override!I192="",Data!I192,Data_Override!I192)</f>
        <v>0</v>
      </c>
      <c r="M192" s="139">
        <f>IF(Data_Override!J192="",Data!J192,Data_Override!J192)</f>
        <v>0</v>
      </c>
      <c r="N192" s="139">
        <f>IF(Data_Override!K192="",Data!K192,Data_Override!K192)</f>
        <v>0</v>
      </c>
      <c r="O192" s="139">
        <f>IF(Data_Override!L192="",Data!L192,Data_Override!L192)</f>
        <v>0</v>
      </c>
      <c r="P192" s="140">
        <f t="shared" si="47"/>
        <v>0</v>
      </c>
      <c r="Q192" s="140">
        <f t="shared" si="48"/>
        <v>0</v>
      </c>
      <c r="S192" s="139">
        <f>IF(Data_Override!N192="",Data!N192,Data_Override!N192)</f>
        <v>0</v>
      </c>
      <c r="U192" s="139">
        <f>IF(Data_Override!P192="",Data!P192,Data_Override!P192)</f>
        <v>0</v>
      </c>
      <c r="V192" s="139">
        <f>IF(Data_Override!Q192="",Data!Q192,Data_Override!Q192)</f>
        <v>0</v>
      </c>
      <c r="W192" s="139">
        <f>IF(Data_Override!R192="",Data!R192,Data_Override!R192)</f>
        <v>0</v>
      </c>
      <c r="X192" s="139">
        <f>IF(Data_Override!S192="",Data!S192,Data_Override!S192)</f>
        <v>0</v>
      </c>
      <c r="Y192" s="140">
        <f t="shared" si="49"/>
        <v>0</v>
      </c>
      <c r="Z192" s="140">
        <f t="shared" si="50"/>
        <v>0</v>
      </c>
      <c r="AB192" s="139">
        <f>IF(Data_Override!U192="",Data!U192,Data_Override!U192)</f>
        <v>0</v>
      </c>
      <c r="AC192" s="139">
        <f>IF(Data_Override!V192="",Data!V192,Data_Override!V192)</f>
        <v>0</v>
      </c>
      <c r="AD192" s="139">
        <f>IF(Data_Override!W192="",Data!W192,Data_Override!W192)</f>
        <v>0</v>
      </c>
    </row>
    <row r="193" spans="1:30" hidden="1" x14ac:dyDescent="0.2">
      <c r="A193" s="141" t="s">
        <v>240</v>
      </c>
      <c r="B193" s="142" t="s">
        <v>110</v>
      </c>
      <c r="C193" s="142" t="s">
        <v>72</v>
      </c>
      <c r="D193" s="19" t="str">
        <f t="shared" si="53"/>
        <v>20</v>
      </c>
      <c r="E193" s="139">
        <f>IF(Data_Override!D193="",Data!D193,Data_Override!D193)</f>
        <v>0</v>
      </c>
      <c r="F193" s="139">
        <f>IF(Data_Override!E193="",Data!E193,Data_Override!E193)</f>
        <v>0</v>
      </c>
      <c r="G193" s="139">
        <f>IF(Data_Override!F193="",Data!F193,Data_Override!F193)</f>
        <v>0</v>
      </c>
      <c r="H193" s="139">
        <f>IF(Data_Override!G193="",Data!G193,Data_Override!G193)</f>
        <v>0</v>
      </c>
      <c r="I193" s="140">
        <f t="shared" si="54"/>
        <v>0</v>
      </c>
      <c r="J193" s="140">
        <f t="shared" si="55"/>
        <v>0</v>
      </c>
      <c r="L193" s="139">
        <f>IF(Data_Override!I193="",Data!I193,Data_Override!I193)</f>
        <v>0</v>
      </c>
      <c r="M193" s="139">
        <f>IF(Data_Override!J193="",Data!J193,Data_Override!J193)</f>
        <v>0</v>
      </c>
      <c r="N193" s="139">
        <f>IF(Data_Override!K193="",Data!K193,Data_Override!K193)</f>
        <v>0</v>
      </c>
      <c r="O193" s="139">
        <f>IF(Data_Override!L193="",Data!L193,Data_Override!L193)</f>
        <v>0</v>
      </c>
      <c r="P193" s="140">
        <f t="shared" si="47"/>
        <v>0</v>
      </c>
      <c r="Q193" s="140">
        <f t="shared" si="48"/>
        <v>0</v>
      </c>
      <c r="S193" s="139">
        <f>IF(Data_Override!N193="",Data!N193,Data_Override!N193)</f>
        <v>0</v>
      </c>
      <c r="U193" s="139">
        <f>IF(Data_Override!P193="",Data!P193,Data_Override!P193)</f>
        <v>0</v>
      </c>
      <c r="V193" s="139">
        <f>IF(Data_Override!Q193="",Data!Q193,Data_Override!Q193)</f>
        <v>0</v>
      </c>
      <c r="W193" s="139">
        <f>IF(Data_Override!R193="",Data!R193,Data_Override!R193)</f>
        <v>0</v>
      </c>
      <c r="X193" s="139">
        <f>IF(Data_Override!S193="",Data!S193,Data_Override!S193)</f>
        <v>0</v>
      </c>
      <c r="Y193" s="140">
        <f t="shared" si="49"/>
        <v>0</v>
      </c>
      <c r="Z193" s="140">
        <f t="shared" si="50"/>
        <v>0</v>
      </c>
      <c r="AB193" s="139">
        <f>IF(Data_Override!U193="",Data!U193,Data_Override!U193)</f>
        <v>0</v>
      </c>
      <c r="AC193" s="139">
        <f>IF(Data_Override!V193="",Data!V193,Data_Override!V193)</f>
        <v>0</v>
      </c>
      <c r="AD193" s="139">
        <f>IF(Data_Override!W193="",Data!W193,Data_Override!W193)</f>
        <v>0</v>
      </c>
    </row>
    <row r="194" spans="1:30" x14ac:dyDescent="0.2">
      <c r="A194" s="141" t="s">
        <v>241</v>
      </c>
      <c r="B194" s="142" t="s">
        <v>110</v>
      </c>
      <c r="C194" s="142" t="s">
        <v>73</v>
      </c>
      <c r="D194" s="19" t="str">
        <f t="shared" si="53"/>
        <v>21</v>
      </c>
      <c r="E194" s="139">
        <f>IF(Data_Override!D194="",Data!D194,Data_Override!D194)</f>
        <v>0</v>
      </c>
      <c r="F194" s="139">
        <f>IF(Data_Override!E194="",Data!E194,Data_Override!E194)</f>
        <v>0</v>
      </c>
      <c r="G194" s="139">
        <f>IF(Data_Override!F194="",Data!F194,Data_Override!F194)</f>
        <v>0</v>
      </c>
      <c r="H194" s="139">
        <f>IF(Data_Override!G194="",Data!G194,Data_Override!G194)</f>
        <v>0</v>
      </c>
      <c r="I194" s="140">
        <f t="shared" si="54"/>
        <v>0</v>
      </c>
      <c r="J194" s="140">
        <f t="shared" si="55"/>
        <v>0</v>
      </c>
      <c r="L194" s="139">
        <f>IF(Data_Override!I194="",Data!I194,Data_Override!I194)</f>
        <v>0</v>
      </c>
      <c r="M194" s="139">
        <f>IF(Data_Override!J194="",Data!J194,Data_Override!J194)</f>
        <v>0</v>
      </c>
      <c r="N194" s="139">
        <f>IF(Data_Override!K194="",Data!K194,Data_Override!K194)</f>
        <v>0</v>
      </c>
      <c r="O194" s="139">
        <f>IF(Data_Override!L194="",Data!L194,Data_Override!L194)</f>
        <v>0</v>
      </c>
      <c r="P194" s="140">
        <f t="shared" si="47"/>
        <v>0</v>
      </c>
      <c r="Q194" s="140">
        <f t="shared" si="48"/>
        <v>0</v>
      </c>
      <c r="S194" s="139">
        <f>IF(Data_Override!N194="",Data!N194,Data_Override!N194)</f>
        <v>0</v>
      </c>
      <c r="U194" s="139">
        <f>IF(Data_Override!P194="",Data!P194,Data_Override!P194)</f>
        <v>0</v>
      </c>
      <c r="V194" s="139">
        <f>IF(Data_Override!Q194="",Data!Q194,Data_Override!Q194)</f>
        <v>0</v>
      </c>
      <c r="W194" s="139">
        <f>IF(Data_Override!R194="",Data!R194,Data_Override!R194)</f>
        <v>0</v>
      </c>
      <c r="X194" s="139">
        <f>IF(Data_Override!S194="",Data!S194,Data_Override!S194)</f>
        <v>0</v>
      </c>
      <c r="Y194" s="140">
        <f t="shared" si="49"/>
        <v>0</v>
      </c>
      <c r="Z194" s="140">
        <f t="shared" si="50"/>
        <v>0</v>
      </c>
      <c r="AB194" s="139">
        <f>IF(Data_Override!U194="",Data!U194,Data_Override!U194)</f>
        <v>0</v>
      </c>
      <c r="AC194" s="139">
        <f>IF(Data_Override!V194="",Data!V194,Data_Override!V194)</f>
        <v>0</v>
      </c>
      <c r="AD194" s="139">
        <f>IF(Data_Override!W194="",Data!W194,Data_Override!W194)</f>
        <v>0</v>
      </c>
    </row>
    <row r="195" spans="1:30" x14ac:dyDescent="0.2">
      <c r="A195" s="141" t="s">
        <v>242</v>
      </c>
      <c r="B195" s="142" t="s">
        <v>110</v>
      </c>
      <c r="C195" s="142" t="s">
        <v>74</v>
      </c>
      <c r="D195" s="19" t="str">
        <f t="shared" si="53"/>
        <v>22</v>
      </c>
      <c r="E195" s="139">
        <f>IF(Data_Override!D195="",Data!D195,Data_Override!D195)</f>
        <v>0</v>
      </c>
      <c r="F195" s="139">
        <f>IF(Data_Override!E195="",Data!E195,Data_Override!E195)</f>
        <v>0</v>
      </c>
      <c r="G195" s="139">
        <f>IF(Data_Override!F195="",Data!F195,Data_Override!F195)</f>
        <v>0</v>
      </c>
      <c r="H195" s="139">
        <f>IF(Data_Override!G195="",Data!G195,Data_Override!G195)</f>
        <v>0</v>
      </c>
      <c r="I195" s="140">
        <f t="shared" si="54"/>
        <v>0</v>
      </c>
      <c r="J195" s="140">
        <f t="shared" si="55"/>
        <v>0</v>
      </c>
      <c r="L195" s="139">
        <f>IF(Data_Override!I195="",Data!I195,Data_Override!I195)</f>
        <v>0</v>
      </c>
      <c r="M195" s="139">
        <f>IF(Data_Override!J195="",Data!J195,Data_Override!J195)</f>
        <v>0</v>
      </c>
      <c r="N195" s="139">
        <f>IF(Data_Override!K195="",Data!K195,Data_Override!K195)</f>
        <v>0</v>
      </c>
      <c r="O195" s="139">
        <f>IF(Data_Override!L195="",Data!L195,Data_Override!L195)</f>
        <v>0</v>
      </c>
      <c r="P195" s="140">
        <f t="shared" si="47"/>
        <v>0</v>
      </c>
      <c r="Q195" s="140">
        <f t="shared" si="48"/>
        <v>0</v>
      </c>
      <c r="S195" s="139">
        <f>IF(Data_Override!N195="",Data!N195,Data_Override!N195)</f>
        <v>0</v>
      </c>
      <c r="U195" s="139">
        <f>IF(Data_Override!P195="",Data!P195,Data_Override!P195)</f>
        <v>0</v>
      </c>
      <c r="V195" s="139">
        <f>IF(Data_Override!Q195="",Data!Q195,Data_Override!Q195)</f>
        <v>0</v>
      </c>
      <c r="W195" s="139">
        <f>IF(Data_Override!R195="",Data!R195,Data_Override!R195)</f>
        <v>0</v>
      </c>
      <c r="X195" s="139">
        <f>IF(Data_Override!S195="",Data!S195,Data_Override!S195)</f>
        <v>0</v>
      </c>
      <c r="Y195" s="140">
        <f t="shared" si="49"/>
        <v>0</v>
      </c>
      <c r="Z195" s="140">
        <f t="shared" si="50"/>
        <v>0</v>
      </c>
      <c r="AB195" s="139">
        <f>IF(Data_Override!U195="",Data!U195,Data_Override!U195)</f>
        <v>0</v>
      </c>
      <c r="AC195" s="139">
        <f>IF(Data_Override!V195="",Data!V195,Data_Override!V195)</f>
        <v>0</v>
      </c>
      <c r="AD195" s="139">
        <f>IF(Data_Override!W195="",Data!W195,Data_Override!W195)</f>
        <v>0</v>
      </c>
    </row>
    <row r="196" spans="1:30" x14ac:dyDescent="0.2">
      <c r="A196" s="141" t="s">
        <v>243</v>
      </c>
      <c r="B196" s="142" t="s">
        <v>110</v>
      </c>
      <c r="C196" s="142" t="s">
        <v>75</v>
      </c>
      <c r="D196" s="19" t="str">
        <f t="shared" si="53"/>
        <v>23</v>
      </c>
      <c r="E196" s="139">
        <f>IF(Data_Override!D196="",Data!D196,Data_Override!D196)</f>
        <v>0</v>
      </c>
      <c r="F196" s="139">
        <f>IF(Data_Override!E196="",Data!E196,Data_Override!E196)</f>
        <v>0</v>
      </c>
      <c r="G196" s="139">
        <f>IF(Data_Override!F196="",Data!F196,Data_Override!F196)</f>
        <v>0</v>
      </c>
      <c r="H196" s="139">
        <f>IF(Data_Override!G196="",Data!G196,Data_Override!G196)</f>
        <v>0</v>
      </c>
      <c r="I196" s="140">
        <f t="shared" si="54"/>
        <v>0</v>
      </c>
      <c r="J196" s="140">
        <f t="shared" si="55"/>
        <v>0</v>
      </c>
      <c r="L196" s="139">
        <f>IF(Data_Override!I196="",Data!I196,Data_Override!I196)</f>
        <v>0</v>
      </c>
      <c r="M196" s="139">
        <f>IF(Data_Override!J196="",Data!J196,Data_Override!J196)</f>
        <v>0</v>
      </c>
      <c r="N196" s="139">
        <f>IF(Data_Override!K196="",Data!K196,Data_Override!K196)</f>
        <v>0</v>
      </c>
      <c r="O196" s="139">
        <f>IF(Data_Override!L196="",Data!L196,Data_Override!L196)</f>
        <v>0</v>
      </c>
      <c r="P196" s="140">
        <f t="shared" si="47"/>
        <v>0</v>
      </c>
      <c r="Q196" s="140">
        <f t="shared" si="48"/>
        <v>0</v>
      </c>
      <c r="S196" s="139">
        <f>IF(Data_Override!N196="",Data!N196,Data_Override!N196)</f>
        <v>0</v>
      </c>
      <c r="U196" s="139">
        <f>IF(Data_Override!P196="",Data!P196,Data_Override!P196)</f>
        <v>0</v>
      </c>
      <c r="V196" s="139">
        <f>IF(Data_Override!Q196="",Data!Q196,Data_Override!Q196)</f>
        <v>0</v>
      </c>
      <c r="W196" s="139">
        <f>IF(Data_Override!R196="",Data!R196,Data_Override!R196)</f>
        <v>0</v>
      </c>
      <c r="X196" s="139">
        <f>IF(Data_Override!S196="",Data!S196,Data_Override!S196)</f>
        <v>0</v>
      </c>
      <c r="Y196" s="140">
        <f t="shared" ref="Y196:Y226" si="56">IFERROR(MAX(U196,V196),"")</f>
        <v>0</v>
      </c>
      <c r="Z196" s="140">
        <f t="shared" ref="Z196:Z226" si="57">IFERROR(MAX(W196,X196),"")</f>
        <v>0</v>
      </c>
      <c r="AB196" s="139">
        <f>IF(Data_Override!U196="",Data!U196,Data_Override!U196)</f>
        <v>0</v>
      </c>
      <c r="AC196" s="139">
        <f>IF(Data_Override!V196="",Data!V196,Data_Override!V196)</f>
        <v>0</v>
      </c>
      <c r="AD196" s="139">
        <f>IF(Data_Override!W196="",Data!W196,Data_Override!W196)</f>
        <v>0</v>
      </c>
    </row>
    <row r="197" spans="1:30" x14ac:dyDescent="0.2">
      <c r="A197" s="141" t="s">
        <v>244</v>
      </c>
      <c r="B197" s="142" t="s">
        <v>110</v>
      </c>
      <c r="C197" s="142" t="s">
        <v>76</v>
      </c>
      <c r="D197" s="19" t="str">
        <f t="shared" si="53"/>
        <v>24</v>
      </c>
      <c r="E197" s="139">
        <f>IF(Data_Override!D197="",Data!D197,Data_Override!D197)</f>
        <v>0</v>
      </c>
      <c r="F197" s="139">
        <f>IF(Data_Override!E197="",Data!E197,Data_Override!E197)</f>
        <v>0</v>
      </c>
      <c r="G197" s="139">
        <f>IF(Data_Override!F197="",Data!F197,Data_Override!F197)</f>
        <v>0</v>
      </c>
      <c r="H197" s="139">
        <f>IF(Data_Override!G197="",Data!G197,Data_Override!G197)</f>
        <v>0</v>
      </c>
      <c r="I197" s="140">
        <f t="shared" si="54"/>
        <v>0</v>
      </c>
      <c r="J197" s="140">
        <f t="shared" si="55"/>
        <v>0</v>
      </c>
      <c r="L197" s="139">
        <f>IF(Data_Override!I197="",Data!I197,Data_Override!I197)</f>
        <v>0</v>
      </c>
      <c r="M197" s="139">
        <f>IF(Data_Override!J197="",Data!J197,Data_Override!J197)</f>
        <v>0</v>
      </c>
      <c r="N197" s="139">
        <f>IF(Data_Override!K197="",Data!K197,Data_Override!K197)</f>
        <v>0</v>
      </c>
      <c r="O197" s="139">
        <f>IF(Data_Override!L197="",Data!L197,Data_Override!L197)</f>
        <v>0</v>
      </c>
      <c r="P197" s="140">
        <f t="shared" ref="P197:P227" si="58">IFERROR(SUM(L197:M197),"")</f>
        <v>0</v>
      </c>
      <c r="Q197" s="140">
        <f t="shared" ref="Q197:Q227" si="59">IFERROR(SUM(N197:O197),"")</f>
        <v>0</v>
      </c>
      <c r="S197" s="139">
        <f>IF(Data_Override!N197="",Data!N197,Data_Override!N197)</f>
        <v>0</v>
      </c>
      <c r="U197" s="139">
        <f>IF(Data_Override!P197="",Data!P197,Data_Override!P197)</f>
        <v>0</v>
      </c>
      <c r="V197" s="139">
        <f>IF(Data_Override!Q197="",Data!Q197,Data_Override!Q197)</f>
        <v>0</v>
      </c>
      <c r="W197" s="139">
        <f>IF(Data_Override!R197="",Data!R197,Data_Override!R197)</f>
        <v>0</v>
      </c>
      <c r="X197" s="139">
        <f>IF(Data_Override!S197="",Data!S197,Data_Override!S197)</f>
        <v>0</v>
      </c>
      <c r="Y197" s="140">
        <f t="shared" si="56"/>
        <v>0</v>
      </c>
      <c r="Z197" s="140">
        <f t="shared" si="57"/>
        <v>0</v>
      </c>
      <c r="AB197" s="139">
        <f>IF(Data_Override!U197="",Data!U197,Data_Override!U197)</f>
        <v>0</v>
      </c>
      <c r="AC197" s="139">
        <f>IF(Data_Override!V197="",Data!V197,Data_Override!V197)</f>
        <v>0</v>
      </c>
      <c r="AD197" s="139">
        <f>IF(Data_Override!W197="",Data!W197,Data_Override!W197)</f>
        <v>0</v>
      </c>
    </row>
    <row r="198" spans="1:30" x14ac:dyDescent="0.2">
      <c r="A198" s="141" t="s">
        <v>245</v>
      </c>
      <c r="B198" s="142" t="s">
        <v>110</v>
      </c>
      <c r="C198" s="142" t="s">
        <v>24</v>
      </c>
      <c r="D198" s="19" t="str">
        <f t="shared" si="53"/>
        <v>25</v>
      </c>
      <c r="E198" s="139">
        <f>IF(Data_Override!D198="",Data!D198,Data_Override!D198)</f>
        <v>0</v>
      </c>
      <c r="F198" s="139">
        <f>IF(Data_Override!E198="",Data!E198,Data_Override!E198)</f>
        <v>0</v>
      </c>
      <c r="G198" s="139">
        <f>IF(Data_Override!F198="",Data!F198,Data_Override!F198)</f>
        <v>0</v>
      </c>
      <c r="H198" s="139">
        <f>IF(Data_Override!G198="",Data!G198,Data_Override!G198)</f>
        <v>0</v>
      </c>
      <c r="I198" s="140">
        <f t="shared" si="54"/>
        <v>0</v>
      </c>
      <c r="J198" s="140">
        <f t="shared" si="55"/>
        <v>0</v>
      </c>
      <c r="L198" s="139">
        <f>IF(Data_Override!I198="",Data!I198,Data_Override!I198)</f>
        <v>0</v>
      </c>
      <c r="M198" s="139">
        <f>IF(Data_Override!J198="",Data!J198,Data_Override!J198)</f>
        <v>0</v>
      </c>
      <c r="N198" s="139">
        <f>IF(Data_Override!K198="",Data!K198,Data_Override!K198)</f>
        <v>0</v>
      </c>
      <c r="O198" s="139">
        <f>IF(Data_Override!L198="",Data!L198,Data_Override!L198)</f>
        <v>0</v>
      </c>
      <c r="P198" s="140">
        <f t="shared" si="58"/>
        <v>0</v>
      </c>
      <c r="Q198" s="140">
        <f t="shared" si="59"/>
        <v>0</v>
      </c>
      <c r="S198" s="139">
        <f>IF(Data_Override!N198="",Data!N198,Data_Override!N198)</f>
        <v>0</v>
      </c>
      <c r="U198" s="139">
        <f>IF(Data_Override!P198="",Data!P198,Data_Override!P198)</f>
        <v>0</v>
      </c>
      <c r="V198" s="139">
        <f>IF(Data_Override!Q198="",Data!Q198,Data_Override!Q198)</f>
        <v>0</v>
      </c>
      <c r="W198" s="139">
        <f>IF(Data_Override!R198="",Data!R198,Data_Override!R198)</f>
        <v>0</v>
      </c>
      <c r="X198" s="139">
        <f>IF(Data_Override!S198="",Data!S198,Data_Override!S198)</f>
        <v>0</v>
      </c>
      <c r="Y198" s="140">
        <f t="shared" si="56"/>
        <v>0</v>
      </c>
      <c r="Z198" s="140">
        <f t="shared" si="57"/>
        <v>0</v>
      </c>
      <c r="AB198" s="139">
        <f>IF(Data_Override!U198="",Data!U198,Data_Override!U198)</f>
        <v>0</v>
      </c>
      <c r="AC198" s="139">
        <f>IF(Data_Override!V198="",Data!V198,Data_Override!V198)</f>
        <v>0</v>
      </c>
      <c r="AD198" s="139">
        <f>IF(Data_Override!W198="",Data!W198,Data_Override!W198)</f>
        <v>0</v>
      </c>
    </row>
    <row r="199" spans="1:30" hidden="1" x14ac:dyDescent="0.2">
      <c r="A199" s="138" t="str">
        <f t="shared" ref="A199" si="60">B199&amp;RIGHT(C199,2)</f>
        <v>DVW12</v>
      </c>
      <c r="B199" s="19" t="s">
        <v>111</v>
      </c>
      <c r="C199" s="143" t="s">
        <v>64</v>
      </c>
      <c r="D199" s="19" t="str">
        <f t="shared" si="53"/>
        <v>12</v>
      </c>
      <c r="E199" s="139">
        <f>IF(Data_Override!D199="",Data!D199,Data_Override!D199)</f>
        <v>0</v>
      </c>
      <c r="F199" s="139">
        <f>IF(Data_Override!E199="",Data!E199,Data_Override!E199)</f>
        <v>0</v>
      </c>
      <c r="G199" s="139">
        <f>IF(Data_Override!F199="",Data!F199,Data_Override!F199)</f>
        <v>0</v>
      </c>
      <c r="H199" s="139">
        <f>IF(Data_Override!G199="",Data!G199,Data_Override!G199)</f>
        <v>0</v>
      </c>
      <c r="I199" s="140">
        <f t="shared" si="54"/>
        <v>0</v>
      </c>
      <c r="J199" s="140">
        <f t="shared" si="55"/>
        <v>0</v>
      </c>
      <c r="L199" s="139">
        <f>IF(Data_Override!I199="",Data!I199,Data_Override!I199)</f>
        <v>0</v>
      </c>
      <c r="M199" s="139">
        <f>IF(Data_Override!J199="",Data!J199,Data_Override!J199)</f>
        <v>0</v>
      </c>
      <c r="N199" s="139">
        <f>IF(Data_Override!K199="",Data!K199,Data_Override!K199)</f>
        <v>0</v>
      </c>
      <c r="O199" s="139">
        <f>IF(Data_Override!L199="",Data!L199,Data_Override!L199)</f>
        <v>0</v>
      </c>
      <c r="P199" s="140">
        <f t="shared" si="58"/>
        <v>0</v>
      </c>
      <c r="Q199" s="140">
        <f t="shared" si="59"/>
        <v>0</v>
      </c>
      <c r="S199" s="139">
        <f>IF(Data_Override!N199="",Data!N199,Data_Override!N199)</f>
        <v>18.400728571706299</v>
      </c>
      <c r="U199" s="139">
        <f>IF(Data_Override!P199="",Data!P199,Data_Override!P199)</f>
        <v>0</v>
      </c>
      <c r="V199" s="139">
        <f>IF(Data_Override!Q199="",Data!Q199,Data_Override!Q199)</f>
        <v>0</v>
      </c>
      <c r="W199" s="139">
        <f>IF(Data_Override!R199="",Data!R199,Data_Override!R199)</f>
        <v>0</v>
      </c>
      <c r="X199" s="139">
        <f>IF(Data_Override!S199="",Data!S199,Data_Override!S199)</f>
        <v>0</v>
      </c>
      <c r="Y199" s="140">
        <f t="shared" si="56"/>
        <v>0</v>
      </c>
      <c r="Z199" s="140">
        <f t="shared" si="57"/>
        <v>0</v>
      </c>
      <c r="AB199" s="139">
        <f>IF(Data_Override!U199="",Data!U199,Data_Override!U199)</f>
        <v>0</v>
      </c>
      <c r="AC199" s="139">
        <f>IF(Data_Override!V199="",Data!V199,Data_Override!V199)</f>
        <v>0</v>
      </c>
      <c r="AD199" s="139">
        <f>IF(Data_Override!W199="",Data!W199,Data_Override!W199)</f>
        <v>0</v>
      </c>
    </row>
    <row r="200" spans="1:30" hidden="1" x14ac:dyDescent="0.2">
      <c r="A200" s="138" t="str">
        <f>B200&amp;RIGHT(C200,2)</f>
        <v>DVW13</v>
      </c>
      <c r="B200" s="19" t="s">
        <v>111</v>
      </c>
      <c r="C200" s="143" t="s">
        <v>65</v>
      </c>
      <c r="D200" s="19" t="str">
        <f t="shared" si="53"/>
        <v>13</v>
      </c>
      <c r="E200" s="139">
        <f>IF(Data_Override!D200="",Data!D200,Data_Override!D200)</f>
        <v>0</v>
      </c>
      <c r="F200" s="139">
        <f>IF(Data_Override!E200="",Data!E200,Data_Override!E200)</f>
        <v>0</v>
      </c>
      <c r="G200" s="139">
        <f>IF(Data_Override!F200="",Data!F200,Data_Override!F200)</f>
        <v>0</v>
      </c>
      <c r="H200" s="139">
        <f>IF(Data_Override!G200="",Data!G200,Data_Override!G200)</f>
        <v>0</v>
      </c>
      <c r="I200" s="140">
        <f t="shared" si="54"/>
        <v>0</v>
      </c>
      <c r="J200" s="140">
        <f t="shared" si="55"/>
        <v>0</v>
      </c>
      <c r="L200" s="139">
        <f>IF(Data_Override!I200="",Data!I200,Data_Override!I200)</f>
        <v>0</v>
      </c>
      <c r="M200" s="139">
        <f>IF(Data_Override!J200="",Data!J200,Data_Override!J200)</f>
        <v>0</v>
      </c>
      <c r="N200" s="139">
        <f>IF(Data_Override!K200="",Data!K200,Data_Override!K200)</f>
        <v>0</v>
      </c>
      <c r="O200" s="139">
        <f>IF(Data_Override!L200="",Data!L200,Data_Override!L200)</f>
        <v>0</v>
      </c>
      <c r="P200" s="140">
        <f t="shared" si="58"/>
        <v>0</v>
      </c>
      <c r="Q200" s="140">
        <f t="shared" si="59"/>
        <v>0</v>
      </c>
      <c r="S200" s="139">
        <f>IF(Data_Override!N200="",Data!N200,Data_Override!N200)</f>
        <v>24.240161243439001</v>
      </c>
      <c r="U200" s="139">
        <f>IF(Data_Override!P200="",Data!P200,Data_Override!P200)</f>
        <v>0</v>
      </c>
      <c r="V200" s="139">
        <f>IF(Data_Override!Q200="",Data!Q200,Data_Override!Q200)</f>
        <v>0</v>
      </c>
      <c r="W200" s="139">
        <f>IF(Data_Override!R200="",Data!R200,Data_Override!R200)</f>
        <v>0</v>
      </c>
      <c r="X200" s="139">
        <f>IF(Data_Override!S200="",Data!S200,Data_Override!S200)</f>
        <v>0</v>
      </c>
      <c r="Y200" s="140">
        <f t="shared" si="56"/>
        <v>0</v>
      </c>
      <c r="Z200" s="140">
        <f t="shared" si="57"/>
        <v>0</v>
      </c>
      <c r="AB200" s="139">
        <f>IF(Data_Override!U200="",Data!U200,Data_Override!U200)</f>
        <v>0</v>
      </c>
      <c r="AC200" s="139">
        <f>IF(Data_Override!V200="",Data!V200,Data_Override!V200)</f>
        <v>0</v>
      </c>
      <c r="AD200" s="139">
        <f>IF(Data_Override!W200="",Data!W200,Data_Override!W200)</f>
        <v>0</v>
      </c>
    </row>
    <row r="201" spans="1:30" hidden="1" x14ac:dyDescent="0.2">
      <c r="A201" s="138" t="str">
        <f>B201&amp;RIGHT(C201,2)</f>
        <v>DVW14</v>
      </c>
      <c r="B201" s="19" t="s">
        <v>111</v>
      </c>
      <c r="C201" s="143" t="s">
        <v>66</v>
      </c>
      <c r="D201" s="19" t="str">
        <f t="shared" si="53"/>
        <v>14</v>
      </c>
      <c r="E201" s="139">
        <f>IF(Data_Override!D201="",Data!D201,Data_Override!D201)</f>
        <v>0</v>
      </c>
      <c r="F201" s="139">
        <f>IF(Data_Override!E201="",Data!E201,Data_Override!E201)</f>
        <v>0</v>
      </c>
      <c r="G201" s="139">
        <f>IF(Data_Override!F201="",Data!F201,Data_Override!F201)</f>
        <v>0</v>
      </c>
      <c r="H201" s="139">
        <f>IF(Data_Override!G201="",Data!G201,Data_Override!G201)</f>
        <v>0</v>
      </c>
      <c r="I201" s="140">
        <f t="shared" si="54"/>
        <v>0</v>
      </c>
      <c r="J201" s="140">
        <f t="shared" si="55"/>
        <v>0</v>
      </c>
      <c r="L201" s="139">
        <f>IF(Data_Override!I201="",Data!I201,Data_Override!I201)</f>
        <v>0</v>
      </c>
      <c r="M201" s="139">
        <f>IF(Data_Override!J201="",Data!J201,Data_Override!J201)</f>
        <v>0</v>
      </c>
      <c r="N201" s="139">
        <f>IF(Data_Override!K201="",Data!K201,Data_Override!K201)</f>
        <v>0</v>
      </c>
      <c r="O201" s="139">
        <f>IF(Data_Override!L201="",Data!L201,Data_Override!L201)</f>
        <v>0</v>
      </c>
      <c r="P201" s="140">
        <f t="shared" si="58"/>
        <v>0</v>
      </c>
      <c r="Q201" s="140">
        <f t="shared" si="59"/>
        <v>0</v>
      </c>
      <c r="S201" s="139">
        <f>IF(Data_Override!N201="",Data!N201,Data_Override!N201)</f>
        <v>15.9632272581136</v>
      </c>
      <c r="U201" s="139">
        <f>IF(Data_Override!P201="",Data!P201,Data_Override!P201)</f>
        <v>0</v>
      </c>
      <c r="V201" s="139">
        <f>IF(Data_Override!Q201="",Data!Q201,Data_Override!Q201)</f>
        <v>0</v>
      </c>
      <c r="W201" s="139">
        <f>IF(Data_Override!R201="",Data!R201,Data_Override!R201)</f>
        <v>0</v>
      </c>
      <c r="X201" s="139">
        <f>IF(Data_Override!S201="",Data!S201,Data_Override!S201)</f>
        <v>0</v>
      </c>
      <c r="Y201" s="140">
        <f t="shared" si="56"/>
        <v>0</v>
      </c>
      <c r="Z201" s="140">
        <f t="shared" si="57"/>
        <v>0</v>
      </c>
      <c r="AB201" s="139">
        <f>IF(Data_Override!U201="",Data!U201,Data_Override!U201)</f>
        <v>0</v>
      </c>
      <c r="AC201" s="139">
        <f>IF(Data_Override!V201="",Data!V201,Data_Override!V201)</f>
        <v>0</v>
      </c>
      <c r="AD201" s="139">
        <f>IF(Data_Override!W201="",Data!W201,Data_Override!W201)</f>
        <v>0</v>
      </c>
    </row>
    <row r="202" spans="1:30" hidden="1" x14ac:dyDescent="0.2">
      <c r="A202" s="138" t="str">
        <f>B202&amp;RIGHT(C202,2)</f>
        <v>DVW15</v>
      </c>
      <c r="B202" s="19" t="s">
        <v>111</v>
      </c>
      <c r="C202" s="143" t="s">
        <v>67</v>
      </c>
      <c r="D202" s="19" t="str">
        <f t="shared" si="53"/>
        <v>15</v>
      </c>
      <c r="E202" s="139">
        <f>IF(Data_Override!D202="",Data!D202,Data_Override!D202)</f>
        <v>0</v>
      </c>
      <c r="F202" s="139">
        <f>IF(Data_Override!E202="",Data!E202,Data_Override!E202)</f>
        <v>0</v>
      </c>
      <c r="G202" s="139">
        <f>IF(Data_Override!F202="",Data!F202,Data_Override!F202)</f>
        <v>0</v>
      </c>
      <c r="H202" s="139">
        <f>IF(Data_Override!G202="",Data!G202,Data_Override!G202)</f>
        <v>0</v>
      </c>
      <c r="I202" s="140">
        <f t="shared" si="54"/>
        <v>0</v>
      </c>
      <c r="J202" s="140">
        <f t="shared" si="55"/>
        <v>0</v>
      </c>
      <c r="L202" s="139">
        <f>IF(Data_Override!I202="",Data!I202,Data_Override!I202)</f>
        <v>0</v>
      </c>
      <c r="M202" s="139">
        <f>IF(Data_Override!J202="",Data!J202,Data_Override!J202)</f>
        <v>0</v>
      </c>
      <c r="N202" s="139">
        <f>IF(Data_Override!K202="",Data!K202,Data_Override!K202)</f>
        <v>0</v>
      </c>
      <c r="O202" s="139">
        <f>IF(Data_Override!L202="",Data!L202,Data_Override!L202)</f>
        <v>0</v>
      </c>
      <c r="P202" s="140">
        <f t="shared" si="58"/>
        <v>0</v>
      </c>
      <c r="Q202" s="140">
        <f t="shared" si="59"/>
        <v>0</v>
      </c>
      <c r="S202" s="139">
        <f>IF(Data_Override!N202="",Data!N202,Data_Override!N202)</f>
        <v>17.1151387087824</v>
      </c>
      <c r="U202" s="139">
        <f>IF(Data_Override!P202="",Data!P202,Data_Override!P202)</f>
        <v>0</v>
      </c>
      <c r="V202" s="139">
        <f>IF(Data_Override!Q202="",Data!Q202,Data_Override!Q202)</f>
        <v>0</v>
      </c>
      <c r="W202" s="139">
        <f>IF(Data_Override!R202="",Data!R202,Data_Override!R202)</f>
        <v>0</v>
      </c>
      <c r="X202" s="139">
        <f>IF(Data_Override!S202="",Data!S202,Data_Override!S202)</f>
        <v>0</v>
      </c>
      <c r="Y202" s="140">
        <f t="shared" si="56"/>
        <v>0</v>
      </c>
      <c r="Z202" s="140">
        <f t="shared" si="57"/>
        <v>0</v>
      </c>
      <c r="AB202" s="139">
        <f>IF(Data_Override!U202="",Data!U202,Data_Override!U202)</f>
        <v>0</v>
      </c>
      <c r="AC202" s="139">
        <f>IF(Data_Override!V202="",Data!V202,Data_Override!V202)</f>
        <v>0</v>
      </c>
      <c r="AD202" s="139">
        <f>IF(Data_Override!W202="",Data!W202,Data_Override!W202)</f>
        <v>0</v>
      </c>
    </row>
    <row r="203" spans="1:30" hidden="1" x14ac:dyDescent="0.2">
      <c r="A203" s="138" t="str">
        <f>B203&amp;RIGHT(C203,2)</f>
        <v>DVW16</v>
      </c>
      <c r="B203" s="19" t="s">
        <v>111</v>
      </c>
      <c r="C203" s="143" t="s">
        <v>68</v>
      </c>
      <c r="D203" s="19" t="str">
        <f t="shared" si="53"/>
        <v>16</v>
      </c>
      <c r="E203" s="139">
        <f>IF(Data_Override!D203="",Data!D203,Data_Override!D203)</f>
        <v>0</v>
      </c>
      <c r="F203" s="139">
        <f>IF(Data_Override!E203="",Data!E203,Data_Override!E203)</f>
        <v>0</v>
      </c>
      <c r="G203" s="139">
        <f>IF(Data_Override!F203="",Data!F203,Data_Override!F203)</f>
        <v>0</v>
      </c>
      <c r="H203" s="139">
        <f>IF(Data_Override!G203="",Data!G203,Data_Override!G203)</f>
        <v>0</v>
      </c>
      <c r="I203" s="140">
        <f t="shared" si="54"/>
        <v>0</v>
      </c>
      <c r="J203" s="140">
        <f t="shared" si="55"/>
        <v>0</v>
      </c>
      <c r="L203" s="139">
        <f>IF(Data_Override!I203="",Data!I203,Data_Override!I203)</f>
        <v>0</v>
      </c>
      <c r="M203" s="139">
        <f>IF(Data_Override!J203="",Data!J203,Data_Override!J203)</f>
        <v>0</v>
      </c>
      <c r="N203" s="139">
        <f>IF(Data_Override!K203="",Data!K203,Data_Override!K203)</f>
        <v>0</v>
      </c>
      <c r="O203" s="139">
        <f>IF(Data_Override!L203="",Data!L203,Data_Override!L203)</f>
        <v>0</v>
      </c>
      <c r="P203" s="140">
        <f t="shared" si="58"/>
        <v>0</v>
      </c>
      <c r="Q203" s="140">
        <f t="shared" si="59"/>
        <v>0</v>
      </c>
      <c r="S203" s="139">
        <f>IF(Data_Override!N203="",Data!N203,Data_Override!N203)</f>
        <v>16.908367151403201</v>
      </c>
      <c r="U203" s="139">
        <f>IF(Data_Override!P203="",Data!P203,Data_Override!P203)</f>
        <v>0</v>
      </c>
      <c r="V203" s="139">
        <f>IF(Data_Override!Q203="",Data!Q203,Data_Override!Q203)</f>
        <v>0</v>
      </c>
      <c r="W203" s="139">
        <f>IF(Data_Override!R203="",Data!R203,Data_Override!R203)</f>
        <v>0</v>
      </c>
      <c r="X203" s="139">
        <f>IF(Data_Override!S203="",Data!S203,Data_Override!S203)</f>
        <v>0</v>
      </c>
      <c r="Y203" s="140">
        <f t="shared" si="56"/>
        <v>0</v>
      </c>
      <c r="Z203" s="140">
        <f t="shared" si="57"/>
        <v>0</v>
      </c>
      <c r="AB203" s="139">
        <f>IF(Data_Override!U203="",Data!U203,Data_Override!U203)</f>
        <v>0</v>
      </c>
      <c r="AC203" s="139">
        <f>IF(Data_Override!V203="",Data!V203,Data_Override!V203)</f>
        <v>0</v>
      </c>
      <c r="AD203" s="139">
        <f>IF(Data_Override!W203="",Data!W203,Data_Override!W203)</f>
        <v>0</v>
      </c>
    </row>
    <row r="204" spans="1:30" hidden="1" x14ac:dyDescent="0.2">
      <c r="A204" s="138" t="str">
        <f>B204&amp;RIGHT(C204,2)</f>
        <v>DVW17</v>
      </c>
      <c r="B204" s="19" t="s">
        <v>111</v>
      </c>
      <c r="C204" s="143" t="s">
        <v>69</v>
      </c>
      <c r="D204" s="19" t="str">
        <f t="shared" si="53"/>
        <v>17</v>
      </c>
      <c r="E204" s="139">
        <f>IF(Data_Override!D204="",Data!D204,Data_Override!D204)</f>
        <v>0</v>
      </c>
      <c r="F204" s="139">
        <f>IF(Data_Override!E204="",Data!E204,Data_Override!E204)</f>
        <v>0</v>
      </c>
      <c r="G204" s="139">
        <f>IF(Data_Override!F204="",Data!F204,Data_Override!F204)</f>
        <v>0</v>
      </c>
      <c r="H204" s="139">
        <f>IF(Data_Override!G204="",Data!G204,Data_Override!G204)</f>
        <v>0</v>
      </c>
      <c r="I204" s="140">
        <f t="shared" si="54"/>
        <v>0</v>
      </c>
      <c r="J204" s="140">
        <f t="shared" si="55"/>
        <v>0</v>
      </c>
      <c r="L204" s="139">
        <f>IF(Data_Override!I204="",Data!I204,Data_Override!I204)</f>
        <v>0</v>
      </c>
      <c r="M204" s="139">
        <f>IF(Data_Override!J204="",Data!J204,Data_Override!J204)</f>
        <v>0</v>
      </c>
      <c r="N204" s="139">
        <f>IF(Data_Override!K204="",Data!K204,Data_Override!K204)</f>
        <v>0</v>
      </c>
      <c r="O204" s="139">
        <f>IF(Data_Override!L204="",Data!L204,Data_Override!L204)</f>
        <v>0</v>
      </c>
      <c r="P204" s="140">
        <f t="shared" si="58"/>
        <v>0</v>
      </c>
      <c r="Q204" s="140">
        <f t="shared" si="59"/>
        <v>0</v>
      </c>
      <c r="S204" s="139">
        <f>IF(Data_Override!N204="",Data!N204,Data_Override!N204)</f>
        <v>22.004551680340601</v>
      </c>
      <c r="U204" s="139">
        <f>IF(Data_Override!P204="",Data!P204,Data_Override!P204)</f>
        <v>0</v>
      </c>
      <c r="V204" s="139">
        <f>IF(Data_Override!Q204="",Data!Q204,Data_Override!Q204)</f>
        <v>0</v>
      </c>
      <c r="W204" s="139">
        <f>IF(Data_Override!R204="",Data!R204,Data_Override!R204)</f>
        <v>0</v>
      </c>
      <c r="X204" s="139">
        <f>IF(Data_Override!S204="",Data!S204,Data_Override!S204)</f>
        <v>0</v>
      </c>
      <c r="Y204" s="140">
        <f t="shared" si="56"/>
        <v>0</v>
      </c>
      <c r="Z204" s="140">
        <f t="shared" si="57"/>
        <v>0</v>
      </c>
      <c r="AB204" s="139">
        <f>IF(Data_Override!U204="",Data!U204,Data_Override!U204)</f>
        <v>0</v>
      </c>
      <c r="AC204" s="139">
        <f>IF(Data_Override!V204="",Data!V204,Data_Override!V204)</f>
        <v>0</v>
      </c>
      <c r="AD204" s="139">
        <f>IF(Data_Override!W204="",Data!W204,Data_Override!W204)</f>
        <v>0</v>
      </c>
    </row>
    <row r="205" spans="1:30" hidden="1" x14ac:dyDescent="0.2">
      <c r="A205" s="141" t="s">
        <v>246</v>
      </c>
      <c r="B205" s="142" t="s">
        <v>111</v>
      </c>
      <c r="C205" s="142" t="s">
        <v>70</v>
      </c>
      <c r="D205" s="19" t="str">
        <f t="shared" si="53"/>
        <v>18</v>
      </c>
      <c r="E205" s="139">
        <f>IF(Data_Override!D205="",Data!D205,Data_Override!D205)</f>
        <v>0</v>
      </c>
      <c r="F205" s="139">
        <f>IF(Data_Override!E205="",Data!E205,Data_Override!E205)</f>
        <v>0</v>
      </c>
      <c r="G205" s="139">
        <f>IF(Data_Override!F205="",Data!F205,Data_Override!F205)</f>
        <v>1.4999999999999999E-2</v>
      </c>
      <c r="H205" s="139">
        <f>IF(Data_Override!G205="",Data!G205,Data_Override!G205)</f>
        <v>0</v>
      </c>
      <c r="I205" s="140">
        <f t="shared" si="54"/>
        <v>0</v>
      </c>
      <c r="J205" s="140">
        <f t="shared" si="55"/>
        <v>1.4999999999999999E-2</v>
      </c>
      <c r="L205" s="139">
        <f>IF(Data_Override!I205="",Data!I205,Data_Override!I205)</f>
        <v>0</v>
      </c>
      <c r="M205" s="139">
        <f>IF(Data_Override!J205="",Data!J205,Data_Override!J205)</f>
        <v>0</v>
      </c>
      <c r="N205" s="139">
        <f>IF(Data_Override!K205="",Data!K205,Data_Override!K205)</f>
        <v>0</v>
      </c>
      <c r="O205" s="139">
        <f>IF(Data_Override!L205="",Data!L205,Data_Override!L205)</f>
        <v>0</v>
      </c>
      <c r="P205" s="140">
        <f t="shared" si="58"/>
        <v>0</v>
      </c>
      <c r="Q205" s="140">
        <f t="shared" si="59"/>
        <v>0</v>
      </c>
      <c r="S205" s="139">
        <f>IF(Data_Override!N205="",Data!N205,Data_Override!N205)</f>
        <v>27.923999999999999</v>
      </c>
      <c r="U205" s="139">
        <f>IF(Data_Override!P205="",Data!P205,Data_Override!P205)</f>
        <v>0</v>
      </c>
      <c r="V205" s="139">
        <f>IF(Data_Override!Q205="",Data!Q205,Data_Override!Q205)</f>
        <v>0</v>
      </c>
      <c r="W205" s="139">
        <f>IF(Data_Override!R205="",Data!R205,Data_Override!R205)</f>
        <v>0</v>
      </c>
      <c r="X205" s="139">
        <f>IF(Data_Override!S205="",Data!S205,Data_Override!S205)</f>
        <v>0</v>
      </c>
      <c r="Y205" s="140">
        <f t="shared" si="56"/>
        <v>0</v>
      </c>
      <c r="Z205" s="140">
        <f t="shared" si="57"/>
        <v>0</v>
      </c>
      <c r="AB205" s="139">
        <f>IF(Data_Override!U205="",Data!U205,Data_Override!U205)</f>
        <v>10.96</v>
      </c>
      <c r="AC205" s="139">
        <f>IF(Data_Override!V205="",Data!V205,Data_Override!V205)</f>
        <v>2015.1</v>
      </c>
      <c r="AD205" s="139">
        <f>IF(Data_Override!W205="",Data!W205,Data_Override!W205)</f>
        <v>127.93</v>
      </c>
    </row>
    <row r="206" spans="1:30" hidden="1" x14ac:dyDescent="0.2">
      <c r="A206" s="141" t="s">
        <v>247</v>
      </c>
      <c r="B206" s="142" t="s">
        <v>111</v>
      </c>
      <c r="C206" s="142" t="s">
        <v>71</v>
      </c>
      <c r="D206" s="19" t="str">
        <f t="shared" si="53"/>
        <v>19</v>
      </c>
      <c r="E206" s="139">
        <f>IF(Data_Override!D206="",Data!D206,Data_Override!D206)</f>
        <v>0</v>
      </c>
      <c r="F206" s="139">
        <f>IF(Data_Override!E206="",Data!E206,Data_Override!E206)</f>
        <v>0</v>
      </c>
      <c r="G206" s="139">
        <f>IF(Data_Override!F206="",Data!F206,Data_Override!F206)</f>
        <v>0</v>
      </c>
      <c r="H206" s="139">
        <f>IF(Data_Override!G206="",Data!G206,Data_Override!G206)</f>
        <v>0</v>
      </c>
      <c r="I206" s="140">
        <f t="shared" si="54"/>
        <v>0</v>
      </c>
      <c r="J206" s="140">
        <f t="shared" si="55"/>
        <v>0</v>
      </c>
      <c r="L206" s="139">
        <f>IF(Data_Override!I206="",Data!I206,Data_Override!I206)</f>
        <v>0</v>
      </c>
      <c r="M206" s="139">
        <f>IF(Data_Override!J206="",Data!J206,Data_Override!J206)</f>
        <v>0</v>
      </c>
      <c r="N206" s="139">
        <f>IF(Data_Override!K206="",Data!K206,Data_Override!K206)</f>
        <v>0</v>
      </c>
      <c r="O206" s="139">
        <f>IF(Data_Override!L206="",Data!L206,Data_Override!L206)</f>
        <v>0</v>
      </c>
      <c r="P206" s="140">
        <f t="shared" si="58"/>
        <v>0</v>
      </c>
      <c r="Q206" s="140">
        <f t="shared" si="59"/>
        <v>0</v>
      </c>
      <c r="S206" s="139">
        <f>IF(Data_Override!N206="",Data!N206,Data_Override!N206)</f>
        <v>0</v>
      </c>
      <c r="U206" s="139">
        <f>IF(Data_Override!P206="",Data!P206,Data_Override!P206)</f>
        <v>0</v>
      </c>
      <c r="V206" s="139">
        <f>IF(Data_Override!Q206="",Data!Q206,Data_Override!Q206)</f>
        <v>0</v>
      </c>
      <c r="W206" s="139">
        <f>IF(Data_Override!R206="",Data!R206,Data_Override!R206)</f>
        <v>0</v>
      </c>
      <c r="X206" s="139">
        <f>IF(Data_Override!S206="",Data!S206,Data_Override!S206)</f>
        <v>0</v>
      </c>
      <c r="Y206" s="140">
        <f t="shared" si="56"/>
        <v>0</v>
      </c>
      <c r="Z206" s="140">
        <f t="shared" si="57"/>
        <v>0</v>
      </c>
      <c r="AB206" s="139">
        <f>IF(Data_Override!U206="",Data!U206,Data_Override!U206)</f>
        <v>0</v>
      </c>
      <c r="AC206" s="139">
        <f>IF(Data_Override!V206="",Data!V206,Data_Override!V206)</f>
        <v>0</v>
      </c>
      <c r="AD206" s="139">
        <f>IF(Data_Override!W206="",Data!W206,Data_Override!W206)</f>
        <v>0</v>
      </c>
    </row>
    <row r="207" spans="1:30" hidden="1" x14ac:dyDescent="0.2">
      <c r="A207" s="141" t="s">
        <v>248</v>
      </c>
      <c r="B207" s="142" t="s">
        <v>111</v>
      </c>
      <c r="C207" s="142" t="s">
        <v>72</v>
      </c>
      <c r="D207" s="19" t="str">
        <f t="shared" si="53"/>
        <v>20</v>
      </c>
      <c r="E207" s="139">
        <f>IF(Data_Override!D207="",Data!D207,Data_Override!D207)</f>
        <v>0</v>
      </c>
      <c r="F207" s="139">
        <f>IF(Data_Override!E207="",Data!E207,Data_Override!E207)</f>
        <v>0</v>
      </c>
      <c r="G207" s="139">
        <f>IF(Data_Override!F207="",Data!F207,Data_Override!F207)</f>
        <v>0</v>
      </c>
      <c r="H207" s="139">
        <f>IF(Data_Override!G207="",Data!G207,Data_Override!G207)</f>
        <v>0</v>
      </c>
      <c r="I207" s="140">
        <f t="shared" si="54"/>
        <v>0</v>
      </c>
      <c r="J207" s="140">
        <f t="shared" si="55"/>
        <v>0</v>
      </c>
      <c r="L207" s="139">
        <f>IF(Data_Override!I207="",Data!I207,Data_Override!I207)</f>
        <v>0</v>
      </c>
      <c r="M207" s="139">
        <f>IF(Data_Override!J207="",Data!J207,Data_Override!J207)</f>
        <v>0</v>
      </c>
      <c r="N207" s="139">
        <f>IF(Data_Override!K207="",Data!K207,Data_Override!K207)</f>
        <v>0</v>
      </c>
      <c r="O207" s="139">
        <f>IF(Data_Override!L207="",Data!L207,Data_Override!L207)</f>
        <v>0</v>
      </c>
      <c r="P207" s="140">
        <f t="shared" si="58"/>
        <v>0</v>
      </c>
      <c r="Q207" s="140">
        <f t="shared" si="59"/>
        <v>0</v>
      </c>
      <c r="S207" s="139">
        <f>IF(Data_Override!N207="",Data!N207,Data_Override!N207)</f>
        <v>0</v>
      </c>
      <c r="U207" s="139">
        <f>IF(Data_Override!P207="",Data!P207,Data_Override!P207)</f>
        <v>0</v>
      </c>
      <c r="V207" s="139">
        <f>IF(Data_Override!Q207="",Data!Q207,Data_Override!Q207)</f>
        <v>0</v>
      </c>
      <c r="W207" s="139">
        <f>IF(Data_Override!R207="",Data!R207,Data_Override!R207)</f>
        <v>0</v>
      </c>
      <c r="X207" s="139">
        <f>IF(Data_Override!S207="",Data!S207,Data_Override!S207)</f>
        <v>0</v>
      </c>
      <c r="Y207" s="140">
        <f t="shared" si="56"/>
        <v>0</v>
      </c>
      <c r="Z207" s="140">
        <f t="shared" si="57"/>
        <v>0</v>
      </c>
      <c r="AB207" s="139">
        <f>IF(Data_Override!U207="",Data!U207,Data_Override!U207)</f>
        <v>0</v>
      </c>
      <c r="AC207" s="139">
        <f>IF(Data_Override!V207="",Data!V207,Data_Override!V207)</f>
        <v>0</v>
      </c>
      <c r="AD207" s="139">
        <f>IF(Data_Override!W207="",Data!W207,Data_Override!W207)</f>
        <v>0</v>
      </c>
    </row>
    <row r="208" spans="1:30" x14ac:dyDescent="0.2">
      <c r="A208" s="141" t="s">
        <v>249</v>
      </c>
      <c r="B208" s="142" t="s">
        <v>111</v>
      </c>
      <c r="C208" s="142" t="s">
        <v>73</v>
      </c>
      <c r="D208" s="19" t="str">
        <f t="shared" si="53"/>
        <v>21</v>
      </c>
      <c r="E208" s="139">
        <f>IF(Data_Override!D208="",Data!D208,Data_Override!D208)</f>
        <v>0</v>
      </c>
      <c r="F208" s="139">
        <f>IF(Data_Override!E208="",Data!E208,Data_Override!E208)</f>
        <v>0</v>
      </c>
      <c r="G208" s="139">
        <f>IF(Data_Override!F208="",Data!F208,Data_Override!F208)</f>
        <v>0</v>
      </c>
      <c r="H208" s="139">
        <f>IF(Data_Override!G208="",Data!G208,Data_Override!G208)</f>
        <v>0</v>
      </c>
      <c r="I208" s="140">
        <f t="shared" si="54"/>
        <v>0</v>
      </c>
      <c r="J208" s="140">
        <f t="shared" si="55"/>
        <v>0</v>
      </c>
      <c r="L208" s="139">
        <f>IF(Data_Override!I208="",Data!I208,Data_Override!I208)</f>
        <v>0</v>
      </c>
      <c r="M208" s="139">
        <f>IF(Data_Override!J208="",Data!J208,Data_Override!J208)</f>
        <v>0</v>
      </c>
      <c r="N208" s="139">
        <f>IF(Data_Override!K208="",Data!K208,Data_Override!K208)</f>
        <v>0</v>
      </c>
      <c r="O208" s="139">
        <f>IF(Data_Override!L208="",Data!L208,Data_Override!L208)</f>
        <v>0</v>
      </c>
      <c r="P208" s="140">
        <f t="shared" si="58"/>
        <v>0</v>
      </c>
      <c r="Q208" s="140">
        <f t="shared" si="59"/>
        <v>0</v>
      </c>
      <c r="S208" s="139">
        <f>IF(Data_Override!N208="",Data!N208,Data_Override!N208)</f>
        <v>0</v>
      </c>
      <c r="U208" s="139">
        <f>IF(Data_Override!P208="",Data!P208,Data_Override!P208)</f>
        <v>0</v>
      </c>
      <c r="V208" s="139">
        <f>IF(Data_Override!Q208="",Data!Q208,Data_Override!Q208)</f>
        <v>0</v>
      </c>
      <c r="W208" s="139">
        <f>IF(Data_Override!R208="",Data!R208,Data_Override!R208)</f>
        <v>0</v>
      </c>
      <c r="X208" s="139">
        <f>IF(Data_Override!S208="",Data!S208,Data_Override!S208)</f>
        <v>0</v>
      </c>
      <c r="Y208" s="140">
        <f t="shared" si="56"/>
        <v>0</v>
      </c>
      <c r="Z208" s="140">
        <f t="shared" si="57"/>
        <v>0</v>
      </c>
      <c r="AB208" s="139">
        <f>IF(Data_Override!U208="",Data!U208,Data_Override!U208)</f>
        <v>0</v>
      </c>
      <c r="AC208" s="139">
        <f>IF(Data_Override!V208="",Data!V208,Data_Override!V208)</f>
        <v>0</v>
      </c>
      <c r="AD208" s="139">
        <f>IF(Data_Override!W208="",Data!W208,Data_Override!W208)</f>
        <v>0</v>
      </c>
    </row>
    <row r="209" spans="1:30" x14ac:dyDescent="0.2">
      <c r="A209" s="141" t="s">
        <v>250</v>
      </c>
      <c r="B209" s="142" t="s">
        <v>111</v>
      </c>
      <c r="C209" s="142" t="s">
        <v>74</v>
      </c>
      <c r="D209" s="19" t="str">
        <f t="shared" si="53"/>
        <v>22</v>
      </c>
      <c r="E209" s="139">
        <f>IF(Data_Override!D209="",Data!D209,Data_Override!D209)</f>
        <v>0</v>
      </c>
      <c r="F209" s="139">
        <f>IF(Data_Override!E209="",Data!E209,Data_Override!E209)</f>
        <v>0</v>
      </c>
      <c r="G209" s="139">
        <f>IF(Data_Override!F209="",Data!F209,Data_Override!F209)</f>
        <v>0</v>
      </c>
      <c r="H209" s="139">
        <f>IF(Data_Override!G209="",Data!G209,Data_Override!G209)</f>
        <v>0</v>
      </c>
      <c r="I209" s="140">
        <f t="shared" si="54"/>
        <v>0</v>
      </c>
      <c r="J209" s="140">
        <f t="shared" si="55"/>
        <v>0</v>
      </c>
      <c r="L209" s="139">
        <f>IF(Data_Override!I209="",Data!I209,Data_Override!I209)</f>
        <v>0</v>
      </c>
      <c r="M209" s="139">
        <f>IF(Data_Override!J209="",Data!J209,Data_Override!J209)</f>
        <v>0</v>
      </c>
      <c r="N209" s="139">
        <f>IF(Data_Override!K209="",Data!K209,Data_Override!K209)</f>
        <v>0</v>
      </c>
      <c r="O209" s="139">
        <f>IF(Data_Override!L209="",Data!L209,Data_Override!L209)</f>
        <v>0</v>
      </c>
      <c r="P209" s="140">
        <f t="shared" si="58"/>
        <v>0</v>
      </c>
      <c r="Q209" s="140">
        <f t="shared" si="59"/>
        <v>0</v>
      </c>
      <c r="S209" s="139">
        <f>IF(Data_Override!N209="",Data!N209,Data_Override!N209)</f>
        <v>0</v>
      </c>
      <c r="U209" s="139">
        <f>IF(Data_Override!P209="",Data!P209,Data_Override!P209)</f>
        <v>0</v>
      </c>
      <c r="V209" s="139">
        <f>IF(Data_Override!Q209="",Data!Q209,Data_Override!Q209)</f>
        <v>0</v>
      </c>
      <c r="W209" s="139">
        <f>IF(Data_Override!R209="",Data!R209,Data_Override!R209)</f>
        <v>0</v>
      </c>
      <c r="X209" s="139">
        <f>IF(Data_Override!S209="",Data!S209,Data_Override!S209)</f>
        <v>0</v>
      </c>
      <c r="Y209" s="140">
        <f t="shared" si="56"/>
        <v>0</v>
      </c>
      <c r="Z209" s="140">
        <f t="shared" si="57"/>
        <v>0</v>
      </c>
      <c r="AB209" s="139">
        <f>IF(Data_Override!U209="",Data!U209,Data_Override!U209)</f>
        <v>0</v>
      </c>
      <c r="AC209" s="139">
        <f>IF(Data_Override!V209="",Data!V209,Data_Override!V209)</f>
        <v>0</v>
      </c>
      <c r="AD209" s="139">
        <f>IF(Data_Override!W209="",Data!W209,Data_Override!W209)</f>
        <v>0</v>
      </c>
    </row>
    <row r="210" spans="1:30" x14ac:dyDescent="0.2">
      <c r="A210" s="141" t="s">
        <v>251</v>
      </c>
      <c r="B210" s="142" t="s">
        <v>111</v>
      </c>
      <c r="C210" s="142" t="s">
        <v>75</v>
      </c>
      <c r="D210" s="19" t="str">
        <f t="shared" si="53"/>
        <v>23</v>
      </c>
      <c r="E210" s="139">
        <f>IF(Data_Override!D210="",Data!D210,Data_Override!D210)</f>
        <v>0</v>
      </c>
      <c r="F210" s="139">
        <f>IF(Data_Override!E210="",Data!E210,Data_Override!E210)</f>
        <v>0</v>
      </c>
      <c r="G210" s="139">
        <f>IF(Data_Override!F210="",Data!F210,Data_Override!F210)</f>
        <v>0</v>
      </c>
      <c r="H210" s="139">
        <f>IF(Data_Override!G210="",Data!G210,Data_Override!G210)</f>
        <v>0</v>
      </c>
      <c r="I210" s="140">
        <f t="shared" si="54"/>
        <v>0</v>
      </c>
      <c r="J210" s="140">
        <f t="shared" si="55"/>
        <v>0</v>
      </c>
      <c r="L210" s="139">
        <f>IF(Data_Override!I210="",Data!I210,Data_Override!I210)</f>
        <v>0</v>
      </c>
      <c r="M210" s="139">
        <f>IF(Data_Override!J210="",Data!J210,Data_Override!J210)</f>
        <v>0</v>
      </c>
      <c r="N210" s="139">
        <f>IF(Data_Override!K210="",Data!K210,Data_Override!K210)</f>
        <v>0</v>
      </c>
      <c r="O210" s="139">
        <f>IF(Data_Override!L210="",Data!L210,Data_Override!L210)</f>
        <v>0</v>
      </c>
      <c r="P210" s="140">
        <f t="shared" si="58"/>
        <v>0</v>
      </c>
      <c r="Q210" s="140">
        <f t="shared" si="59"/>
        <v>0</v>
      </c>
      <c r="S210" s="139">
        <f>IF(Data_Override!N210="",Data!N210,Data_Override!N210)</f>
        <v>0</v>
      </c>
      <c r="U210" s="139">
        <f>IF(Data_Override!P210="",Data!P210,Data_Override!P210)</f>
        <v>0</v>
      </c>
      <c r="V210" s="139">
        <f>IF(Data_Override!Q210="",Data!Q210,Data_Override!Q210)</f>
        <v>0</v>
      </c>
      <c r="W210" s="139">
        <f>IF(Data_Override!R210="",Data!R210,Data_Override!R210)</f>
        <v>0</v>
      </c>
      <c r="X210" s="139">
        <f>IF(Data_Override!S210="",Data!S210,Data_Override!S210)</f>
        <v>0</v>
      </c>
      <c r="Y210" s="140">
        <f t="shared" si="56"/>
        <v>0</v>
      </c>
      <c r="Z210" s="140">
        <f t="shared" si="57"/>
        <v>0</v>
      </c>
      <c r="AB210" s="139">
        <f>IF(Data_Override!U210="",Data!U210,Data_Override!U210)</f>
        <v>0</v>
      </c>
      <c r="AC210" s="139">
        <f>IF(Data_Override!V210="",Data!V210,Data_Override!V210)</f>
        <v>0</v>
      </c>
      <c r="AD210" s="139">
        <f>IF(Data_Override!W210="",Data!W210,Data_Override!W210)</f>
        <v>0</v>
      </c>
    </row>
    <row r="211" spans="1:30" x14ac:dyDescent="0.2">
      <c r="A211" s="141" t="s">
        <v>252</v>
      </c>
      <c r="B211" s="142" t="s">
        <v>111</v>
      </c>
      <c r="C211" s="142" t="s">
        <v>76</v>
      </c>
      <c r="D211" s="19" t="str">
        <f t="shared" si="53"/>
        <v>24</v>
      </c>
      <c r="E211" s="139">
        <f>IF(Data_Override!D211="",Data!D211,Data_Override!D211)</f>
        <v>0</v>
      </c>
      <c r="F211" s="139">
        <f>IF(Data_Override!E211="",Data!E211,Data_Override!E211)</f>
        <v>0</v>
      </c>
      <c r="G211" s="139">
        <f>IF(Data_Override!F211="",Data!F211,Data_Override!F211)</f>
        <v>0</v>
      </c>
      <c r="H211" s="139">
        <f>IF(Data_Override!G211="",Data!G211,Data_Override!G211)</f>
        <v>0</v>
      </c>
      <c r="I211" s="140">
        <f t="shared" si="54"/>
        <v>0</v>
      </c>
      <c r="J211" s="140">
        <f t="shared" si="55"/>
        <v>0</v>
      </c>
      <c r="L211" s="139">
        <f>IF(Data_Override!I211="",Data!I211,Data_Override!I211)</f>
        <v>0</v>
      </c>
      <c r="M211" s="139">
        <f>IF(Data_Override!J211="",Data!J211,Data_Override!J211)</f>
        <v>0</v>
      </c>
      <c r="N211" s="139">
        <f>IF(Data_Override!K211="",Data!K211,Data_Override!K211)</f>
        <v>0</v>
      </c>
      <c r="O211" s="139">
        <f>IF(Data_Override!L211="",Data!L211,Data_Override!L211)</f>
        <v>0</v>
      </c>
      <c r="P211" s="140">
        <f t="shared" si="58"/>
        <v>0</v>
      </c>
      <c r="Q211" s="140">
        <f t="shared" si="59"/>
        <v>0</v>
      </c>
      <c r="S211" s="139">
        <f>IF(Data_Override!N211="",Data!N211,Data_Override!N211)</f>
        <v>0</v>
      </c>
      <c r="U211" s="139">
        <f>IF(Data_Override!P211="",Data!P211,Data_Override!P211)</f>
        <v>0</v>
      </c>
      <c r="V211" s="139">
        <f>IF(Data_Override!Q211="",Data!Q211,Data_Override!Q211)</f>
        <v>0</v>
      </c>
      <c r="W211" s="139">
        <f>IF(Data_Override!R211="",Data!R211,Data_Override!R211)</f>
        <v>0</v>
      </c>
      <c r="X211" s="139">
        <f>IF(Data_Override!S211="",Data!S211,Data_Override!S211)</f>
        <v>0</v>
      </c>
      <c r="Y211" s="140">
        <f t="shared" si="56"/>
        <v>0</v>
      </c>
      <c r="Z211" s="140">
        <f t="shared" si="57"/>
        <v>0</v>
      </c>
      <c r="AB211" s="139">
        <f>IF(Data_Override!U211="",Data!U211,Data_Override!U211)</f>
        <v>0</v>
      </c>
      <c r="AC211" s="139">
        <f>IF(Data_Override!V211="",Data!V211,Data_Override!V211)</f>
        <v>0</v>
      </c>
      <c r="AD211" s="139">
        <f>IF(Data_Override!W211="",Data!W211,Data_Override!W211)</f>
        <v>0</v>
      </c>
    </row>
    <row r="212" spans="1:30" x14ac:dyDescent="0.2">
      <c r="A212" s="141" t="s">
        <v>253</v>
      </c>
      <c r="B212" s="142" t="s">
        <v>111</v>
      </c>
      <c r="C212" s="142" t="s">
        <v>24</v>
      </c>
      <c r="D212" s="19" t="str">
        <f t="shared" si="53"/>
        <v>25</v>
      </c>
      <c r="E212" s="139">
        <f>IF(Data_Override!D212="",Data!D212,Data_Override!D212)</f>
        <v>0</v>
      </c>
      <c r="F212" s="139">
        <f>IF(Data_Override!E212="",Data!E212,Data_Override!E212)</f>
        <v>0</v>
      </c>
      <c r="G212" s="139">
        <f>IF(Data_Override!F212="",Data!F212,Data_Override!F212)</f>
        <v>0</v>
      </c>
      <c r="H212" s="139">
        <f>IF(Data_Override!G212="",Data!G212,Data_Override!G212)</f>
        <v>0</v>
      </c>
      <c r="I212" s="140">
        <f t="shared" si="54"/>
        <v>0</v>
      </c>
      <c r="J212" s="140">
        <f t="shared" si="55"/>
        <v>0</v>
      </c>
      <c r="L212" s="139">
        <f>IF(Data_Override!I212="",Data!I212,Data_Override!I212)</f>
        <v>0</v>
      </c>
      <c r="M212" s="139">
        <f>IF(Data_Override!J212="",Data!J212,Data_Override!J212)</f>
        <v>0</v>
      </c>
      <c r="N212" s="139">
        <f>IF(Data_Override!K212="",Data!K212,Data_Override!K212)</f>
        <v>0</v>
      </c>
      <c r="O212" s="139">
        <f>IF(Data_Override!L212="",Data!L212,Data_Override!L212)</f>
        <v>0</v>
      </c>
      <c r="P212" s="140">
        <f t="shared" si="58"/>
        <v>0</v>
      </c>
      <c r="Q212" s="140">
        <f t="shared" si="59"/>
        <v>0</v>
      </c>
      <c r="S212" s="139">
        <f>IF(Data_Override!N212="",Data!N212,Data_Override!N212)</f>
        <v>0</v>
      </c>
      <c r="U212" s="139">
        <f>IF(Data_Override!P212="",Data!P212,Data_Override!P212)</f>
        <v>0</v>
      </c>
      <c r="V212" s="139">
        <f>IF(Data_Override!Q212="",Data!Q212,Data_Override!Q212)</f>
        <v>0</v>
      </c>
      <c r="W212" s="139">
        <f>IF(Data_Override!R212="",Data!R212,Data_Override!R212)</f>
        <v>0</v>
      </c>
      <c r="X212" s="139">
        <f>IF(Data_Override!S212="",Data!S212,Data_Override!S212)</f>
        <v>0</v>
      </c>
      <c r="Y212" s="140">
        <f t="shared" si="56"/>
        <v>0</v>
      </c>
      <c r="Z212" s="140">
        <f t="shared" si="57"/>
        <v>0</v>
      </c>
      <c r="AB212" s="139">
        <f>IF(Data_Override!U212="",Data!U212,Data_Override!U212)</f>
        <v>0</v>
      </c>
      <c r="AC212" s="139">
        <f>IF(Data_Override!V212="",Data!V212,Data_Override!V212)</f>
        <v>0</v>
      </c>
      <c r="AD212" s="139">
        <f>IF(Data_Override!W212="",Data!W212,Data_Override!W212)</f>
        <v>0</v>
      </c>
    </row>
    <row r="213" spans="1:30" hidden="1" x14ac:dyDescent="0.2">
      <c r="A213" s="138" t="str">
        <f t="shared" ref="A213" si="61">B213&amp;RIGHT(C213,2)</f>
        <v>PRT12</v>
      </c>
      <c r="B213" s="19" t="s">
        <v>37</v>
      </c>
      <c r="C213" s="143" t="s">
        <v>64</v>
      </c>
      <c r="D213" s="19" t="str">
        <f t="shared" si="53"/>
        <v>12</v>
      </c>
      <c r="E213" s="139">
        <f>IF(Data_Override!D213="",Data!D213,Data_Override!D213)</f>
        <v>0</v>
      </c>
      <c r="F213" s="139">
        <f>IF(Data_Override!E213="",Data!E213,Data_Override!E213)</f>
        <v>0</v>
      </c>
      <c r="G213" s="139">
        <f>IF(Data_Override!F213="",Data!F213,Data_Override!F213)</f>
        <v>0</v>
      </c>
      <c r="H213" s="139">
        <f>IF(Data_Override!G213="",Data!G213,Data_Override!G213)</f>
        <v>0</v>
      </c>
      <c r="I213" s="140">
        <f t="shared" si="54"/>
        <v>0</v>
      </c>
      <c r="J213" s="140">
        <f t="shared" si="55"/>
        <v>0</v>
      </c>
      <c r="L213" s="139">
        <f>IF(Data_Override!I213="",Data!I213,Data_Override!I213)</f>
        <v>0</v>
      </c>
      <c r="M213" s="139">
        <f>IF(Data_Override!J213="",Data!J213,Data_Override!J213)</f>
        <v>0</v>
      </c>
      <c r="N213" s="139">
        <f>IF(Data_Override!K213="",Data!K213,Data_Override!K213)</f>
        <v>0</v>
      </c>
      <c r="O213" s="139">
        <f>IF(Data_Override!L213="",Data!L213,Data_Override!L213)</f>
        <v>0</v>
      </c>
      <c r="P213" s="140">
        <f t="shared" si="58"/>
        <v>0</v>
      </c>
      <c r="Q213" s="140">
        <f t="shared" si="59"/>
        <v>0</v>
      </c>
      <c r="S213" s="139">
        <f>IF(Data_Override!N213="",Data!N213,Data_Override!N213)</f>
        <v>28.1061769020057</v>
      </c>
      <c r="U213" s="139">
        <f>IF(Data_Override!P213="",Data!P213,Data_Override!P213)</f>
        <v>0</v>
      </c>
      <c r="V213" s="139">
        <f>IF(Data_Override!Q213="",Data!Q213,Data_Override!Q213)</f>
        <v>0</v>
      </c>
      <c r="W213" s="139">
        <f>IF(Data_Override!R213="",Data!R213,Data_Override!R213)</f>
        <v>0</v>
      </c>
      <c r="X213" s="139">
        <f>IF(Data_Override!S213="",Data!S213,Data_Override!S213)</f>
        <v>0</v>
      </c>
      <c r="Y213" s="140">
        <f t="shared" si="56"/>
        <v>0</v>
      </c>
      <c r="Z213" s="140">
        <f t="shared" si="57"/>
        <v>0</v>
      </c>
      <c r="AB213" s="139">
        <f>IF(Data_Override!U213="",Data!U213,Data_Override!U213)</f>
        <v>0</v>
      </c>
      <c r="AC213" s="139">
        <f>IF(Data_Override!V213="",Data!V213,Data_Override!V213)</f>
        <v>0</v>
      </c>
      <c r="AD213" s="139">
        <f>IF(Data_Override!W213="",Data!W213,Data_Override!W213)</f>
        <v>0</v>
      </c>
    </row>
    <row r="214" spans="1:30" hidden="1" x14ac:dyDescent="0.2">
      <c r="A214" s="138" t="str">
        <f>B214&amp;RIGHT(C214,2)</f>
        <v>PRT13</v>
      </c>
      <c r="B214" s="19" t="s">
        <v>37</v>
      </c>
      <c r="C214" s="143" t="s">
        <v>65</v>
      </c>
      <c r="D214" s="19" t="str">
        <f t="shared" si="53"/>
        <v>13</v>
      </c>
      <c r="E214" s="139">
        <f>IF(Data_Override!D214="",Data!D214,Data_Override!D214)</f>
        <v>0</v>
      </c>
      <c r="F214" s="139">
        <f>IF(Data_Override!E214="",Data!E214,Data_Override!E214)</f>
        <v>0</v>
      </c>
      <c r="G214" s="139">
        <f>IF(Data_Override!F214="",Data!F214,Data_Override!F214)</f>
        <v>0</v>
      </c>
      <c r="H214" s="139">
        <f>IF(Data_Override!G214="",Data!G214,Data_Override!G214)</f>
        <v>0</v>
      </c>
      <c r="I214" s="140">
        <f t="shared" si="54"/>
        <v>0</v>
      </c>
      <c r="J214" s="140">
        <f t="shared" si="55"/>
        <v>0</v>
      </c>
      <c r="L214" s="139">
        <f>IF(Data_Override!I214="",Data!I214,Data_Override!I214)</f>
        <v>0</v>
      </c>
      <c r="M214" s="139">
        <f>IF(Data_Override!J214="",Data!J214,Data_Override!J214)</f>
        <v>0</v>
      </c>
      <c r="N214" s="139">
        <f>IF(Data_Override!K214="",Data!K214,Data_Override!K214)</f>
        <v>0</v>
      </c>
      <c r="O214" s="139">
        <f>IF(Data_Override!L214="",Data!L214,Data_Override!L214)</f>
        <v>0</v>
      </c>
      <c r="P214" s="140">
        <f t="shared" si="58"/>
        <v>0</v>
      </c>
      <c r="Q214" s="140">
        <f t="shared" si="59"/>
        <v>0</v>
      </c>
      <c r="S214" s="139">
        <f>IF(Data_Override!N214="",Data!N214,Data_Override!N214)</f>
        <v>32.868444003451302</v>
      </c>
      <c r="U214" s="139">
        <f>IF(Data_Override!P214="",Data!P214,Data_Override!P214)</f>
        <v>0</v>
      </c>
      <c r="V214" s="139">
        <f>IF(Data_Override!Q214="",Data!Q214,Data_Override!Q214)</f>
        <v>0</v>
      </c>
      <c r="W214" s="139">
        <f>IF(Data_Override!R214="",Data!R214,Data_Override!R214)</f>
        <v>0</v>
      </c>
      <c r="X214" s="139">
        <f>IF(Data_Override!S214="",Data!S214,Data_Override!S214)</f>
        <v>0</v>
      </c>
      <c r="Y214" s="140">
        <f t="shared" si="56"/>
        <v>0</v>
      </c>
      <c r="Z214" s="140">
        <f t="shared" si="57"/>
        <v>0</v>
      </c>
      <c r="AB214" s="139">
        <f>IF(Data_Override!U214="",Data!U214,Data_Override!U214)</f>
        <v>0</v>
      </c>
      <c r="AC214" s="139">
        <f>IF(Data_Override!V214="",Data!V214,Data_Override!V214)</f>
        <v>0</v>
      </c>
      <c r="AD214" s="139">
        <f>IF(Data_Override!W214="",Data!W214,Data_Override!W214)</f>
        <v>0</v>
      </c>
    </row>
    <row r="215" spans="1:30" hidden="1" x14ac:dyDescent="0.2">
      <c r="A215" s="138" t="str">
        <f>B215&amp;RIGHT(C215,2)</f>
        <v>PRT14</v>
      </c>
      <c r="B215" s="19" t="s">
        <v>37</v>
      </c>
      <c r="C215" s="143" t="s">
        <v>66</v>
      </c>
      <c r="D215" s="19" t="str">
        <f t="shared" si="53"/>
        <v>14</v>
      </c>
      <c r="E215" s="139">
        <f>IF(Data_Override!D215="",Data!D215,Data_Override!D215)</f>
        <v>0</v>
      </c>
      <c r="F215" s="139">
        <f>IF(Data_Override!E215="",Data!E215,Data_Override!E215)</f>
        <v>0</v>
      </c>
      <c r="G215" s="139">
        <f>IF(Data_Override!F215="",Data!F215,Data_Override!F215)</f>
        <v>0</v>
      </c>
      <c r="H215" s="139">
        <f>IF(Data_Override!G215="",Data!G215,Data_Override!G215)</f>
        <v>0</v>
      </c>
      <c r="I215" s="140">
        <f t="shared" si="54"/>
        <v>0</v>
      </c>
      <c r="J215" s="140">
        <f t="shared" si="55"/>
        <v>0</v>
      </c>
      <c r="L215" s="139">
        <f>IF(Data_Override!I215="",Data!I215,Data_Override!I215)</f>
        <v>0</v>
      </c>
      <c r="M215" s="139">
        <f>IF(Data_Override!J215="",Data!J215,Data_Override!J215)</f>
        <v>0</v>
      </c>
      <c r="N215" s="139">
        <f>IF(Data_Override!K215="",Data!K215,Data_Override!K215)</f>
        <v>0</v>
      </c>
      <c r="O215" s="139">
        <f>IF(Data_Override!L215="",Data!L215,Data_Override!L215)</f>
        <v>0</v>
      </c>
      <c r="P215" s="140">
        <f t="shared" si="58"/>
        <v>0</v>
      </c>
      <c r="Q215" s="140">
        <f t="shared" si="59"/>
        <v>0</v>
      </c>
      <c r="S215" s="139">
        <f>IF(Data_Override!N215="",Data!N215,Data_Override!N215)</f>
        <v>27.5265177484787</v>
      </c>
      <c r="U215" s="139">
        <f>IF(Data_Override!P215="",Data!P215,Data_Override!P215)</f>
        <v>0</v>
      </c>
      <c r="V215" s="139">
        <f>IF(Data_Override!Q215="",Data!Q215,Data_Override!Q215)</f>
        <v>0</v>
      </c>
      <c r="W215" s="139">
        <f>IF(Data_Override!R215="",Data!R215,Data_Override!R215)</f>
        <v>0</v>
      </c>
      <c r="X215" s="139">
        <f>IF(Data_Override!S215="",Data!S215,Data_Override!S215)</f>
        <v>0</v>
      </c>
      <c r="Y215" s="140">
        <f t="shared" si="56"/>
        <v>0</v>
      </c>
      <c r="Z215" s="140">
        <f t="shared" si="57"/>
        <v>0</v>
      </c>
      <c r="AB215" s="139">
        <f>IF(Data_Override!U215="",Data!U215,Data_Override!U215)</f>
        <v>0</v>
      </c>
      <c r="AC215" s="139">
        <f>IF(Data_Override!V215="",Data!V215,Data_Override!V215)</f>
        <v>0</v>
      </c>
      <c r="AD215" s="139">
        <f>IF(Data_Override!W215="",Data!W215,Data_Override!W215)</f>
        <v>0</v>
      </c>
    </row>
    <row r="216" spans="1:30" hidden="1" x14ac:dyDescent="0.2">
      <c r="A216" s="138" t="str">
        <f>B216&amp;RIGHT(C216,2)</f>
        <v>PRT15</v>
      </c>
      <c r="B216" s="19" t="s">
        <v>37</v>
      </c>
      <c r="C216" s="143" t="s">
        <v>67</v>
      </c>
      <c r="D216" s="19" t="str">
        <f t="shared" si="53"/>
        <v>15</v>
      </c>
      <c r="E216" s="139">
        <f>IF(Data_Override!D216="",Data!D216,Data_Override!D216)</f>
        <v>0</v>
      </c>
      <c r="F216" s="139">
        <f>IF(Data_Override!E216="",Data!E216,Data_Override!E216)</f>
        <v>0</v>
      </c>
      <c r="G216" s="139">
        <f>IF(Data_Override!F216="",Data!F216,Data_Override!F216)</f>
        <v>0</v>
      </c>
      <c r="H216" s="139">
        <f>IF(Data_Override!G216="",Data!G216,Data_Override!G216)</f>
        <v>0</v>
      </c>
      <c r="I216" s="140">
        <f t="shared" si="54"/>
        <v>0</v>
      </c>
      <c r="J216" s="140">
        <f t="shared" si="55"/>
        <v>0</v>
      </c>
      <c r="L216" s="139">
        <f>IF(Data_Override!I216="",Data!I216,Data_Override!I216)</f>
        <v>0</v>
      </c>
      <c r="M216" s="139">
        <f>IF(Data_Override!J216="",Data!J216,Data_Override!J216)</f>
        <v>0</v>
      </c>
      <c r="N216" s="139">
        <f>IF(Data_Override!K216="",Data!K216,Data_Override!K216)</f>
        <v>0</v>
      </c>
      <c r="O216" s="139">
        <f>IF(Data_Override!L216="",Data!L216,Data_Override!L216)</f>
        <v>0</v>
      </c>
      <c r="P216" s="140">
        <f t="shared" si="58"/>
        <v>0</v>
      </c>
      <c r="Q216" s="140">
        <f t="shared" si="59"/>
        <v>0</v>
      </c>
      <c r="S216" s="139">
        <f>IF(Data_Override!N216="",Data!N216,Data_Override!N216)</f>
        <v>27.2786929054901</v>
      </c>
      <c r="U216" s="139">
        <f>IF(Data_Override!P216="",Data!P216,Data_Override!P216)</f>
        <v>0</v>
      </c>
      <c r="V216" s="139">
        <f>IF(Data_Override!Q216="",Data!Q216,Data_Override!Q216)</f>
        <v>0</v>
      </c>
      <c r="W216" s="139">
        <f>IF(Data_Override!R216="",Data!R216,Data_Override!R216)</f>
        <v>0</v>
      </c>
      <c r="X216" s="139">
        <f>IF(Data_Override!S216="",Data!S216,Data_Override!S216)</f>
        <v>0</v>
      </c>
      <c r="Y216" s="140">
        <f t="shared" si="56"/>
        <v>0</v>
      </c>
      <c r="Z216" s="140">
        <f t="shared" si="57"/>
        <v>0</v>
      </c>
      <c r="AB216" s="139">
        <f>IF(Data_Override!U216="",Data!U216,Data_Override!U216)</f>
        <v>0</v>
      </c>
      <c r="AC216" s="139">
        <f>IF(Data_Override!V216="",Data!V216,Data_Override!V216)</f>
        <v>0</v>
      </c>
      <c r="AD216" s="139">
        <f>IF(Data_Override!W216="",Data!W216,Data_Override!W216)</f>
        <v>0</v>
      </c>
    </row>
    <row r="217" spans="1:30" hidden="1" x14ac:dyDescent="0.2">
      <c r="A217" s="138" t="str">
        <f>B217&amp;RIGHT(C217,2)</f>
        <v>PRT16</v>
      </c>
      <c r="B217" s="19" t="s">
        <v>37</v>
      </c>
      <c r="C217" s="143" t="s">
        <v>68</v>
      </c>
      <c r="D217" s="19" t="str">
        <f t="shared" si="53"/>
        <v>16</v>
      </c>
      <c r="E217" s="139">
        <f>IF(Data_Override!D217="",Data!D217,Data_Override!D217)</f>
        <v>0</v>
      </c>
      <c r="F217" s="139">
        <f>IF(Data_Override!E217="",Data!E217,Data_Override!E217)</f>
        <v>0</v>
      </c>
      <c r="G217" s="139">
        <f>IF(Data_Override!F217="",Data!F217,Data_Override!F217)</f>
        <v>0</v>
      </c>
      <c r="H217" s="139">
        <f>IF(Data_Override!G217="",Data!G217,Data_Override!G217)</f>
        <v>0</v>
      </c>
      <c r="I217" s="140">
        <f t="shared" si="54"/>
        <v>0</v>
      </c>
      <c r="J217" s="140">
        <f t="shared" si="55"/>
        <v>0</v>
      </c>
      <c r="L217" s="139">
        <f>IF(Data_Override!I217="",Data!I217,Data_Override!I217)</f>
        <v>0</v>
      </c>
      <c r="M217" s="139">
        <f>IF(Data_Override!J217="",Data!J217,Data_Override!J217)</f>
        <v>0</v>
      </c>
      <c r="N217" s="139">
        <f>IF(Data_Override!K217="",Data!K217,Data_Override!K217)</f>
        <v>0</v>
      </c>
      <c r="O217" s="139">
        <f>IF(Data_Override!L217="",Data!L217,Data_Override!L217)</f>
        <v>0</v>
      </c>
      <c r="P217" s="140">
        <f t="shared" si="58"/>
        <v>0</v>
      </c>
      <c r="Q217" s="140">
        <f t="shared" si="59"/>
        <v>0</v>
      </c>
      <c r="S217" s="139">
        <f>IF(Data_Override!N217="",Data!N217,Data_Override!N217)</f>
        <v>28.655595008319501</v>
      </c>
      <c r="U217" s="139">
        <f>IF(Data_Override!P217="",Data!P217,Data_Override!P217)</f>
        <v>0</v>
      </c>
      <c r="V217" s="139">
        <f>IF(Data_Override!Q217="",Data!Q217,Data_Override!Q217)</f>
        <v>0</v>
      </c>
      <c r="W217" s="139">
        <f>IF(Data_Override!R217="",Data!R217,Data_Override!R217)</f>
        <v>0</v>
      </c>
      <c r="X217" s="139">
        <f>IF(Data_Override!S217="",Data!S217,Data_Override!S217)</f>
        <v>0</v>
      </c>
      <c r="Y217" s="140">
        <f t="shared" si="56"/>
        <v>0</v>
      </c>
      <c r="Z217" s="140">
        <f t="shared" si="57"/>
        <v>0</v>
      </c>
      <c r="AB217" s="139">
        <f>IF(Data_Override!U217="",Data!U217,Data_Override!U217)</f>
        <v>0</v>
      </c>
      <c r="AC217" s="139">
        <f>IF(Data_Override!V217="",Data!V217,Data_Override!V217)</f>
        <v>0</v>
      </c>
      <c r="AD217" s="139">
        <f>IF(Data_Override!W217="",Data!W217,Data_Override!W217)</f>
        <v>0</v>
      </c>
    </row>
    <row r="218" spans="1:30" hidden="1" x14ac:dyDescent="0.2">
      <c r="A218" s="138" t="str">
        <f>B218&amp;RIGHT(C218,2)</f>
        <v>PRT17</v>
      </c>
      <c r="B218" s="19" t="s">
        <v>37</v>
      </c>
      <c r="C218" s="143" t="s">
        <v>69</v>
      </c>
      <c r="D218" s="19" t="str">
        <f t="shared" si="53"/>
        <v>17</v>
      </c>
      <c r="E218" s="139">
        <f>IF(Data_Override!D218="",Data!D218,Data_Override!D218)</f>
        <v>0</v>
      </c>
      <c r="F218" s="139">
        <f>IF(Data_Override!E218="",Data!E218,Data_Override!E218)</f>
        <v>0</v>
      </c>
      <c r="G218" s="139">
        <f>IF(Data_Override!F218="",Data!F218,Data_Override!F218)</f>
        <v>0</v>
      </c>
      <c r="H218" s="139">
        <f>IF(Data_Override!G218="",Data!G218,Data_Override!G218)</f>
        <v>0</v>
      </c>
      <c r="I218" s="140">
        <f t="shared" si="54"/>
        <v>0</v>
      </c>
      <c r="J218" s="140">
        <f t="shared" si="55"/>
        <v>0</v>
      </c>
      <c r="L218" s="139">
        <f>IF(Data_Override!I218="",Data!I218,Data_Override!I218)</f>
        <v>0</v>
      </c>
      <c r="M218" s="139">
        <f>IF(Data_Override!J218="",Data!J218,Data_Override!J218)</f>
        <v>0</v>
      </c>
      <c r="N218" s="139">
        <f>IF(Data_Override!K218="",Data!K218,Data_Override!K218)</f>
        <v>0</v>
      </c>
      <c r="O218" s="139">
        <f>IF(Data_Override!L218="",Data!L218,Data_Override!L218)</f>
        <v>0</v>
      </c>
      <c r="P218" s="140">
        <f t="shared" si="58"/>
        <v>0</v>
      </c>
      <c r="Q218" s="140">
        <f t="shared" si="59"/>
        <v>0</v>
      </c>
      <c r="S218" s="139">
        <f>IF(Data_Override!N218="",Data!N218,Data_Override!N218)</f>
        <v>32.4848096840377</v>
      </c>
      <c r="U218" s="139">
        <f>IF(Data_Override!P218="",Data!P218,Data_Override!P218)</f>
        <v>0</v>
      </c>
      <c r="V218" s="139">
        <f>IF(Data_Override!Q218="",Data!Q218,Data_Override!Q218)</f>
        <v>0</v>
      </c>
      <c r="W218" s="139">
        <f>IF(Data_Override!R218="",Data!R218,Data_Override!R218)</f>
        <v>0</v>
      </c>
      <c r="X218" s="139">
        <f>IF(Data_Override!S218="",Data!S218,Data_Override!S218)</f>
        <v>0</v>
      </c>
      <c r="Y218" s="140">
        <f t="shared" si="56"/>
        <v>0</v>
      </c>
      <c r="Z218" s="140">
        <f t="shared" si="57"/>
        <v>0</v>
      </c>
      <c r="AB218" s="139">
        <f>IF(Data_Override!U218="",Data!U218,Data_Override!U218)</f>
        <v>0</v>
      </c>
      <c r="AC218" s="139">
        <f>IF(Data_Override!V218="",Data!V218,Data_Override!V218)</f>
        <v>0</v>
      </c>
      <c r="AD218" s="139">
        <f>IF(Data_Override!W218="",Data!W218,Data_Override!W218)</f>
        <v>0</v>
      </c>
    </row>
    <row r="219" spans="1:30" hidden="1" x14ac:dyDescent="0.2">
      <c r="A219" s="141" t="s">
        <v>254</v>
      </c>
      <c r="B219" s="142" t="s">
        <v>37</v>
      </c>
      <c r="C219" s="142" t="s">
        <v>70</v>
      </c>
      <c r="D219" s="19" t="str">
        <f t="shared" si="53"/>
        <v>18</v>
      </c>
      <c r="E219" s="139">
        <f>IF(Data_Override!D219="",Data!D219,Data_Override!D219)</f>
        <v>0</v>
      </c>
      <c r="F219" s="139">
        <f>IF(Data_Override!E219="",Data!E219,Data_Override!E219)</f>
        <v>0</v>
      </c>
      <c r="G219" s="139">
        <f>IF(Data_Override!F219="",Data!F219,Data_Override!F219)</f>
        <v>0</v>
      </c>
      <c r="H219" s="139">
        <f>IF(Data_Override!G219="",Data!G219,Data_Override!G219)</f>
        <v>0</v>
      </c>
      <c r="I219" s="140">
        <f t="shared" si="54"/>
        <v>0</v>
      </c>
      <c r="J219" s="140">
        <f t="shared" si="55"/>
        <v>0</v>
      </c>
      <c r="L219" s="139">
        <f>IF(Data_Override!I219="",Data!I219,Data_Override!I219)</f>
        <v>0</v>
      </c>
      <c r="M219" s="139">
        <f>IF(Data_Override!J219="",Data!J219,Data_Override!J219)</f>
        <v>0</v>
      </c>
      <c r="N219" s="139">
        <f>IF(Data_Override!K219="",Data!K219,Data_Override!K219)</f>
        <v>0</v>
      </c>
      <c r="O219" s="139">
        <f>IF(Data_Override!L219="",Data!L219,Data_Override!L219)</f>
        <v>0</v>
      </c>
      <c r="P219" s="140">
        <f t="shared" si="58"/>
        <v>0</v>
      </c>
      <c r="Q219" s="140">
        <f t="shared" si="59"/>
        <v>0</v>
      </c>
      <c r="S219" s="139">
        <f>IF(Data_Override!N219="",Data!N219,Data_Override!N219)</f>
        <v>27.995999999999999</v>
      </c>
      <c r="U219" s="139">
        <f>IF(Data_Override!P219="",Data!P219,Data_Override!P219)</f>
        <v>0</v>
      </c>
      <c r="V219" s="139">
        <f>IF(Data_Override!Q219="",Data!Q219,Data_Override!Q219)</f>
        <v>0</v>
      </c>
      <c r="W219" s="139">
        <f>IF(Data_Override!R219="",Data!R219,Data_Override!R219)</f>
        <v>0</v>
      </c>
      <c r="X219" s="139">
        <f>IF(Data_Override!S219="",Data!S219,Data_Override!S219)</f>
        <v>0</v>
      </c>
      <c r="Y219" s="140">
        <f t="shared" si="56"/>
        <v>0</v>
      </c>
      <c r="Z219" s="140">
        <f t="shared" si="57"/>
        <v>0</v>
      </c>
      <c r="AB219" s="139">
        <f>IF(Data_Override!U219="",Data!U219,Data_Override!U219)</f>
        <v>37</v>
      </c>
      <c r="AC219" s="139">
        <f>IF(Data_Override!V219="",Data!V219,Data_Override!V219)</f>
        <v>3337</v>
      </c>
      <c r="AD219" s="139">
        <f>IF(Data_Override!W219="",Data!W219,Data_Override!W219)</f>
        <v>319.80599999999998</v>
      </c>
    </row>
    <row r="220" spans="1:30" hidden="1" x14ac:dyDescent="0.2">
      <c r="A220" s="141" t="s">
        <v>255</v>
      </c>
      <c r="B220" s="142" t="s">
        <v>37</v>
      </c>
      <c r="C220" s="142" t="s">
        <v>71</v>
      </c>
      <c r="D220" s="19" t="str">
        <f t="shared" si="53"/>
        <v>19</v>
      </c>
      <c r="E220" s="139">
        <f>IF(Data_Override!D220="",Data!D220,Data_Override!D220)</f>
        <v>0</v>
      </c>
      <c r="F220" s="139">
        <f>IF(Data_Override!E220="",Data!E220,Data_Override!E220)</f>
        <v>1.9049019607843201</v>
      </c>
      <c r="G220" s="139">
        <f>IF(Data_Override!F220="",Data!F220,Data_Override!F220)</f>
        <v>0</v>
      </c>
      <c r="H220" s="139">
        <f>IF(Data_Override!G220="",Data!G220,Data_Override!G220)</f>
        <v>0</v>
      </c>
      <c r="I220" s="140">
        <f t="shared" si="54"/>
        <v>1.9049019607843201</v>
      </c>
      <c r="J220" s="140">
        <f t="shared" si="55"/>
        <v>0</v>
      </c>
      <c r="L220" s="139">
        <f>IF(Data_Override!I220="",Data!I220,Data_Override!I220)</f>
        <v>0</v>
      </c>
      <c r="M220" s="139">
        <f>IF(Data_Override!J220="",Data!J220,Data_Override!J220)</f>
        <v>0</v>
      </c>
      <c r="N220" s="139">
        <f>IF(Data_Override!K220="",Data!K220,Data_Override!K220)</f>
        <v>0</v>
      </c>
      <c r="O220" s="139">
        <f>IF(Data_Override!L220="",Data!L220,Data_Override!L220)</f>
        <v>0</v>
      </c>
      <c r="P220" s="140">
        <f t="shared" si="58"/>
        <v>0</v>
      </c>
      <c r="Q220" s="140">
        <f t="shared" si="59"/>
        <v>0</v>
      </c>
      <c r="S220" s="139">
        <f>IF(Data_Override!N220="",Data!N220,Data_Override!N220)</f>
        <v>36.004901960784402</v>
      </c>
      <c r="U220" s="139">
        <f>IF(Data_Override!P220="",Data!P220,Data_Override!P220)</f>
        <v>0</v>
      </c>
      <c r="V220" s="139">
        <f>IF(Data_Override!Q220="",Data!Q220,Data_Override!Q220)</f>
        <v>0</v>
      </c>
      <c r="W220" s="139">
        <f>IF(Data_Override!R220="",Data!R220,Data_Override!R220)</f>
        <v>0</v>
      </c>
      <c r="X220" s="139">
        <f>IF(Data_Override!S220="",Data!S220,Data_Override!S220)</f>
        <v>0</v>
      </c>
      <c r="Y220" s="140">
        <f t="shared" si="56"/>
        <v>0</v>
      </c>
      <c r="Z220" s="140">
        <f t="shared" si="57"/>
        <v>0</v>
      </c>
      <c r="AB220" s="139">
        <f>IF(Data_Override!U220="",Data!U220,Data_Override!U220)</f>
        <v>34.950000000000003</v>
      </c>
      <c r="AC220" s="139">
        <f>IF(Data_Override!V220="",Data!V220,Data_Override!V220)</f>
        <v>3347</v>
      </c>
      <c r="AD220" s="139">
        <f>IF(Data_Override!W220="",Data!W220,Data_Override!W220)</f>
        <v>322.37099999999998</v>
      </c>
    </row>
    <row r="221" spans="1:30" hidden="1" x14ac:dyDescent="0.2">
      <c r="A221" s="141" t="s">
        <v>256</v>
      </c>
      <c r="B221" s="142" t="s">
        <v>37</v>
      </c>
      <c r="C221" s="142" t="s">
        <v>72</v>
      </c>
      <c r="D221" s="19" t="str">
        <f t="shared" si="53"/>
        <v>20</v>
      </c>
      <c r="E221" s="139">
        <f>IF(Data_Override!D221="",Data!D221,Data_Override!D221)</f>
        <v>0</v>
      </c>
      <c r="F221" s="139">
        <f>IF(Data_Override!E221="",Data!E221,Data_Override!E221)</f>
        <v>2.06555171088044</v>
      </c>
      <c r="G221" s="139">
        <f>IF(Data_Override!F221="",Data!F221,Data_Override!F221)</f>
        <v>0</v>
      </c>
      <c r="H221" s="139">
        <f>IF(Data_Override!G221="",Data!G221,Data_Override!G221)</f>
        <v>0</v>
      </c>
      <c r="I221" s="140">
        <f t="shared" si="54"/>
        <v>2.06555171088044</v>
      </c>
      <c r="J221" s="140">
        <f t="shared" si="55"/>
        <v>0</v>
      </c>
      <c r="L221" s="139">
        <f>IF(Data_Override!I221="",Data!I221,Data_Override!I221)</f>
        <v>0</v>
      </c>
      <c r="M221" s="139">
        <f>IF(Data_Override!J221="",Data!J221,Data_Override!J221)</f>
        <v>0</v>
      </c>
      <c r="N221" s="139">
        <f>IF(Data_Override!K221="",Data!K221,Data_Override!K221)</f>
        <v>0</v>
      </c>
      <c r="O221" s="139">
        <f>IF(Data_Override!L221="",Data!L221,Data_Override!L221)</f>
        <v>0</v>
      </c>
      <c r="P221" s="140">
        <f t="shared" si="58"/>
        <v>0</v>
      </c>
      <c r="Q221" s="140">
        <f t="shared" si="59"/>
        <v>0</v>
      </c>
      <c r="S221" s="139">
        <f>IF(Data_Override!N221="",Data!N221,Data_Override!N221)</f>
        <v>35.879469434832899</v>
      </c>
      <c r="U221" s="139">
        <f>IF(Data_Override!P221="",Data!P221,Data_Override!P221)</f>
        <v>0</v>
      </c>
      <c r="V221" s="139">
        <f>IF(Data_Override!Q221="",Data!Q221,Data_Override!Q221)</f>
        <v>0</v>
      </c>
      <c r="W221" s="139">
        <f>IF(Data_Override!R221="",Data!R221,Data_Override!R221)</f>
        <v>0</v>
      </c>
      <c r="X221" s="139">
        <f>IF(Data_Override!S221="",Data!S221,Data_Override!S221)</f>
        <v>0</v>
      </c>
      <c r="Y221" s="140">
        <f t="shared" si="56"/>
        <v>0</v>
      </c>
      <c r="Z221" s="140">
        <f t="shared" si="57"/>
        <v>0</v>
      </c>
      <c r="AB221" s="139">
        <f>IF(Data_Override!U221="",Data!U221,Data_Override!U221)</f>
        <v>34.869999999999997</v>
      </c>
      <c r="AC221" s="139">
        <f>IF(Data_Override!V221="",Data!V221,Data_Override!V221)</f>
        <v>3357</v>
      </c>
      <c r="AD221" s="139">
        <f>IF(Data_Override!W221="",Data!W221,Data_Override!W221)</f>
        <v>324.87099999999998</v>
      </c>
    </row>
    <row r="222" spans="1:30" x14ac:dyDescent="0.2">
      <c r="A222" s="141" t="s">
        <v>257</v>
      </c>
      <c r="B222" s="142" t="s">
        <v>37</v>
      </c>
      <c r="C222" s="142" t="s">
        <v>73</v>
      </c>
      <c r="D222" s="19" t="str">
        <f t="shared" si="53"/>
        <v>21</v>
      </c>
      <c r="E222" s="139">
        <f>IF(Data_Override!D222="",Data!D222,Data_Override!D222)</f>
        <v>0</v>
      </c>
      <c r="F222" s="139">
        <f>IF(Data_Override!E222="",Data!E222,Data_Override!E222)</f>
        <v>0</v>
      </c>
      <c r="G222" s="139">
        <f>IF(Data_Override!F222="",Data!F222,Data_Override!F222)</f>
        <v>0</v>
      </c>
      <c r="H222" s="139">
        <f>IF(Data_Override!G222="",Data!G222,Data_Override!G222)</f>
        <v>1.1599999999999999</v>
      </c>
      <c r="I222" s="140">
        <f t="shared" si="54"/>
        <v>0</v>
      </c>
      <c r="J222" s="140">
        <f t="shared" si="55"/>
        <v>1.1599999999999999</v>
      </c>
      <c r="L222" s="139">
        <f>IF(Data_Override!I222="",Data!I222,Data_Override!I222)</f>
        <v>0</v>
      </c>
      <c r="M222" s="139">
        <f>IF(Data_Override!J222="",Data!J222,Data_Override!J222)</f>
        <v>0</v>
      </c>
      <c r="N222" s="139">
        <f>IF(Data_Override!K222="",Data!K222,Data_Override!K222)</f>
        <v>0</v>
      </c>
      <c r="O222" s="139">
        <f>IF(Data_Override!L222="",Data!L222,Data_Override!L222)</f>
        <v>0</v>
      </c>
      <c r="P222" s="140">
        <f t="shared" si="58"/>
        <v>0</v>
      </c>
      <c r="Q222" s="140">
        <f t="shared" si="59"/>
        <v>0</v>
      </c>
      <c r="S222" s="139">
        <f>IF(Data_Override!N222="",Data!N222,Data_Override!N222)</f>
        <v>45.14</v>
      </c>
      <c r="U222" s="139">
        <f>IF(Data_Override!P222="",Data!P222,Data_Override!P222)</f>
        <v>11.8</v>
      </c>
      <c r="V222" s="139">
        <f>IF(Data_Override!Q222="",Data!Q222,Data_Override!Q222)</f>
        <v>7.8</v>
      </c>
      <c r="W222" s="139">
        <f>IF(Data_Override!R222="",Data!R222,Data_Override!R222)</f>
        <v>0</v>
      </c>
      <c r="X222" s="139">
        <f>IF(Data_Override!S222="",Data!S222,Data_Override!S222)</f>
        <v>0</v>
      </c>
      <c r="Y222" s="140">
        <f t="shared" si="56"/>
        <v>11.8</v>
      </c>
      <c r="Z222" s="140">
        <f t="shared" si="57"/>
        <v>0</v>
      </c>
      <c r="AB222" s="139">
        <f>IF(Data_Override!U222="",Data!U222,Data_Override!U222)</f>
        <v>33.770000000000003</v>
      </c>
      <c r="AC222" s="139">
        <f>IF(Data_Override!V222="",Data!V222,Data_Override!V222)</f>
        <v>3369</v>
      </c>
      <c r="AD222" s="139">
        <f>IF(Data_Override!W222="",Data!W222,Data_Override!W222)</f>
        <v>326.78699999999998</v>
      </c>
    </row>
    <row r="223" spans="1:30" x14ac:dyDescent="0.2">
      <c r="A223" s="141" t="s">
        <v>258</v>
      </c>
      <c r="B223" s="142" t="s">
        <v>37</v>
      </c>
      <c r="C223" s="142" t="s">
        <v>74</v>
      </c>
      <c r="D223" s="19" t="str">
        <f t="shared" si="53"/>
        <v>22</v>
      </c>
      <c r="E223" s="139">
        <f>IF(Data_Override!D223="",Data!D223,Data_Override!D223)</f>
        <v>0</v>
      </c>
      <c r="F223" s="139">
        <f>IF(Data_Override!E223="",Data!E223,Data_Override!E223)</f>
        <v>0</v>
      </c>
      <c r="G223" s="139">
        <f>IF(Data_Override!F223="",Data!F223,Data_Override!F223)</f>
        <v>0</v>
      </c>
      <c r="H223" s="139">
        <f>IF(Data_Override!G223="",Data!G223,Data_Override!G223)</f>
        <v>0.38700000000000001</v>
      </c>
      <c r="I223" s="140">
        <f t="shared" si="54"/>
        <v>0</v>
      </c>
      <c r="J223" s="140">
        <f t="shared" si="55"/>
        <v>0.38700000000000001</v>
      </c>
      <c r="L223" s="139">
        <f>IF(Data_Override!I223="",Data!I223,Data_Override!I223)</f>
        <v>0</v>
      </c>
      <c r="M223" s="139">
        <f>IF(Data_Override!J223="",Data!J223,Data_Override!J223)</f>
        <v>0</v>
      </c>
      <c r="N223" s="139">
        <f>IF(Data_Override!K223="",Data!K223,Data_Override!K223)</f>
        <v>0</v>
      </c>
      <c r="O223" s="139">
        <f>IF(Data_Override!L223="",Data!L223,Data_Override!L223)</f>
        <v>0</v>
      </c>
      <c r="P223" s="140">
        <f t="shared" si="58"/>
        <v>0</v>
      </c>
      <c r="Q223" s="140">
        <f t="shared" si="59"/>
        <v>0</v>
      </c>
      <c r="S223" s="139">
        <f>IF(Data_Override!N223="",Data!N223,Data_Override!N223)</f>
        <v>38.365000000000002</v>
      </c>
      <c r="U223" s="139">
        <f>IF(Data_Override!P223="",Data!P223,Data_Override!P223)</f>
        <v>0</v>
      </c>
      <c r="V223" s="139">
        <f>IF(Data_Override!Q223="",Data!Q223,Data_Override!Q223)</f>
        <v>0</v>
      </c>
      <c r="W223" s="139">
        <f>IF(Data_Override!R223="",Data!R223,Data_Override!R223)</f>
        <v>0</v>
      </c>
      <c r="X223" s="139">
        <f>IF(Data_Override!S223="",Data!S223,Data_Override!S223)</f>
        <v>0</v>
      </c>
      <c r="Y223" s="140">
        <f t="shared" si="56"/>
        <v>0</v>
      </c>
      <c r="Z223" s="140">
        <f t="shared" si="57"/>
        <v>0</v>
      </c>
      <c r="AB223" s="139">
        <f>IF(Data_Override!U223="",Data!U223,Data_Override!U223)</f>
        <v>32.69</v>
      </c>
      <c r="AC223" s="139">
        <f>IF(Data_Override!V223="",Data!V223,Data_Override!V223)</f>
        <v>3380</v>
      </c>
      <c r="AD223" s="139">
        <f>IF(Data_Override!W223="",Data!W223,Data_Override!W223)</f>
        <v>328.67099999999999</v>
      </c>
    </row>
    <row r="224" spans="1:30" x14ac:dyDescent="0.2">
      <c r="A224" s="141" t="s">
        <v>259</v>
      </c>
      <c r="B224" s="142" t="s">
        <v>37</v>
      </c>
      <c r="C224" s="142" t="s">
        <v>75</v>
      </c>
      <c r="D224" s="19" t="str">
        <f t="shared" si="53"/>
        <v>23</v>
      </c>
      <c r="E224" s="139">
        <f>IF(Data_Override!D224="",Data!D224,Data_Override!D224)</f>
        <v>0</v>
      </c>
      <c r="F224" s="139">
        <f>IF(Data_Override!E224="",Data!E224,Data_Override!E224)</f>
        <v>1.4450000000000001</v>
      </c>
      <c r="G224" s="139">
        <f>IF(Data_Override!F224="",Data!F224,Data_Override!F224)</f>
        <v>0</v>
      </c>
      <c r="H224" s="139">
        <f>IF(Data_Override!G224="",Data!G224,Data_Override!G224)</f>
        <v>0</v>
      </c>
      <c r="I224" s="140">
        <f t="shared" si="54"/>
        <v>1.4450000000000001</v>
      </c>
      <c r="J224" s="140">
        <f t="shared" si="55"/>
        <v>0</v>
      </c>
      <c r="L224" s="139">
        <f>IF(Data_Override!I224="",Data!I224,Data_Override!I224)</f>
        <v>0</v>
      </c>
      <c r="M224" s="139">
        <f>IF(Data_Override!J224="",Data!J224,Data_Override!J224)</f>
        <v>0</v>
      </c>
      <c r="N224" s="139">
        <f>IF(Data_Override!K224="",Data!K224,Data_Override!K224)</f>
        <v>0</v>
      </c>
      <c r="O224" s="139">
        <f>IF(Data_Override!L224="",Data!L224,Data_Override!L224)</f>
        <v>0</v>
      </c>
      <c r="P224" s="140">
        <f t="shared" si="58"/>
        <v>0</v>
      </c>
      <c r="Q224" s="140">
        <f t="shared" si="59"/>
        <v>0</v>
      </c>
      <c r="S224" s="139">
        <f>IF(Data_Override!N224="",Data!N224,Data_Override!N224)</f>
        <v>39.048000000000002</v>
      </c>
      <c r="U224" s="139">
        <f>IF(Data_Override!P224="",Data!P224,Data_Override!P224)</f>
        <v>15</v>
      </c>
      <c r="V224" s="139">
        <f>IF(Data_Override!Q224="",Data!Q224,Data_Override!Q224)</f>
        <v>12.5</v>
      </c>
      <c r="W224" s="139">
        <f>IF(Data_Override!R224="",Data!R224,Data_Override!R224)</f>
        <v>0</v>
      </c>
      <c r="X224" s="139">
        <f>IF(Data_Override!S224="",Data!S224,Data_Override!S224)</f>
        <v>0</v>
      </c>
      <c r="Y224" s="140">
        <f t="shared" si="56"/>
        <v>15</v>
      </c>
      <c r="Z224" s="140">
        <f t="shared" si="57"/>
        <v>0</v>
      </c>
      <c r="AB224" s="139">
        <f>IF(Data_Override!U224="",Data!U224,Data_Override!U224)</f>
        <v>31.64</v>
      </c>
      <c r="AC224" s="139">
        <f>IF(Data_Override!V224="",Data!V224,Data_Override!V224)</f>
        <v>3392</v>
      </c>
      <c r="AD224" s="139">
        <f>IF(Data_Override!W224="",Data!W224,Data_Override!W224)</f>
        <v>330.56799999999998</v>
      </c>
    </row>
    <row r="225" spans="1:30" x14ac:dyDescent="0.2">
      <c r="A225" s="141" t="s">
        <v>260</v>
      </c>
      <c r="B225" s="142" t="s">
        <v>37</v>
      </c>
      <c r="C225" s="142" t="s">
        <v>76</v>
      </c>
      <c r="D225" s="19" t="str">
        <f t="shared" si="53"/>
        <v>24</v>
      </c>
      <c r="E225" s="139">
        <f>IF(Data_Override!D225="",Data!D225,Data_Override!D225)</f>
        <v>0</v>
      </c>
      <c r="F225" s="139">
        <f>IF(Data_Override!E225="",Data!E225,Data_Override!E225)</f>
        <v>1.2090000000000001</v>
      </c>
      <c r="G225" s="139">
        <f>IF(Data_Override!F225="",Data!F225,Data_Override!F225)</f>
        <v>0</v>
      </c>
      <c r="H225" s="139">
        <f>IF(Data_Override!G225="",Data!G225,Data_Override!G225)</f>
        <v>0</v>
      </c>
      <c r="I225" s="140">
        <f t="shared" si="54"/>
        <v>1.2090000000000001</v>
      </c>
      <c r="J225" s="140">
        <f t="shared" si="55"/>
        <v>0</v>
      </c>
      <c r="L225" s="139">
        <f>IF(Data_Override!I225="",Data!I225,Data_Override!I225)</f>
        <v>0</v>
      </c>
      <c r="M225" s="139">
        <f>IF(Data_Override!J225="",Data!J225,Data_Override!J225)</f>
        <v>0</v>
      </c>
      <c r="N225" s="139">
        <f>IF(Data_Override!K225="",Data!K225,Data_Override!K225)</f>
        <v>0</v>
      </c>
      <c r="O225" s="139">
        <f>IF(Data_Override!L225="",Data!L225,Data_Override!L225)</f>
        <v>0</v>
      </c>
      <c r="P225" s="140">
        <f t="shared" si="58"/>
        <v>0</v>
      </c>
      <c r="Q225" s="140">
        <f t="shared" si="59"/>
        <v>0</v>
      </c>
      <c r="S225" s="139">
        <f>IF(Data_Override!N225="",Data!N225,Data_Override!N225)</f>
        <v>51.654000000000003</v>
      </c>
      <c r="U225" s="139">
        <f>IF(Data_Override!P225="",Data!P225,Data_Override!P225)</f>
        <v>0</v>
      </c>
      <c r="V225" s="139">
        <f>IF(Data_Override!Q225="",Data!Q225,Data_Override!Q225)</f>
        <v>0</v>
      </c>
      <c r="W225" s="139">
        <f>IF(Data_Override!R225="",Data!R225,Data_Override!R225)</f>
        <v>0</v>
      </c>
      <c r="X225" s="139">
        <f>IF(Data_Override!S225="",Data!S225,Data_Override!S225)</f>
        <v>0</v>
      </c>
      <c r="Y225" s="140">
        <f t="shared" si="56"/>
        <v>0</v>
      </c>
      <c r="Z225" s="140">
        <f t="shared" si="57"/>
        <v>0</v>
      </c>
      <c r="AB225" s="139">
        <f>IF(Data_Override!U225="",Data!U225,Data_Override!U225)</f>
        <v>30.6</v>
      </c>
      <c r="AC225" s="139">
        <f>IF(Data_Override!V225="",Data!V225,Data_Override!V225)</f>
        <v>3404</v>
      </c>
      <c r="AD225" s="139">
        <f>IF(Data_Override!W225="",Data!W225,Data_Override!W225)</f>
        <v>332.50200000000001</v>
      </c>
    </row>
    <row r="226" spans="1:30" x14ac:dyDescent="0.2">
      <c r="A226" s="141" t="s">
        <v>261</v>
      </c>
      <c r="B226" s="142" t="s">
        <v>37</v>
      </c>
      <c r="C226" s="142" t="s">
        <v>24</v>
      </c>
      <c r="D226" s="19" t="str">
        <f t="shared" si="53"/>
        <v>25</v>
      </c>
      <c r="E226" s="139">
        <f>IF(Data_Override!D226="",Data!D226,Data_Override!D226)</f>
        <v>0</v>
      </c>
      <c r="F226" s="139">
        <f>IF(Data_Override!E226="",Data!E226,Data_Override!E226)</f>
        <v>0</v>
      </c>
      <c r="G226" s="139">
        <f>IF(Data_Override!F226="",Data!F226,Data_Override!F226)</f>
        <v>0</v>
      </c>
      <c r="H226" s="139">
        <f>IF(Data_Override!G226="",Data!G226,Data_Override!G226)</f>
        <v>0</v>
      </c>
      <c r="I226" s="140">
        <f t="shared" si="54"/>
        <v>0</v>
      </c>
      <c r="J226" s="140">
        <f t="shared" si="55"/>
        <v>0</v>
      </c>
      <c r="L226" s="139">
        <f>IF(Data_Override!I226="",Data!I226,Data_Override!I226)</f>
        <v>0</v>
      </c>
      <c r="M226" s="139">
        <f>IF(Data_Override!J226="",Data!J226,Data_Override!J226)</f>
        <v>0</v>
      </c>
      <c r="N226" s="139">
        <f>IF(Data_Override!K226="",Data!K226,Data_Override!K226)</f>
        <v>0</v>
      </c>
      <c r="O226" s="139">
        <f>IF(Data_Override!L226="",Data!L226,Data_Override!L226)</f>
        <v>0</v>
      </c>
      <c r="P226" s="140">
        <f t="shared" si="58"/>
        <v>0</v>
      </c>
      <c r="Q226" s="140">
        <f t="shared" si="59"/>
        <v>0</v>
      </c>
      <c r="S226" s="139">
        <f>IF(Data_Override!N226="",Data!N226,Data_Override!N226)</f>
        <v>53.923000000000002</v>
      </c>
      <c r="U226" s="139">
        <f>IF(Data_Override!P226="",Data!P226,Data_Override!P226)</f>
        <v>0</v>
      </c>
      <c r="V226" s="139">
        <f>IF(Data_Override!Q226="",Data!Q226,Data_Override!Q226)</f>
        <v>0</v>
      </c>
      <c r="W226" s="139">
        <f>IF(Data_Override!R226="",Data!R226,Data_Override!R226)</f>
        <v>0</v>
      </c>
      <c r="X226" s="139">
        <f>IF(Data_Override!S226="",Data!S226,Data_Override!S226)</f>
        <v>0</v>
      </c>
      <c r="Y226" s="140">
        <f t="shared" si="56"/>
        <v>0</v>
      </c>
      <c r="Z226" s="140">
        <f t="shared" si="57"/>
        <v>0</v>
      </c>
      <c r="AB226" s="139">
        <f>IF(Data_Override!U226="",Data!U226,Data_Override!U226)</f>
        <v>29.57</v>
      </c>
      <c r="AC226" s="139">
        <f>IF(Data_Override!V226="",Data!V226,Data_Override!V226)</f>
        <v>3416</v>
      </c>
      <c r="AD226" s="139">
        <f>IF(Data_Override!W226="",Data!W226,Data_Override!W226)</f>
        <v>334.5</v>
      </c>
    </row>
    <row r="227" spans="1:30" hidden="1" x14ac:dyDescent="0.2">
      <c r="A227" s="138" t="str">
        <f t="shared" ref="A227" si="62">B227&amp;RIGHT(C227,2)</f>
        <v>SES12</v>
      </c>
      <c r="B227" s="19" t="s">
        <v>40</v>
      </c>
      <c r="C227" s="143" t="s">
        <v>64</v>
      </c>
      <c r="D227" s="19" t="str">
        <f t="shared" ref="D227:D258" si="63">RIGHT(A227,2)</f>
        <v>12</v>
      </c>
      <c r="E227" s="139">
        <f>IF(Data_Override!D227="",Data!D227,Data_Override!D227)</f>
        <v>3.2720920738711698</v>
      </c>
      <c r="F227" s="139">
        <f>IF(Data_Override!E227="",Data!E227,Data_Override!E227)</f>
        <v>0.27958098435981299</v>
      </c>
      <c r="G227" s="139">
        <f>IF(Data_Override!F227="",Data!F227,Data_Override!F227)</f>
        <v>0</v>
      </c>
      <c r="H227" s="139">
        <f>IF(Data_Override!G227="",Data!G227,Data_Override!G227)</f>
        <v>0.63099107537333199</v>
      </c>
      <c r="I227" s="140">
        <f t="shared" ref="I227:I258" si="64">IFERROR(SUM(E227:F227),"")</f>
        <v>3.5516730582309828</v>
      </c>
      <c r="J227" s="140">
        <f t="shared" ref="J227:J258" si="65">IFERROR(SUM(G227:H227),"")</f>
        <v>0.63099107537333199</v>
      </c>
      <c r="L227" s="139">
        <f>IF(Data_Override!I227="",Data!I227,Data_Override!I227)</f>
        <v>0</v>
      </c>
      <c r="M227" s="139">
        <f>IF(Data_Override!J227="",Data!J227,Data_Override!J227)</f>
        <v>0</v>
      </c>
      <c r="N227" s="139">
        <f>IF(Data_Override!K227="",Data!K227,Data_Override!K227)</f>
        <v>0</v>
      </c>
      <c r="O227" s="139">
        <f>IF(Data_Override!L227="",Data!L227,Data_Override!L227)</f>
        <v>0</v>
      </c>
      <c r="P227" s="140">
        <f t="shared" si="58"/>
        <v>0</v>
      </c>
      <c r="Q227" s="140">
        <f t="shared" si="59"/>
        <v>0</v>
      </c>
      <c r="S227" s="139">
        <f>IF(Data_Override!N227="",Data!N227,Data_Override!N227)</f>
        <v>52.168927630997601</v>
      </c>
      <c r="U227" s="139">
        <f>IF(Data_Override!P227="",Data!P227,Data_Override!P227)</f>
        <v>0</v>
      </c>
      <c r="V227" s="139">
        <f>IF(Data_Override!Q227="",Data!Q227,Data_Override!Q227)</f>
        <v>0</v>
      </c>
      <c r="W227" s="139">
        <f>IF(Data_Override!R227="",Data!R227,Data_Override!R227)</f>
        <v>0</v>
      </c>
      <c r="X227" s="139">
        <f>IF(Data_Override!S227="",Data!S227,Data_Override!S227)</f>
        <v>0</v>
      </c>
      <c r="Y227" s="140">
        <f t="shared" ref="Y227:Y268" si="66">IFERROR(MAX(U227,V227),"")</f>
        <v>0</v>
      </c>
      <c r="Z227" s="140">
        <f t="shared" ref="Z227:Z268" si="67">IFERROR(MAX(W227,X227),"")</f>
        <v>0</v>
      </c>
      <c r="AB227" s="139">
        <f>IF(Data_Override!U227="",Data!U227,Data_Override!U227)</f>
        <v>0</v>
      </c>
      <c r="AC227" s="139">
        <f>IF(Data_Override!V227="",Data!V227,Data_Override!V227)</f>
        <v>0</v>
      </c>
      <c r="AD227" s="139">
        <f>IF(Data_Override!W227="",Data!W227,Data_Override!W227)</f>
        <v>0</v>
      </c>
    </row>
    <row r="228" spans="1:30" hidden="1" x14ac:dyDescent="0.2">
      <c r="A228" s="138" t="str">
        <f>B228&amp;RIGHT(C228,2)</f>
        <v>SES13</v>
      </c>
      <c r="B228" s="19" t="s">
        <v>40</v>
      </c>
      <c r="C228" s="143" t="s">
        <v>65</v>
      </c>
      <c r="D228" s="19" t="str">
        <f t="shared" si="63"/>
        <v>13</v>
      </c>
      <c r="E228" s="139">
        <f>IF(Data_Override!D228="",Data!D228,Data_Override!D228)</f>
        <v>2.42782571182053</v>
      </c>
      <c r="F228" s="139">
        <f>IF(Data_Override!E228="",Data!E228,Data_Override!E228)</f>
        <v>1.6185504745470199E-2</v>
      </c>
      <c r="G228" s="139">
        <f>IF(Data_Override!F228="",Data!F228,Data_Override!F228)</f>
        <v>0</v>
      </c>
      <c r="H228" s="139">
        <f>IF(Data_Override!G228="",Data!G228,Data_Override!G228)</f>
        <v>0.83948817946505605</v>
      </c>
      <c r="I228" s="140">
        <f t="shared" si="64"/>
        <v>2.444011216566</v>
      </c>
      <c r="J228" s="140">
        <f t="shared" si="65"/>
        <v>0.83948817946505605</v>
      </c>
      <c r="L228" s="139">
        <f>IF(Data_Override!I228="",Data!I228,Data_Override!I228)</f>
        <v>0</v>
      </c>
      <c r="M228" s="139">
        <f>IF(Data_Override!J228="",Data!J228,Data_Override!J228)</f>
        <v>0</v>
      </c>
      <c r="N228" s="139">
        <f>IF(Data_Override!K228="",Data!K228,Data_Override!K228)</f>
        <v>0</v>
      </c>
      <c r="O228" s="139">
        <f>IF(Data_Override!L228="",Data!L228,Data_Override!L228)</f>
        <v>0</v>
      </c>
      <c r="P228" s="140">
        <f t="shared" ref="P228:P269" si="68">IFERROR(SUM(L228:M228),"")</f>
        <v>0</v>
      </c>
      <c r="Q228" s="140">
        <f t="shared" ref="Q228:Q269" si="69">IFERROR(SUM(N228:O228),"")</f>
        <v>0</v>
      </c>
      <c r="S228" s="139">
        <f>IF(Data_Override!N228="",Data!N228,Data_Override!N228)</f>
        <v>46.444845383951602</v>
      </c>
      <c r="U228" s="139">
        <f>IF(Data_Override!P228="",Data!P228,Data_Override!P228)</f>
        <v>0</v>
      </c>
      <c r="V228" s="139">
        <f>IF(Data_Override!Q228="",Data!Q228,Data_Override!Q228)</f>
        <v>0</v>
      </c>
      <c r="W228" s="139">
        <f>IF(Data_Override!R228="",Data!R228,Data_Override!R228)</f>
        <v>0</v>
      </c>
      <c r="X228" s="139">
        <f>IF(Data_Override!S228="",Data!S228,Data_Override!S228)</f>
        <v>0</v>
      </c>
      <c r="Y228" s="140">
        <f t="shared" si="66"/>
        <v>0</v>
      </c>
      <c r="Z228" s="140">
        <f t="shared" si="67"/>
        <v>0</v>
      </c>
      <c r="AB228" s="139">
        <f>IF(Data_Override!U228="",Data!U228,Data_Override!U228)</f>
        <v>0</v>
      </c>
      <c r="AC228" s="139">
        <f>IF(Data_Override!V228="",Data!V228,Data_Override!V228)</f>
        <v>0</v>
      </c>
      <c r="AD228" s="139">
        <f>IF(Data_Override!W228="",Data!W228,Data_Override!W228)</f>
        <v>0</v>
      </c>
    </row>
    <row r="229" spans="1:30" hidden="1" x14ac:dyDescent="0.2">
      <c r="A229" s="138" t="str">
        <f>B229&amp;RIGHT(C229,2)</f>
        <v>SES14</v>
      </c>
      <c r="B229" s="19" t="s">
        <v>40</v>
      </c>
      <c r="C229" s="143" t="s">
        <v>66</v>
      </c>
      <c r="D229" s="19" t="str">
        <f t="shared" si="63"/>
        <v>14</v>
      </c>
      <c r="E229" s="139">
        <f>IF(Data_Override!D229="",Data!D229,Data_Override!D229)</f>
        <v>0.22196247464502999</v>
      </c>
      <c r="F229" s="139">
        <f>IF(Data_Override!E229="",Data!E229,Data_Override!E229)</f>
        <v>5.2848208248816803E-3</v>
      </c>
      <c r="G229" s="139">
        <f>IF(Data_Override!F229="",Data!F229,Data_Override!F229)</f>
        <v>0</v>
      </c>
      <c r="H229" s="139">
        <f>IF(Data_Override!G229="",Data!G229,Data_Override!G229)</f>
        <v>0.66905831643002001</v>
      </c>
      <c r="I229" s="140">
        <f t="shared" si="64"/>
        <v>0.22724729546991168</v>
      </c>
      <c r="J229" s="140">
        <f t="shared" si="65"/>
        <v>0.66905831643002001</v>
      </c>
      <c r="L229" s="139">
        <f>IF(Data_Override!I229="",Data!I229,Data_Override!I229)</f>
        <v>0</v>
      </c>
      <c r="M229" s="139">
        <f>IF(Data_Override!J229="",Data!J229,Data_Override!J229)</f>
        <v>0</v>
      </c>
      <c r="N229" s="139">
        <f>IF(Data_Override!K229="",Data!K229,Data_Override!K229)</f>
        <v>0</v>
      </c>
      <c r="O229" s="139">
        <f>IF(Data_Override!L229="",Data!L229,Data_Override!L229)</f>
        <v>0</v>
      </c>
      <c r="P229" s="140">
        <f t="shared" si="68"/>
        <v>0</v>
      </c>
      <c r="Q229" s="140">
        <f t="shared" si="69"/>
        <v>0</v>
      </c>
      <c r="S229" s="139">
        <f>IF(Data_Override!N229="",Data!N229,Data_Override!N229)</f>
        <v>48.575959093982398</v>
      </c>
      <c r="U229" s="139">
        <f>IF(Data_Override!P229="",Data!P229,Data_Override!P229)</f>
        <v>0</v>
      </c>
      <c r="V229" s="139">
        <f>IF(Data_Override!Q229="",Data!Q229,Data_Override!Q229)</f>
        <v>0</v>
      </c>
      <c r="W229" s="139">
        <f>IF(Data_Override!R229="",Data!R229,Data_Override!R229)</f>
        <v>0</v>
      </c>
      <c r="X229" s="139">
        <f>IF(Data_Override!S229="",Data!S229,Data_Override!S229)</f>
        <v>0</v>
      </c>
      <c r="Y229" s="140">
        <f t="shared" si="66"/>
        <v>0</v>
      </c>
      <c r="Z229" s="140">
        <f t="shared" si="67"/>
        <v>0</v>
      </c>
      <c r="AB229" s="139">
        <f>IF(Data_Override!U229="",Data!U229,Data_Override!U229)</f>
        <v>0</v>
      </c>
      <c r="AC229" s="139">
        <f>IF(Data_Override!V229="",Data!V229,Data_Override!V229)</f>
        <v>0</v>
      </c>
      <c r="AD229" s="139">
        <f>IF(Data_Override!W229="",Data!W229,Data_Override!W229)</f>
        <v>0</v>
      </c>
    </row>
    <row r="230" spans="1:30" hidden="1" x14ac:dyDescent="0.2">
      <c r="A230" s="138" t="str">
        <f>B230&amp;RIGHT(C230,2)</f>
        <v>SES15</v>
      </c>
      <c r="B230" s="19" t="s">
        <v>40</v>
      </c>
      <c r="C230" s="143" t="s">
        <v>67</v>
      </c>
      <c r="D230" s="19" t="str">
        <f t="shared" si="63"/>
        <v>15</v>
      </c>
      <c r="E230" s="139">
        <f>IF(Data_Override!D230="",Data!D230,Data_Override!D230)</f>
        <v>1.35855268655469E-2</v>
      </c>
      <c r="F230" s="139">
        <f>IF(Data_Override!E230="",Data!E230,Data_Override!E230)</f>
        <v>0</v>
      </c>
      <c r="G230" s="139">
        <f>IF(Data_Override!F230="",Data!F230,Data_Override!F230)</f>
        <v>0</v>
      </c>
      <c r="H230" s="139">
        <f>IF(Data_Override!G230="",Data!G230,Data_Override!G230)</f>
        <v>0.55805164201554303</v>
      </c>
      <c r="I230" s="140">
        <f t="shared" si="64"/>
        <v>1.35855268655469E-2</v>
      </c>
      <c r="J230" s="140">
        <f t="shared" si="65"/>
        <v>0.55805164201554303</v>
      </c>
      <c r="L230" s="139">
        <f>IF(Data_Override!I230="",Data!I230,Data_Override!I230)</f>
        <v>0</v>
      </c>
      <c r="M230" s="139">
        <f>IF(Data_Override!J230="",Data!J230,Data_Override!J230)</f>
        <v>0</v>
      </c>
      <c r="N230" s="139">
        <f>IF(Data_Override!K230="",Data!K230,Data_Override!K230)</f>
        <v>0</v>
      </c>
      <c r="O230" s="139">
        <f>IF(Data_Override!L230="",Data!L230,Data_Override!L230)</f>
        <v>0</v>
      </c>
      <c r="P230" s="140">
        <f t="shared" si="68"/>
        <v>0</v>
      </c>
      <c r="Q230" s="140">
        <f t="shared" si="69"/>
        <v>0</v>
      </c>
      <c r="S230" s="139">
        <f>IF(Data_Override!N230="",Data!N230,Data_Override!N230)</f>
        <v>46.034035263641698</v>
      </c>
      <c r="U230" s="139">
        <f>IF(Data_Override!P230="",Data!P230,Data_Override!P230)</f>
        <v>0</v>
      </c>
      <c r="V230" s="139">
        <f>IF(Data_Override!Q230="",Data!Q230,Data_Override!Q230)</f>
        <v>0</v>
      </c>
      <c r="W230" s="139">
        <f>IF(Data_Override!R230="",Data!R230,Data_Override!R230)</f>
        <v>0</v>
      </c>
      <c r="X230" s="139">
        <f>IF(Data_Override!S230="",Data!S230,Data_Override!S230)</f>
        <v>0</v>
      </c>
      <c r="Y230" s="140">
        <f t="shared" si="66"/>
        <v>0</v>
      </c>
      <c r="Z230" s="140">
        <f t="shared" si="67"/>
        <v>0</v>
      </c>
      <c r="AB230" s="139">
        <f>IF(Data_Override!U230="",Data!U230,Data_Override!U230)</f>
        <v>0</v>
      </c>
      <c r="AC230" s="139">
        <f>IF(Data_Override!V230="",Data!V230,Data_Override!V230)</f>
        <v>0</v>
      </c>
      <c r="AD230" s="139">
        <f>IF(Data_Override!W230="",Data!W230,Data_Override!W230)</f>
        <v>0</v>
      </c>
    </row>
    <row r="231" spans="1:30" hidden="1" x14ac:dyDescent="0.2">
      <c r="A231" s="138" t="str">
        <f>B231&amp;RIGHT(C231,2)</f>
        <v>SES16</v>
      </c>
      <c r="B231" s="19" t="s">
        <v>40</v>
      </c>
      <c r="C231" s="143" t="s">
        <v>68</v>
      </c>
      <c r="D231" s="19" t="str">
        <f t="shared" si="63"/>
        <v>16</v>
      </c>
      <c r="E231" s="139">
        <f>IF(Data_Override!D231="",Data!D231,Data_Override!D231)</f>
        <v>8.7396339434276202E-2</v>
      </c>
      <c r="F231" s="139">
        <f>IF(Data_Override!E231="",Data!E231,Data_Override!E231)</f>
        <v>0</v>
      </c>
      <c r="G231" s="139">
        <f>IF(Data_Override!F231="",Data!F231,Data_Override!F231)</f>
        <v>0</v>
      </c>
      <c r="H231" s="139">
        <f>IF(Data_Override!G231="",Data!G231,Data_Override!G231)</f>
        <v>0.76575840266223005</v>
      </c>
      <c r="I231" s="140">
        <f t="shared" si="64"/>
        <v>8.7396339434276202E-2</v>
      </c>
      <c r="J231" s="140">
        <f t="shared" si="65"/>
        <v>0.76575840266223005</v>
      </c>
      <c r="L231" s="139">
        <f>IF(Data_Override!I231="",Data!I231,Data_Override!I231)</f>
        <v>0</v>
      </c>
      <c r="M231" s="139">
        <f>IF(Data_Override!J231="",Data!J231,Data_Override!J231)</f>
        <v>0</v>
      </c>
      <c r="N231" s="139">
        <f>IF(Data_Override!K231="",Data!K231,Data_Override!K231)</f>
        <v>0</v>
      </c>
      <c r="O231" s="139">
        <f>IF(Data_Override!L231="",Data!L231,Data_Override!L231)</f>
        <v>0</v>
      </c>
      <c r="P231" s="140">
        <f t="shared" si="68"/>
        <v>0</v>
      </c>
      <c r="Q231" s="140">
        <f t="shared" si="69"/>
        <v>0</v>
      </c>
      <c r="S231" s="139">
        <f>IF(Data_Override!N231="",Data!N231,Data_Override!N231)</f>
        <v>44.751087520798698</v>
      </c>
      <c r="U231" s="139">
        <f>IF(Data_Override!P231="",Data!P231,Data_Override!P231)</f>
        <v>0</v>
      </c>
      <c r="V231" s="139">
        <f>IF(Data_Override!Q231="",Data!Q231,Data_Override!Q231)</f>
        <v>0</v>
      </c>
      <c r="W231" s="139">
        <f>IF(Data_Override!R231="",Data!R231,Data_Override!R231)</f>
        <v>0</v>
      </c>
      <c r="X231" s="139">
        <f>IF(Data_Override!S231="",Data!S231,Data_Override!S231)</f>
        <v>0</v>
      </c>
      <c r="Y231" s="140">
        <f t="shared" si="66"/>
        <v>0</v>
      </c>
      <c r="Z231" s="140">
        <f t="shared" si="67"/>
        <v>0</v>
      </c>
      <c r="AB231" s="139">
        <f>IF(Data_Override!U231="",Data!U231,Data_Override!U231)</f>
        <v>0</v>
      </c>
      <c r="AC231" s="139">
        <f>IF(Data_Override!V231="",Data!V231,Data_Override!V231)</f>
        <v>0</v>
      </c>
      <c r="AD231" s="139">
        <f>IF(Data_Override!W231="",Data!W231,Data_Override!W231)</f>
        <v>0</v>
      </c>
    </row>
    <row r="232" spans="1:30" hidden="1" x14ac:dyDescent="0.2">
      <c r="A232" s="138" t="str">
        <f>B232&amp;RIGHT(C232,2)</f>
        <v>SES17</v>
      </c>
      <c r="B232" s="19" t="s">
        <v>40</v>
      </c>
      <c r="C232" s="143" t="s">
        <v>69</v>
      </c>
      <c r="D232" s="19" t="str">
        <f t="shared" si="63"/>
        <v>17</v>
      </c>
      <c r="E232" s="139">
        <f>IF(Data_Override!D232="",Data!D232,Data_Override!D232)</f>
        <v>0</v>
      </c>
      <c r="F232" s="139">
        <f>IF(Data_Override!E232="",Data!E232,Data_Override!E232)</f>
        <v>0</v>
      </c>
      <c r="G232" s="139">
        <f>IF(Data_Override!F232="",Data!F232,Data_Override!F232)</f>
        <v>0</v>
      </c>
      <c r="H232" s="139">
        <f>IF(Data_Override!G232="",Data!G232,Data_Override!G232)</f>
        <v>0.67122888797702096</v>
      </c>
      <c r="I232" s="140">
        <f t="shared" si="64"/>
        <v>0</v>
      </c>
      <c r="J232" s="140">
        <f t="shared" si="65"/>
        <v>0.67122888797702096</v>
      </c>
      <c r="L232" s="139">
        <f>IF(Data_Override!I232="",Data!I232,Data_Override!I232)</f>
        <v>0</v>
      </c>
      <c r="M232" s="139">
        <f>IF(Data_Override!J232="",Data!J232,Data_Override!J232)</f>
        <v>0</v>
      </c>
      <c r="N232" s="139">
        <f>IF(Data_Override!K232="",Data!K232,Data_Override!K232)</f>
        <v>0</v>
      </c>
      <c r="O232" s="139">
        <f>IF(Data_Override!L232="",Data!L232,Data_Override!L232)</f>
        <v>0</v>
      </c>
      <c r="P232" s="140">
        <f t="shared" si="68"/>
        <v>0</v>
      </c>
      <c r="Q232" s="140">
        <f t="shared" si="69"/>
        <v>0</v>
      </c>
      <c r="S232" s="139">
        <f>IF(Data_Override!N232="",Data!N232,Data_Override!N232)</f>
        <v>49.336349610176299</v>
      </c>
      <c r="U232" s="139">
        <f>IF(Data_Override!P232="",Data!P232,Data_Override!P232)</f>
        <v>0</v>
      </c>
      <c r="V232" s="139">
        <f>IF(Data_Override!Q232="",Data!Q232,Data_Override!Q232)</f>
        <v>0</v>
      </c>
      <c r="W232" s="139">
        <f>IF(Data_Override!R232="",Data!R232,Data_Override!R232)</f>
        <v>0</v>
      </c>
      <c r="X232" s="139">
        <f>IF(Data_Override!S232="",Data!S232,Data_Override!S232)</f>
        <v>0</v>
      </c>
      <c r="Y232" s="140">
        <f t="shared" si="66"/>
        <v>0</v>
      </c>
      <c r="Z232" s="140">
        <f t="shared" si="67"/>
        <v>0</v>
      </c>
      <c r="AB232" s="139">
        <f>IF(Data_Override!U232="",Data!U232,Data_Override!U232)</f>
        <v>0</v>
      </c>
      <c r="AC232" s="139">
        <f>IF(Data_Override!V232="",Data!V232,Data_Override!V232)</f>
        <v>0</v>
      </c>
      <c r="AD232" s="139">
        <f>IF(Data_Override!W232="",Data!W232,Data_Override!W232)</f>
        <v>0</v>
      </c>
    </row>
    <row r="233" spans="1:30" hidden="1" x14ac:dyDescent="0.2">
      <c r="A233" s="141" t="s">
        <v>262</v>
      </c>
      <c r="B233" s="142" t="s">
        <v>40</v>
      </c>
      <c r="C233" s="142" t="s">
        <v>70</v>
      </c>
      <c r="D233" s="19" t="str">
        <f t="shared" si="63"/>
        <v>18</v>
      </c>
      <c r="E233" s="139">
        <f>IF(Data_Override!D233="",Data!D233,Data_Override!D233)</f>
        <v>0</v>
      </c>
      <c r="F233" s="139">
        <f>IF(Data_Override!E233="",Data!E233,Data_Override!E233)</f>
        <v>0</v>
      </c>
      <c r="G233" s="139">
        <f>IF(Data_Override!F233="",Data!F233,Data_Override!F233)</f>
        <v>0</v>
      </c>
      <c r="H233" s="139">
        <f>IF(Data_Override!G233="",Data!G233,Data_Override!G233)</f>
        <v>1.1739999999999999</v>
      </c>
      <c r="I233" s="140">
        <f t="shared" si="64"/>
        <v>0</v>
      </c>
      <c r="J233" s="140">
        <f t="shared" si="65"/>
        <v>1.1739999999999999</v>
      </c>
      <c r="L233" s="139">
        <f>IF(Data_Override!I233="",Data!I233,Data_Override!I233)</f>
        <v>0</v>
      </c>
      <c r="M233" s="139">
        <f>IF(Data_Override!J233="",Data!J233,Data_Override!J233)</f>
        <v>0</v>
      </c>
      <c r="N233" s="139">
        <f>IF(Data_Override!K233="",Data!K233,Data_Override!K233)</f>
        <v>0</v>
      </c>
      <c r="O233" s="139">
        <f>IF(Data_Override!L233="",Data!L233,Data_Override!L233)</f>
        <v>0</v>
      </c>
      <c r="P233" s="140">
        <f t="shared" si="68"/>
        <v>0</v>
      </c>
      <c r="Q233" s="140">
        <f t="shared" si="69"/>
        <v>0</v>
      </c>
      <c r="S233" s="139">
        <f>IF(Data_Override!N233="",Data!N233,Data_Override!N233)</f>
        <v>51.204999999999998</v>
      </c>
      <c r="U233" s="139">
        <f>IF(Data_Override!P233="",Data!P233,Data_Override!P233)</f>
        <v>0</v>
      </c>
      <c r="V233" s="139">
        <f>IF(Data_Override!Q233="",Data!Q233,Data_Override!Q233)</f>
        <v>0</v>
      </c>
      <c r="W233" s="139">
        <f>IF(Data_Override!R233="",Data!R233,Data_Override!R233)</f>
        <v>0</v>
      </c>
      <c r="X233" s="139">
        <f>IF(Data_Override!S233="",Data!S233,Data_Override!S233)</f>
        <v>0</v>
      </c>
      <c r="Y233" s="140">
        <f t="shared" si="66"/>
        <v>0</v>
      </c>
      <c r="Z233" s="140">
        <f t="shared" si="67"/>
        <v>0</v>
      </c>
      <c r="AB233" s="139">
        <f>IF(Data_Override!U233="",Data!U233,Data_Override!U233)</f>
        <v>24.16</v>
      </c>
      <c r="AC233" s="139">
        <f>IF(Data_Override!V233="",Data!V233,Data_Override!V233)</f>
        <v>3481</v>
      </c>
      <c r="AD233" s="139">
        <f>IF(Data_Override!W233="",Data!W233,Data_Override!W233)</f>
        <v>291.35199999999998</v>
      </c>
    </row>
    <row r="234" spans="1:30" hidden="1" x14ac:dyDescent="0.2">
      <c r="A234" s="141" t="s">
        <v>263</v>
      </c>
      <c r="B234" s="142" t="s">
        <v>40</v>
      </c>
      <c r="C234" s="142" t="s">
        <v>71</v>
      </c>
      <c r="D234" s="19" t="str">
        <f t="shared" si="63"/>
        <v>19</v>
      </c>
      <c r="E234" s="139">
        <f>IF(Data_Override!D234="",Data!D234,Data_Override!D234)</f>
        <v>0</v>
      </c>
      <c r="F234" s="139">
        <f>IF(Data_Override!E234="",Data!E234,Data_Override!E234)</f>
        <v>0</v>
      </c>
      <c r="G234" s="139">
        <f>IF(Data_Override!F234="",Data!F234,Data_Override!F234)</f>
        <v>0</v>
      </c>
      <c r="H234" s="139">
        <f>IF(Data_Override!G234="",Data!G234,Data_Override!G234)</f>
        <v>0</v>
      </c>
      <c r="I234" s="140">
        <f t="shared" si="64"/>
        <v>0</v>
      </c>
      <c r="J234" s="140">
        <f t="shared" si="65"/>
        <v>0</v>
      </c>
      <c r="L234" s="139">
        <f>IF(Data_Override!I234="",Data!I234,Data_Override!I234)</f>
        <v>0</v>
      </c>
      <c r="M234" s="139">
        <f>IF(Data_Override!J234="",Data!J234,Data_Override!J234)</f>
        <v>0</v>
      </c>
      <c r="N234" s="139">
        <f>IF(Data_Override!K234="",Data!K234,Data_Override!K234)</f>
        <v>0</v>
      </c>
      <c r="O234" s="139">
        <f>IF(Data_Override!L234="",Data!L234,Data_Override!L234)</f>
        <v>0</v>
      </c>
      <c r="P234" s="140">
        <f t="shared" si="68"/>
        <v>0</v>
      </c>
      <c r="Q234" s="140">
        <f t="shared" si="69"/>
        <v>0</v>
      </c>
      <c r="S234" s="139">
        <f>IF(Data_Override!N234="",Data!N234,Data_Override!N234)</f>
        <v>52.362464734827803</v>
      </c>
      <c r="U234" s="139">
        <f>IF(Data_Override!P234="",Data!P234,Data_Override!P234)</f>
        <v>0</v>
      </c>
      <c r="V234" s="139">
        <f>IF(Data_Override!Q234="",Data!Q234,Data_Override!Q234)</f>
        <v>0</v>
      </c>
      <c r="W234" s="139">
        <f>IF(Data_Override!R234="",Data!R234,Data_Override!R234)</f>
        <v>0</v>
      </c>
      <c r="X234" s="139">
        <f>IF(Data_Override!S234="",Data!S234,Data_Override!S234)</f>
        <v>0</v>
      </c>
      <c r="Y234" s="140">
        <f t="shared" si="66"/>
        <v>0</v>
      </c>
      <c r="Z234" s="140">
        <f t="shared" si="67"/>
        <v>0</v>
      </c>
      <c r="AB234" s="139">
        <f>IF(Data_Override!U234="",Data!U234,Data_Override!U234)</f>
        <v>24.1</v>
      </c>
      <c r="AC234" s="139">
        <f>IF(Data_Override!V234="",Data!V234,Data_Override!V234)</f>
        <v>3497</v>
      </c>
      <c r="AD234" s="139">
        <f>IF(Data_Override!W234="",Data!W234,Data_Override!W234)</f>
        <v>295.036</v>
      </c>
    </row>
    <row r="235" spans="1:30" hidden="1" x14ac:dyDescent="0.2">
      <c r="A235" s="141" t="s">
        <v>264</v>
      </c>
      <c r="B235" s="142" t="s">
        <v>40</v>
      </c>
      <c r="C235" s="142" t="s">
        <v>72</v>
      </c>
      <c r="D235" s="19" t="str">
        <f t="shared" si="63"/>
        <v>20</v>
      </c>
      <c r="E235" s="139">
        <f>IF(Data_Override!D235="",Data!D235,Data_Override!D235)</f>
        <v>0</v>
      </c>
      <c r="F235" s="139">
        <f>IF(Data_Override!E235="",Data!E235,Data_Override!E235)</f>
        <v>0</v>
      </c>
      <c r="G235" s="139">
        <f>IF(Data_Override!F235="",Data!F235,Data_Override!F235)</f>
        <v>0</v>
      </c>
      <c r="H235" s="139">
        <f>IF(Data_Override!G235="",Data!G235,Data_Override!G235)</f>
        <v>0</v>
      </c>
      <c r="I235" s="140">
        <f t="shared" si="64"/>
        <v>0</v>
      </c>
      <c r="J235" s="140">
        <f t="shared" si="65"/>
        <v>0</v>
      </c>
      <c r="L235" s="139">
        <f>IF(Data_Override!I235="",Data!I235,Data_Override!I235)</f>
        <v>0</v>
      </c>
      <c r="M235" s="139">
        <f>IF(Data_Override!J235="",Data!J235,Data_Override!J235)</f>
        <v>0</v>
      </c>
      <c r="N235" s="139">
        <f>IF(Data_Override!K235="",Data!K235,Data_Override!K235)</f>
        <v>0</v>
      </c>
      <c r="O235" s="139">
        <f>IF(Data_Override!L235="",Data!L235,Data_Override!L235)</f>
        <v>0</v>
      </c>
      <c r="P235" s="140">
        <f t="shared" si="68"/>
        <v>0</v>
      </c>
      <c r="Q235" s="140">
        <f t="shared" si="69"/>
        <v>0</v>
      </c>
      <c r="S235" s="139">
        <f>IF(Data_Override!N235="",Data!N235,Data_Override!N235)</f>
        <v>53.710573791836097</v>
      </c>
      <c r="U235" s="139">
        <f>IF(Data_Override!P235="",Data!P235,Data_Override!P235)</f>
        <v>0</v>
      </c>
      <c r="V235" s="139">
        <f>IF(Data_Override!Q235="",Data!Q235,Data_Override!Q235)</f>
        <v>0</v>
      </c>
      <c r="W235" s="139">
        <f>IF(Data_Override!R235="",Data!R235,Data_Override!R235)</f>
        <v>0</v>
      </c>
      <c r="X235" s="139">
        <f>IF(Data_Override!S235="",Data!S235,Data_Override!S235)</f>
        <v>0</v>
      </c>
      <c r="Y235" s="140">
        <f t="shared" si="66"/>
        <v>0</v>
      </c>
      <c r="Z235" s="140">
        <f t="shared" si="67"/>
        <v>0</v>
      </c>
      <c r="AB235" s="139">
        <f>IF(Data_Override!U235="",Data!U235,Data_Override!U235)</f>
        <v>24</v>
      </c>
      <c r="AC235" s="139">
        <f>IF(Data_Override!V235="",Data!V235,Data_Override!V235)</f>
        <v>3504</v>
      </c>
      <c r="AD235" s="139">
        <f>IF(Data_Override!W235="",Data!W235,Data_Override!W235)</f>
        <v>297.0915</v>
      </c>
    </row>
    <row r="236" spans="1:30" x14ac:dyDescent="0.2">
      <c r="A236" s="141" t="s">
        <v>265</v>
      </c>
      <c r="B236" s="142" t="s">
        <v>40</v>
      </c>
      <c r="C236" s="142" t="s">
        <v>73</v>
      </c>
      <c r="D236" s="19" t="str">
        <f t="shared" si="63"/>
        <v>21</v>
      </c>
      <c r="E236" s="139">
        <f>IF(Data_Override!D236="",Data!D236,Data_Override!D236)</f>
        <v>0</v>
      </c>
      <c r="F236" s="139">
        <f>IF(Data_Override!E236="",Data!E236,Data_Override!E236)</f>
        <v>0</v>
      </c>
      <c r="G236" s="139">
        <f>IF(Data_Override!F236="",Data!F236,Data_Override!F236)</f>
        <v>0</v>
      </c>
      <c r="H236" s="139">
        <f>IF(Data_Override!G236="",Data!G236,Data_Override!G236)</f>
        <v>0</v>
      </c>
      <c r="I236" s="140">
        <f t="shared" si="64"/>
        <v>0</v>
      </c>
      <c r="J236" s="140">
        <f t="shared" si="65"/>
        <v>0</v>
      </c>
      <c r="L236" s="139">
        <f>IF(Data_Override!I236="",Data!I236,Data_Override!I236)</f>
        <v>0</v>
      </c>
      <c r="M236" s="139">
        <f>IF(Data_Override!J236="",Data!J236,Data_Override!J236)</f>
        <v>0</v>
      </c>
      <c r="N236" s="139">
        <f>IF(Data_Override!K236="",Data!K236,Data_Override!K236)</f>
        <v>0</v>
      </c>
      <c r="O236" s="139">
        <f>IF(Data_Override!L236="",Data!L236,Data_Override!L236)</f>
        <v>0.53900000000000003</v>
      </c>
      <c r="P236" s="140">
        <f t="shared" si="68"/>
        <v>0</v>
      </c>
      <c r="Q236" s="140">
        <f t="shared" si="69"/>
        <v>0.53900000000000003</v>
      </c>
      <c r="S236" s="139">
        <f>IF(Data_Override!N236="",Data!N236,Data_Override!N236)</f>
        <v>52.777000000000001</v>
      </c>
      <c r="U236" s="139">
        <f>IF(Data_Override!P236="",Data!P236,Data_Override!P236)</f>
        <v>0</v>
      </c>
      <c r="V236" s="139">
        <f>IF(Data_Override!Q236="",Data!Q236,Data_Override!Q236)</f>
        <v>0</v>
      </c>
      <c r="W236" s="139">
        <f>IF(Data_Override!R236="",Data!R236,Data_Override!R236)</f>
        <v>1.72</v>
      </c>
      <c r="X236" s="139">
        <f>IF(Data_Override!S236="",Data!S236,Data_Override!S236)</f>
        <v>1.72</v>
      </c>
      <c r="Y236" s="140">
        <f t="shared" si="66"/>
        <v>0</v>
      </c>
      <c r="Z236" s="140">
        <f t="shared" si="67"/>
        <v>1.72</v>
      </c>
      <c r="AB236" s="139">
        <f>IF(Data_Override!U236="",Data!U236,Data_Override!U236)</f>
        <v>23.3</v>
      </c>
      <c r="AC236" s="139">
        <f>IF(Data_Override!V236="",Data!V236,Data_Override!V236)</f>
        <v>3511</v>
      </c>
      <c r="AD236" s="139">
        <f>IF(Data_Override!W236="",Data!W236,Data_Override!W236)</f>
        <v>299.07400000000001</v>
      </c>
    </row>
    <row r="237" spans="1:30" x14ac:dyDescent="0.2">
      <c r="A237" s="141" t="s">
        <v>266</v>
      </c>
      <c r="B237" s="142" t="s">
        <v>40</v>
      </c>
      <c r="C237" s="142" t="s">
        <v>74</v>
      </c>
      <c r="D237" s="19" t="str">
        <f t="shared" si="63"/>
        <v>22</v>
      </c>
      <c r="E237" s="139">
        <f>IF(Data_Override!D237="",Data!D237,Data_Override!D237)</f>
        <v>0</v>
      </c>
      <c r="F237" s="139">
        <f>IF(Data_Override!E237="",Data!E237,Data_Override!E237)</f>
        <v>0</v>
      </c>
      <c r="G237" s="139">
        <f>IF(Data_Override!F237="",Data!F237,Data_Override!F237)</f>
        <v>0</v>
      </c>
      <c r="H237" s="139">
        <f>IF(Data_Override!G237="",Data!G237,Data_Override!G237)</f>
        <v>0</v>
      </c>
      <c r="I237" s="140">
        <f t="shared" si="64"/>
        <v>0</v>
      </c>
      <c r="J237" s="140">
        <f t="shared" si="65"/>
        <v>0</v>
      </c>
      <c r="L237" s="139">
        <f>IF(Data_Override!I237="",Data!I237,Data_Override!I237)</f>
        <v>0</v>
      </c>
      <c r="M237" s="139">
        <f>IF(Data_Override!J237="",Data!J237,Data_Override!J237)</f>
        <v>0</v>
      </c>
      <c r="N237" s="139">
        <f>IF(Data_Override!K237="",Data!K237,Data_Override!K237)</f>
        <v>0</v>
      </c>
      <c r="O237" s="139">
        <f>IF(Data_Override!L237="",Data!L237,Data_Override!L237)</f>
        <v>0.52900000000000003</v>
      </c>
      <c r="P237" s="140">
        <f t="shared" si="68"/>
        <v>0</v>
      </c>
      <c r="Q237" s="140">
        <f t="shared" si="69"/>
        <v>0.52900000000000003</v>
      </c>
      <c r="S237" s="139">
        <f>IF(Data_Override!N237="",Data!N237,Data_Override!N237)</f>
        <v>57.543999999999997</v>
      </c>
      <c r="U237" s="139">
        <f>IF(Data_Override!P237="",Data!P237,Data_Override!P237)</f>
        <v>0</v>
      </c>
      <c r="V237" s="139">
        <f>IF(Data_Override!Q237="",Data!Q237,Data_Override!Q237)</f>
        <v>0</v>
      </c>
      <c r="W237" s="139">
        <f>IF(Data_Override!R237="",Data!R237,Data_Override!R237)</f>
        <v>1.73</v>
      </c>
      <c r="X237" s="139">
        <f>IF(Data_Override!S237="",Data!S237,Data_Override!S237)</f>
        <v>1.73</v>
      </c>
      <c r="Y237" s="140">
        <f t="shared" si="66"/>
        <v>0</v>
      </c>
      <c r="Z237" s="140">
        <f t="shared" si="67"/>
        <v>1.73</v>
      </c>
      <c r="AB237" s="139">
        <f>IF(Data_Override!U237="",Data!U237,Data_Override!U237)</f>
        <v>22.6</v>
      </c>
      <c r="AC237" s="139">
        <f>IF(Data_Override!V237="",Data!V237,Data_Override!V237)</f>
        <v>3518</v>
      </c>
      <c r="AD237" s="139">
        <f>IF(Data_Override!W237="",Data!W237,Data_Override!W237)</f>
        <v>301.15050000000002</v>
      </c>
    </row>
    <row r="238" spans="1:30" x14ac:dyDescent="0.2">
      <c r="A238" s="141" t="s">
        <v>267</v>
      </c>
      <c r="B238" s="142" t="s">
        <v>40</v>
      </c>
      <c r="C238" s="142" t="s">
        <v>75</v>
      </c>
      <c r="D238" s="19" t="str">
        <f t="shared" si="63"/>
        <v>23</v>
      </c>
      <c r="E238" s="139">
        <f>IF(Data_Override!D238="",Data!D238,Data_Override!D238)</f>
        <v>0</v>
      </c>
      <c r="F238" s="139">
        <f>IF(Data_Override!E238="",Data!E238,Data_Override!E238)</f>
        <v>0</v>
      </c>
      <c r="G238" s="139">
        <f>IF(Data_Override!F238="",Data!F238,Data_Override!F238)</f>
        <v>0</v>
      </c>
      <c r="H238" s="139">
        <f>IF(Data_Override!G238="",Data!G238,Data_Override!G238)</f>
        <v>0</v>
      </c>
      <c r="I238" s="140">
        <f t="shared" si="64"/>
        <v>0</v>
      </c>
      <c r="J238" s="140">
        <f t="shared" si="65"/>
        <v>0</v>
      </c>
      <c r="L238" s="139">
        <f>IF(Data_Override!I238="",Data!I238,Data_Override!I238)</f>
        <v>0</v>
      </c>
      <c r="M238" s="139">
        <f>IF(Data_Override!J238="",Data!J238,Data_Override!J238)</f>
        <v>0</v>
      </c>
      <c r="N238" s="139">
        <f>IF(Data_Override!K238="",Data!K238,Data_Override!K238)</f>
        <v>0</v>
      </c>
      <c r="O238" s="139">
        <f>IF(Data_Override!L238="",Data!L238,Data_Override!L238)</f>
        <v>0.51800000000000002</v>
      </c>
      <c r="P238" s="140">
        <f t="shared" si="68"/>
        <v>0</v>
      </c>
      <c r="Q238" s="140">
        <f t="shared" si="69"/>
        <v>0.51800000000000002</v>
      </c>
      <c r="S238" s="139">
        <f>IF(Data_Override!N238="",Data!N238,Data_Override!N238)</f>
        <v>52.131</v>
      </c>
      <c r="U238" s="139">
        <f>IF(Data_Override!P238="",Data!P238,Data_Override!P238)</f>
        <v>0</v>
      </c>
      <c r="V238" s="139">
        <f>IF(Data_Override!Q238="",Data!Q238,Data_Override!Q238)</f>
        <v>0</v>
      </c>
      <c r="W238" s="139">
        <f>IF(Data_Override!R238="",Data!R238,Data_Override!R238)</f>
        <v>1.73</v>
      </c>
      <c r="X238" s="139">
        <f>IF(Data_Override!S238="",Data!S238,Data_Override!S238)</f>
        <v>1.73</v>
      </c>
      <c r="Y238" s="140">
        <f t="shared" si="66"/>
        <v>0</v>
      </c>
      <c r="Z238" s="140">
        <f t="shared" si="67"/>
        <v>1.73</v>
      </c>
      <c r="AB238" s="139">
        <f>IF(Data_Override!U238="",Data!U238,Data_Override!U238)</f>
        <v>21.8</v>
      </c>
      <c r="AC238" s="139">
        <f>IF(Data_Override!V238="",Data!V238,Data_Override!V238)</f>
        <v>3528</v>
      </c>
      <c r="AD238" s="139">
        <f>IF(Data_Override!W238="",Data!W238,Data_Override!W238)</f>
        <v>303.33749999999998</v>
      </c>
    </row>
    <row r="239" spans="1:30" x14ac:dyDescent="0.2">
      <c r="A239" s="141" t="s">
        <v>268</v>
      </c>
      <c r="B239" s="142" t="s">
        <v>40</v>
      </c>
      <c r="C239" s="142" t="s">
        <v>76</v>
      </c>
      <c r="D239" s="19" t="str">
        <f t="shared" si="63"/>
        <v>24</v>
      </c>
      <c r="E239" s="139">
        <f>IF(Data_Override!D239="",Data!D239,Data_Override!D239)</f>
        <v>0</v>
      </c>
      <c r="F239" s="139">
        <f>IF(Data_Override!E239="",Data!E239,Data_Override!E239)</f>
        <v>0</v>
      </c>
      <c r="G239" s="139">
        <f>IF(Data_Override!F239="",Data!F239,Data_Override!F239)</f>
        <v>0</v>
      </c>
      <c r="H239" s="139">
        <f>IF(Data_Override!G239="",Data!G239,Data_Override!G239)</f>
        <v>0</v>
      </c>
      <c r="I239" s="140">
        <f t="shared" si="64"/>
        <v>0</v>
      </c>
      <c r="J239" s="140">
        <f t="shared" si="65"/>
        <v>0</v>
      </c>
      <c r="L239" s="139">
        <f>IF(Data_Override!I239="",Data!I239,Data_Override!I239)</f>
        <v>0</v>
      </c>
      <c r="M239" s="139">
        <f>IF(Data_Override!J239="",Data!J239,Data_Override!J239)</f>
        <v>0</v>
      </c>
      <c r="N239" s="139">
        <f>IF(Data_Override!K239="",Data!K239,Data_Override!K239)</f>
        <v>0</v>
      </c>
      <c r="O239" s="139">
        <f>IF(Data_Override!L239="",Data!L239,Data_Override!L239)</f>
        <v>0.50700000000000001</v>
      </c>
      <c r="P239" s="140">
        <f t="shared" si="68"/>
        <v>0</v>
      </c>
      <c r="Q239" s="140">
        <f t="shared" si="69"/>
        <v>0.50700000000000001</v>
      </c>
      <c r="S239" s="139">
        <f>IF(Data_Override!N239="",Data!N239,Data_Override!N239)</f>
        <v>46.371000000000002</v>
      </c>
      <c r="U239" s="139">
        <f>IF(Data_Override!P239="",Data!P239,Data_Override!P239)</f>
        <v>0</v>
      </c>
      <c r="V239" s="139">
        <f>IF(Data_Override!Q239="",Data!Q239,Data_Override!Q239)</f>
        <v>0</v>
      </c>
      <c r="W239" s="139">
        <f>IF(Data_Override!R239="",Data!R239,Data_Override!R239)</f>
        <v>1.73</v>
      </c>
      <c r="X239" s="139">
        <f>IF(Data_Override!S239="",Data!S239,Data_Override!S239)</f>
        <v>1.73</v>
      </c>
      <c r="Y239" s="140">
        <f t="shared" si="66"/>
        <v>0</v>
      </c>
      <c r="Z239" s="140">
        <f t="shared" si="67"/>
        <v>1.73</v>
      </c>
      <c r="AB239" s="139">
        <f>IF(Data_Override!U239="",Data!U239,Data_Override!U239)</f>
        <v>21.1</v>
      </c>
      <c r="AC239" s="139">
        <f>IF(Data_Override!V239="",Data!V239,Data_Override!V239)</f>
        <v>3536</v>
      </c>
      <c r="AD239" s="139">
        <f>IF(Data_Override!W239="",Data!W239,Data_Override!W239)</f>
        <v>305.58350000000002</v>
      </c>
    </row>
    <row r="240" spans="1:30" x14ac:dyDescent="0.2">
      <c r="A240" s="141" t="s">
        <v>269</v>
      </c>
      <c r="B240" s="142" t="s">
        <v>40</v>
      </c>
      <c r="C240" s="142" t="s">
        <v>24</v>
      </c>
      <c r="D240" s="19" t="str">
        <f t="shared" si="63"/>
        <v>25</v>
      </c>
      <c r="E240" s="139">
        <f>IF(Data_Override!D240="",Data!D240,Data_Override!D240)</f>
        <v>0</v>
      </c>
      <c r="F240" s="139">
        <f>IF(Data_Override!E240="",Data!E240,Data_Override!E240)</f>
        <v>0</v>
      </c>
      <c r="G240" s="139">
        <f>IF(Data_Override!F240="",Data!F240,Data_Override!F240)</f>
        <v>0</v>
      </c>
      <c r="H240" s="139">
        <f>IF(Data_Override!G240="",Data!G240,Data_Override!G240)</f>
        <v>0</v>
      </c>
      <c r="I240" s="140">
        <f t="shared" si="64"/>
        <v>0</v>
      </c>
      <c r="J240" s="140">
        <f t="shared" si="65"/>
        <v>0</v>
      </c>
      <c r="L240" s="139">
        <f>IF(Data_Override!I240="",Data!I240,Data_Override!I240)</f>
        <v>0</v>
      </c>
      <c r="M240" s="139">
        <f>IF(Data_Override!J240="",Data!J240,Data_Override!J240)</f>
        <v>0</v>
      </c>
      <c r="N240" s="139">
        <f>IF(Data_Override!K240="",Data!K240,Data_Override!K240)</f>
        <v>0</v>
      </c>
      <c r="O240" s="139">
        <f>IF(Data_Override!L240="",Data!L240,Data_Override!L240)</f>
        <v>0.496</v>
      </c>
      <c r="P240" s="140">
        <f t="shared" si="68"/>
        <v>0</v>
      </c>
      <c r="Q240" s="140">
        <f t="shared" si="69"/>
        <v>0.496</v>
      </c>
      <c r="S240" s="139">
        <f>IF(Data_Override!N240="",Data!N240,Data_Override!N240)</f>
        <v>45.345999999999997</v>
      </c>
      <c r="U240" s="139">
        <f>IF(Data_Override!P240="",Data!P240,Data_Override!P240)</f>
        <v>0</v>
      </c>
      <c r="V240" s="139">
        <f>IF(Data_Override!Q240="",Data!Q240,Data_Override!Q240)</f>
        <v>0</v>
      </c>
      <c r="W240" s="139">
        <f>IF(Data_Override!R240="",Data!R240,Data_Override!R240)</f>
        <v>1.73</v>
      </c>
      <c r="X240" s="139">
        <f>IF(Data_Override!S240="",Data!S240,Data_Override!S240)</f>
        <v>1.73</v>
      </c>
      <c r="Y240" s="140">
        <f t="shared" si="66"/>
        <v>0</v>
      </c>
      <c r="Z240" s="140">
        <f t="shared" si="67"/>
        <v>1.73</v>
      </c>
      <c r="AB240" s="139">
        <f>IF(Data_Override!U240="",Data!U240,Data_Override!U240)</f>
        <v>20.399999999999999</v>
      </c>
      <c r="AC240" s="139">
        <f>IF(Data_Override!V240="",Data!V240,Data_Override!V240)</f>
        <v>3544</v>
      </c>
      <c r="AD240" s="139">
        <f>IF(Data_Override!W240="",Data!W240,Data_Override!W240)</f>
        <v>308.04450000000003</v>
      </c>
    </row>
    <row r="241" spans="1:30" hidden="1" x14ac:dyDescent="0.2">
      <c r="A241" s="138" t="str">
        <f t="shared" ref="A241" si="70">B241&amp;RIGHT(C241,2)</f>
        <v>SEW12</v>
      </c>
      <c r="B241" s="19" t="s">
        <v>38</v>
      </c>
      <c r="C241" s="143" t="s">
        <v>64</v>
      </c>
      <c r="D241" s="19" t="str">
        <f t="shared" si="63"/>
        <v>12</v>
      </c>
      <c r="E241" s="139">
        <f>IF(Data_Override!D241="",Data!D241,Data_Override!D241)</f>
        <v>0.92935813378103704</v>
      </c>
      <c r="F241" s="139">
        <f>IF(Data_Override!E241="",Data!E241,Data_Override!E241)</f>
        <v>0.92935813378103704</v>
      </c>
      <c r="G241" s="139">
        <f>IF(Data_Override!F241="",Data!F241,Data_Override!F241)</f>
        <v>7.8945713528320196</v>
      </c>
      <c r="H241" s="139">
        <f>IF(Data_Override!G241="",Data!G241,Data_Override!G241)</f>
        <v>7.8945713528320196</v>
      </c>
      <c r="I241" s="140">
        <f t="shared" si="64"/>
        <v>1.8587162675620741</v>
      </c>
      <c r="J241" s="140">
        <f t="shared" si="65"/>
        <v>15.789142705664039</v>
      </c>
      <c r="L241" s="139">
        <f>IF(Data_Override!I241="",Data!I241,Data_Override!I241)</f>
        <v>0</v>
      </c>
      <c r="M241" s="139">
        <f>IF(Data_Override!J241="",Data!J241,Data_Override!J241)</f>
        <v>0</v>
      </c>
      <c r="N241" s="139">
        <f>IF(Data_Override!K241="",Data!K241,Data_Override!K241)</f>
        <v>0</v>
      </c>
      <c r="O241" s="139">
        <f>IF(Data_Override!L241="",Data!L241,Data_Override!L241)</f>
        <v>0</v>
      </c>
      <c r="P241" s="140">
        <f t="shared" si="68"/>
        <v>0</v>
      </c>
      <c r="Q241" s="140">
        <f t="shared" si="69"/>
        <v>0</v>
      </c>
      <c r="S241" s="139">
        <f>IF(Data_Override!N241="",Data!N241,Data_Override!N241)</f>
        <v>158.04521792575699</v>
      </c>
      <c r="U241" s="139">
        <f>IF(Data_Override!P241="",Data!P241,Data_Override!P241)</f>
        <v>0</v>
      </c>
      <c r="V241" s="139">
        <f>IF(Data_Override!Q241="",Data!Q241,Data_Override!Q241)</f>
        <v>0</v>
      </c>
      <c r="W241" s="139">
        <f>IF(Data_Override!R241="",Data!R241,Data_Override!R241)</f>
        <v>0</v>
      </c>
      <c r="X241" s="139">
        <f>IF(Data_Override!S241="",Data!S241,Data_Override!S241)</f>
        <v>0</v>
      </c>
      <c r="Y241" s="140">
        <f t="shared" si="66"/>
        <v>0</v>
      </c>
      <c r="Z241" s="140">
        <f t="shared" si="67"/>
        <v>0</v>
      </c>
      <c r="AB241" s="139">
        <f>IF(Data_Override!U241="",Data!U241,Data_Override!U241)</f>
        <v>0</v>
      </c>
      <c r="AC241" s="139">
        <f>IF(Data_Override!V241="",Data!V241,Data_Override!V241)</f>
        <v>0</v>
      </c>
      <c r="AD241" s="139">
        <f>IF(Data_Override!W241="",Data!W241,Data_Override!W241)</f>
        <v>0</v>
      </c>
    </row>
    <row r="242" spans="1:30" hidden="1" x14ac:dyDescent="0.2">
      <c r="A242" s="138" t="str">
        <f>B242&amp;RIGHT(C242,2)</f>
        <v>SEW13</v>
      </c>
      <c r="B242" s="19" t="s">
        <v>38</v>
      </c>
      <c r="C242" s="143" t="s">
        <v>65</v>
      </c>
      <c r="D242" s="19" t="str">
        <f t="shared" si="63"/>
        <v>13</v>
      </c>
      <c r="E242" s="139">
        <f>IF(Data_Override!D242="",Data!D242,Data_Override!D242)</f>
        <v>2.6824776531492698</v>
      </c>
      <c r="F242" s="139">
        <f>IF(Data_Override!E242="",Data!E242,Data_Override!E242)</f>
        <v>0</v>
      </c>
      <c r="G242" s="139">
        <f>IF(Data_Override!F242="",Data!F242,Data_Override!F242)</f>
        <v>14.7137028472821</v>
      </c>
      <c r="H242" s="139">
        <f>IF(Data_Override!G242="",Data!G242,Data_Override!G242)</f>
        <v>0</v>
      </c>
      <c r="I242" s="140">
        <f t="shared" si="64"/>
        <v>2.6824776531492698</v>
      </c>
      <c r="J242" s="140">
        <f t="shared" si="65"/>
        <v>14.7137028472821</v>
      </c>
      <c r="L242" s="139">
        <f>IF(Data_Override!I242="",Data!I242,Data_Override!I242)</f>
        <v>0</v>
      </c>
      <c r="M242" s="139">
        <f>IF(Data_Override!J242="",Data!J242,Data_Override!J242)</f>
        <v>0</v>
      </c>
      <c r="N242" s="139">
        <f>IF(Data_Override!K242="",Data!K242,Data_Override!K242)</f>
        <v>0</v>
      </c>
      <c r="O242" s="139">
        <f>IF(Data_Override!L242="",Data!L242,Data_Override!L242)</f>
        <v>0</v>
      </c>
      <c r="P242" s="140">
        <f t="shared" si="68"/>
        <v>0</v>
      </c>
      <c r="Q242" s="140">
        <f t="shared" si="69"/>
        <v>0</v>
      </c>
      <c r="S242" s="139">
        <f>IF(Data_Override!N242="",Data!N242,Data_Override!N242)</f>
        <v>166.43308353634899</v>
      </c>
      <c r="U242" s="139">
        <f>IF(Data_Override!P242="",Data!P242,Data_Override!P242)</f>
        <v>0</v>
      </c>
      <c r="V242" s="139">
        <f>IF(Data_Override!Q242="",Data!Q242,Data_Override!Q242)</f>
        <v>0</v>
      </c>
      <c r="W242" s="139">
        <f>IF(Data_Override!R242="",Data!R242,Data_Override!R242)</f>
        <v>0</v>
      </c>
      <c r="X242" s="139">
        <f>IF(Data_Override!S242="",Data!S242,Data_Override!S242)</f>
        <v>0</v>
      </c>
      <c r="Y242" s="140">
        <f t="shared" si="66"/>
        <v>0</v>
      </c>
      <c r="Z242" s="140">
        <f t="shared" si="67"/>
        <v>0</v>
      </c>
      <c r="AB242" s="139">
        <f>IF(Data_Override!U242="",Data!U242,Data_Override!U242)</f>
        <v>0</v>
      </c>
      <c r="AC242" s="139">
        <f>IF(Data_Override!V242="",Data!V242,Data_Override!V242)</f>
        <v>0</v>
      </c>
      <c r="AD242" s="139">
        <f>IF(Data_Override!W242="",Data!W242,Data_Override!W242)</f>
        <v>0</v>
      </c>
    </row>
    <row r="243" spans="1:30" hidden="1" x14ac:dyDescent="0.2">
      <c r="A243" s="138" t="str">
        <f>B243&amp;RIGHT(C243,2)</f>
        <v>SEW14</v>
      </c>
      <c r="B243" s="19" t="s">
        <v>38</v>
      </c>
      <c r="C243" s="143" t="s">
        <v>66</v>
      </c>
      <c r="D243" s="19" t="str">
        <f t="shared" si="63"/>
        <v>14</v>
      </c>
      <c r="E243" s="139">
        <f>IF(Data_Override!D243="",Data!D243,Data_Override!D243)</f>
        <v>0.80012187288708603</v>
      </c>
      <c r="F243" s="139">
        <f>IF(Data_Override!E243="",Data!E243,Data_Override!E243)</f>
        <v>0.80012187288708603</v>
      </c>
      <c r="G243" s="139">
        <f>IF(Data_Override!F243="",Data!F243,Data_Override!F243)</f>
        <v>5.8450118323191296</v>
      </c>
      <c r="H243" s="139">
        <f>IF(Data_Override!G243="",Data!G243,Data_Override!G243)</f>
        <v>5.8450118323191296</v>
      </c>
      <c r="I243" s="140">
        <f t="shared" si="64"/>
        <v>1.6002437457741721</v>
      </c>
      <c r="J243" s="140">
        <f t="shared" si="65"/>
        <v>11.690023664638259</v>
      </c>
      <c r="L243" s="139">
        <f>IF(Data_Override!I243="",Data!I243,Data_Override!I243)</f>
        <v>0</v>
      </c>
      <c r="M243" s="139">
        <f>IF(Data_Override!J243="",Data!J243,Data_Override!J243)</f>
        <v>0</v>
      </c>
      <c r="N243" s="139">
        <f>IF(Data_Override!K243="",Data!K243,Data_Override!K243)</f>
        <v>0</v>
      </c>
      <c r="O243" s="139">
        <f>IF(Data_Override!L243="",Data!L243,Data_Override!L243)</f>
        <v>0</v>
      </c>
      <c r="P243" s="140">
        <f t="shared" si="68"/>
        <v>0</v>
      </c>
      <c r="Q243" s="140">
        <f t="shared" si="69"/>
        <v>0</v>
      </c>
      <c r="S243" s="139">
        <f>IF(Data_Override!N243="",Data!N243,Data_Override!N243)</f>
        <v>171.01386723637</v>
      </c>
      <c r="U243" s="139">
        <f>IF(Data_Override!P243="",Data!P243,Data_Override!P243)</f>
        <v>0</v>
      </c>
      <c r="V243" s="139">
        <f>IF(Data_Override!Q243="",Data!Q243,Data_Override!Q243)</f>
        <v>0</v>
      </c>
      <c r="W243" s="139">
        <f>IF(Data_Override!R243="",Data!R243,Data_Override!R243)</f>
        <v>0</v>
      </c>
      <c r="X243" s="139">
        <f>IF(Data_Override!S243="",Data!S243,Data_Override!S243)</f>
        <v>0</v>
      </c>
      <c r="Y243" s="140">
        <f t="shared" si="66"/>
        <v>0</v>
      </c>
      <c r="Z243" s="140">
        <f t="shared" si="67"/>
        <v>0</v>
      </c>
      <c r="AB243" s="139">
        <f>IF(Data_Override!U243="",Data!U243,Data_Override!U243)</f>
        <v>0</v>
      </c>
      <c r="AC243" s="139">
        <f>IF(Data_Override!V243="",Data!V243,Data_Override!V243)</f>
        <v>0</v>
      </c>
      <c r="AD243" s="139">
        <f>IF(Data_Override!W243="",Data!W243,Data_Override!W243)</f>
        <v>0</v>
      </c>
    </row>
    <row r="244" spans="1:30" hidden="1" x14ac:dyDescent="0.2">
      <c r="A244" s="138" t="str">
        <f>B244&amp;RIGHT(C244,2)</f>
        <v>SEW15</v>
      </c>
      <c r="B244" s="19" t="s">
        <v>38</v>
      </c>
      <c r="C244" s="143" t="s">
        <v>67</v>
      </c>
      <c r="D244" s="19" t="str">
        <f t="shared" si="63"/>
        <v>15</v>
      </c>
      <c r="E244" s="139">
        <f>IF(Data_Override!D244="",Data!D244,Data_Override!D244)</f>
        <v>2.0963512994067002</v>
      </c>
      <c r="F244" s="139">
        <f>IF(Data_Override!E244="",Data!E244,Data_Override!E244)</f>
        <v>2.0963512994067002</v>
      </c>
      <c r="G244" s="139">
        <f>IF(Data_Override!F244="",Data!F244,Data_Override!F244)</f>
        <v>5.1739956547171397</v>
      </c>
      <c r="H244" s="139">
        <f>IF(Data_Override!G244="",Data!G244,Data_Override!G244)</f>
        <v>5.1739956547171397</v>
      </c>
      <c r="I244" s="140">
        <f t="shared" si="64"/>
        <v>4.1927025988134003</v>
      </c>
      <c r="J244" s="140">
        <f t="shared" si="65"/>
        <v>10.347991309434279</v>
      </c>
      <c r="L244" s="139">
        <f>IF(Data_Override!I244="",Data!I244,Data_Override!I244)</f>
        <v>0</v>
      </c>
      <c r="M244" s="139">
        <f>IF(Data_Override!J244="",Data!J244,Data_Override!J244)</f>
        <v>0</v>
      </c>
      <c r="N244" s="139">
        <f>IF(Data_Override!K244="",Data!K244,Data_Override!K244)</f>
        <v>0</v>
      </c>
      <c r="O244" s="139">
        <f>IF(Data_Override!L244="",Data!L244,Data_Override!L244)</f>
        <v>0</v>
      </c>
      <c r="P244" s="140">
        <f t="shared" si="68"/>
        <v>0</v>
      </c>
      <c r="Q244" s="140">
        <f t="shared" si="69"/>
        <v>0</v>
      </c>
      <c r="S244" s="139">
        <f>IF(Data_Override!N244="",Data!N244,Data_Override!N244)</f>
        <v>167.49043578940899</v>
      </c>
      <c r="U244" s="139">
        <f>IF(Data_Override!P244="",Data!P244,Data_Override!P244)</f>
        <v>0</v>
      </c>
      <c r="V244" s="139">
        <f>IF(Data_Override!Q244="",Data!Q244,Data_Override!Q244)</f>
        <v>0</v>
      </c>
      <c r="W244" s="139">
        <f>IF(Data_Override!R244="",Data!R244,Data_Override!R244)</f>
        <v>0</v>
      </c>
      <c r="X244" s="139">
        <f>IF(Data_Override!S244="",Data!S244,Data_Override!S244)</f>
        <v>0</v>
      </c>
      <c r="Y244" s="140">
        <f t="shared" si="66"/>
        <v>0</v>
      </c>
      <c r="Z244" s="140">
        <f t="shared" si="67"/>
        <v>0</v>
      </c>
      <c r="AB244" s="139">
        <f>IF(Data_Override!U244="",Data!U244,Data_Override!U244)</f>
        <v>0</v>
      </c>
      <c r="AC244" s="139">
        <f>IF(Data_Override!V244="",Data!V244,Data_Override!V244)</f>
        <v>0</v>
      </c>
      <c r="AD244" s="139">
        <f>IF(Data_Override!W244="",Data!W244,Data_Override!W244)</f>
        <v>0</v>
      </c>
    </row>
    <row r="245" spans="1:30" hidden="1" x14ac:dyDescent="0.2">
      <c r="A245" s="138" t="str">
        <f>B245&amp;RIGHT(C245,2)</f>
        <v>SEW16</v>
      </c>
      <c r="B245" s="19" t="s">
        <v>38</v>
      </c>
      <c r="C245" s="143" t="s">
        <v>68</v>
      </c>
      <c r="D245" s="19" t="str">
        <f t="shared" si="63"/>
        <v>16</v>
      </c>
      <c r="E245" s="139">
        <f>IF(Data_Override!D245="",Data!D245,Data_Override!D245)</f>
        <v>1.1018181364392701</v>
      </c>
      <c r="F245" s="139">
        <f>IF(Data_Override!E245="",Data!E245,Data_Override!E245)</f>
        <v>1.1018181364392701</v>
      </c>
      <c r="G245" s="139">
        <f>IF(Data_Override!F245="",Data!F245,Data_Override!F245)</f>
        <v>10.3960026622296</v>
      </c>
      <c r="H245" s="139">
        <f>IF(Data_Override!G245="",Data!G245,Data_Override!G245)</f>
        <v>10.3960026622296</v>
      </c>
      <c r="I245" s="140">
        <f t="shared" si="64"/>
        <v>2.2036362728785401</v>
      </c>
      <c r="J245" s="140">
        <f t="shared" si="65"/>
        <v>20.7920053244592</v>
      </c>
      <c r="L245" s="139">
        <f>IF(Data_Override!I245="",Data!I245,Data_Override!I245)</f>
        <v>0</v>
      </c>
      <c r="M245" s="139">
        <f>IF(Data_Override!J245="",Data!J245,Data_Override!J245)</f>
        <v>0</v>
      </c>
      <c r="N245" s="139">
        <f>IF(Data_Override!K245="",Data!K245,Data_Override!K245)</f>
        <v>0</v>
      </c>
      <c r="O245" s="139">
        <f>IF(Data_Override!L245="",Data!L245,Data_Override!L245)</f>
        <v>0</v>
      </c>
      <c r="P245" s="140">
        <f t="shared" si="68"/>
        <v>0</v>
      </c>
      <c r="Q245" s="140">
        <f t="shared" si="69"/>
        <v>0</v>
      </c>
      <c r="S245" s="139">
        <f>IF(Data_Override!N245="",Data!N245,Data_Override!N245)</f>
        <v>161.50739484192999</v>
      </c>
      <c r="U245" s="139">
        <f>IF(Data_Override!P245="",Data!P245,Data_Override!P245)</f>
        <v>0</v>
      </c>
      <c r="V245" s="139">
        <f>IF(Data_Override!Q245="",Data!Q245,Data_Override!Q245)</f>
        <v>0</v>
      </c>
      <c r="W245" s="139">
        <f>IF(Data_Override!R245="",Data!R245,Data_Override!R245)</f>
        <v>0</v>
      </c>
      <c r="X245" s="139">
        <f>IF(Data_Override!S245="",Data!S245,Data_Override!S245)</f>
        <v>0</v>
      </c>
      <c r="Y245" s="140">
        <f t="shared" si="66"/>
        <v>0</v>
      </c>
      <c r="Z245" s="140">
        <f t="shared" si="67"/>
        <v>0</v>
      </c>
      <c r="AB245" s="139">
        <f>IF(Data_Override!U245="",Data!U245,Data_Override!U245)</f>
        <v>0</v>
      </c>
      <c r="AC245" s="139">
        <f>IF(Data_Override!V245="",Data!V245,Data_Override!V245)</f>
        <v>0</v>
      </c>
      <c r="AD245" s="139">
        <f>IF(Data_Override!W245="",Data!W245,Data_Override!W245)</f>
        <v>0</v>
      </c>
    </row>
    <row r="246" spans="1:30" hidden="1" x14ac:dyDescent="0.2">
      <c r="A246" s="138" t="str">
        <f>B246&amp;RIGHT(C246,2)</f>
        <v>SEW17</v>
      </c>
      <c r="B246" s="19" t="s">
        <v>38</v>
      </c>
      <c r="C246" s="143" t="s">
        <v>69</v>
      </c>
      <c r="D246" s="19" t="str">
        <f t="shared" si="63"/>
        <v>17</v>
      </c>
      <c r="E246" s="139">
        <f>IF(Data_Override!D246="",Data!D246,Data_Override!D246)</f>
        <v>2.3944602379975399</v>
      </c>
      <c r="F246" s="139">
        <f>IF(Data_Override!E246="",Data!E246,Data_Override!E246)</f>
        <v>1.4615136643414</v>
      </c>
      <c r="G246" s="139">
        <f>IF(Data_Override!F246="",Data!F246,Data_Override!F246)</f>
        <v>4.7047602790315999</v>
      </c>
      <c r="H246" s="139">
        <f>IF(Data_Override!G246="",Data!G246,Data_Override!G246)</f>
        <v>3.93397603610997</v>
      </c>
      <c r="I246" s="140">
        <f t="shared" si="64"/>
        <v>3.8559739023389401</v>
      </c>
      <c r="J246" s="140">
        <f t="shared" si="65"/>
        <v>8.6387363151415695</v>
      </c>
      <c r="L246" s="139">
        <f>IF(Data_Override!I246="",Data!I246,Data_Override!I246)</f>
        <v>0</v>
      </c>
      <c r="M246" s="139">
        <f>IF(Data_Override!J246="",Data!J246,Data_Override!J246)</f>
        <v>0</v>
      </c>
      <c r="N246" s="139">
        <f>IF(Data_Override!K246="",Data!K246,Data_Override!K246)</f>
        <v>0</v>
      </c>
      <c r="O246" s="139">
        <f>IF(Data_Override!L246="",Data!L246,Data_Override!L246)</f>
        <v>0</v>
      </c>
      <c r="P246" s="140">
        <f t="shared" si="68"/>
        <v>0</v>
      </c>
      <c r="Q246" s="140">
        <f t="shared" si="69"/>
        <v>0</v>
      </c>
      <c r="S246" s="139">
        <f>IF(Data_Override!N246="",Data!N246,Data_Override!N246)</f>
        <v>162.57516419958401</v>
      </c>
      <c r="U246" s="139">
        <f>IF(Data_Override!P246="",Data!P246,Data_Override!P246)</f>
        <v>0</v>
      </c>
      <c r="V246" s="139">
        <f>IF(Data_Override!Q246="",Data!Q246,Data_Override!Q246)</f>
        <v>0</v>
      </c>
      <c r="W246" s="139">
        <f>IF(Data_Override!R246="",Data!R246,Data_Override!R246)</f>
        <v>0</v>
      </c>
      <c r="X246" s="139">
        <f>IF(Data_Override!S246="",Data!S246,Data_Override!S246)</f>
        <v>0</v>
      </c>
      <c r="Y246" s="140">
        <f t="shared" si="66"/>
        <v>0</v>
      </c>
      <c r="Z246" s="140">
        <f t="shared" si="67"/>
        <v>0</v>
      </c>
      <c r="AB246" s="139">
        <f>IF(Data_Override!U246="",Data!U246,Data_Override!U246)</f>
        <v>0</v>
      </c>
      <c r="AC246" s="139">
        <f>IF(Data_Override!V246="",Data!V246,Data_Override!V246)</f>
        <v>0</v>
      </c>
      <c r="AD246" s="139">
        <f>IF(Data_Override!W246="",Data!W246,Data_Override!W246)</f>
        <v>0</v>
      </c>
    </row>
    <row r="247" spans="1:30" hidden="1" x14ac:dyDescent="0.2">
      <c r="A247" s="141" t="s">
        <v>270</v>
      </c>
      <c r="B247" s="142" t="s">
        <v>38</v>
      </c>
      <c r="C247" s="142" t="s">
        <v>70</v>
      </c>
      <c r="D247" s="19" t="str">
        <f t="shared" si="63"/>
        <v>18</v>
      </c>
      <c r="E247" s="139">
        <f>IF(Data_Override!D247="",Data!D247,Data_Override!D247)</f>
        <v>4.6079999999999997</v>
      </c>
      <c r="F247" s="139">
        <f>IF(Data_Override!E247="",Data!E247,Data_Override!E247)</f>
        <v>1.732</v>
      </c>
      <c r="G247" s="139">
        <f>IF(Data_Override!F247="",Data!F247,Data_Override!F247)</f>
        <v>5.4139999999999997</v>
      </c>
      <c r="H247" s="139">
        <f>IF(Data_Override!G247="",Data!G247,Data_Override!G247)</f>
        <v>5.593</v>
      </c>
      <c r="I247" s="140">
        <f t="shared" si="64"/>
        <v>6.34</v>
      </c>
      <c r="J247" s="140">
        <f t="shared" si="65"/>
        <v>11.007</v>
      </c>
      <c r="L247" s="139">
        <f>IF(Data_Override!I247="",Data!I247,Data_Override!I247)</f>
        <v>0</v>
      </c>
      <c r="M247" s="139">
        <f>IF(Data_Override!J247="",Data!J247,Data_Override!J247)</f>
        <v>0</v>
      </c>
      <c r="N247" s="139">
        <f>IF(Data_Override!K247="",Data!K247,Data_Override!K247)</f>
        <v>0</v>
      </c>
      <c r="O247" s="139">
        <f>IF(Data_Override!L247="",Data!L247,Data_Override!L247)</f>
        <v>0</v>
      </c>
      <c r="P247" s="140">
        <f t="shared" si="68"/>
        <v>0</v>
      </c>
      <c r="Q247" s="140">
        <f t="shared" si="69"/>
        <v>0</v>
      </c>
      <c r="S247" s="139">
        <f>IF(Data_Override!N247="",Data!N247,Data_Override!N247)</f>
        <v>171.97</v>
      </c>
      <c r="U247" s="139">
        <f>IF(Data_Override!P247="",Data!P247,Data_Override!P247)</f>
        <v>0</v>
      </c>
      <c r="V247" s="139">
        <f>IF(Data_Override!Q247="",Data!Q247,Data_Override!Q247)</f>
        <v>0</v>
      </c>
      <c r="W247" s="139">
        <f>IF(Data_Override!R247="",Data!R247,Data_Override!R247)</f>
        <v>0.47</v>
      </c>
      <c r="X247" s="139">
        <f>IF(Data_Override!S247="",Data!S247,Data_Override!S247)</f>
        <v>0.44</v>
      </c>
      <c r="Y247" s="140">
        <f t="shared" si="66"/>
        <v>0</v>
      </c>
      <c r="Z247" s="140">
        <f t="shared" si="67"/>
        <v>0.47</v>
      </c>
      <c r="AB247" s="139">
        <f>IF(Data_Override!U247="",Data!U247,Data_Override!U247)</f>
        <v>87.692192146928704</v>
      </c>
      <c r="AC247" s="139">
        <f>IF(Data_Override!V247="",Data!V247,Data_Override!V247)</f>
        <v>14620.74</v>
      </c>
      <c r="AD247" s="139">
        <f>IF(Data_Override!W247="",Data!W247,Data_Override!W247)</f>
        <v>1013.178</v>
      </c>
    </row>
    <row r="248" spans="1:30" hidden="1" x14ac:dyDescent="0.2">
      <c r="A248" s="141" t="s">
        <v>271</v>
      </c>
      <c r="B248" s="142" t="s">
        <v>38</v>
      </c>
      <c r="C248" s="142" t="s">
        <v>71</v>
      </c>
      <c r="D248" s="19" t="str">
        <f t="shared" si="63"/>
        <v>19</v>
      </c>
      <c r="E248" s="139">
        <f>IF(Data_Override!D248="",Data!D248,Data_Override!D248)</f>
        <v>11.1403899040957</v>
      </c>
      <c r="F248" s="139">
        <f>IF(Data_Override!E248="",Data!E248,Data_Override!E248)</f>
        <v>3.3030234994266801</v>
      </c>
      <c r="G248" s="139">
        <f>IF(Data_Override!F248="",Data!F248,Data_Override!F248)</f>
        <v>2.8906213525215501</v>
      </c>
      <c r="H248" s="139">
        <f>IF(Data_Override!G248="",Data!G248,Data_Override!G248)</f>
        <v>2.8906213525215501</v>
      </c>
      <c r="I248" s="140">
        <f t="shared" si="64"/>
        <v>14.443413403522381</v>
      </c>
      <c r="J248" s="140">
        <f t="shared" si="65"/>
        <v>5.7812427050431001</v>
      </c>
      <c r="L248" s="139">
        <f>IF(Data_Override!I248="",Data!I248,Data_Override!I248)</f>
        <v>0</v>
      </c>
      <c r="M248" s="139">
        <f>IF(Data_Override!J248="",Data!J248,Data_Override!J248)</f>
        <v>0</v>
      </c>
      <c r="N248" s="139">
        <f>IF(Data_Override!K248="",Data!K248,Data_Override!K248)</f>
        <v>0</v>
      </c>
      <c r="O248" s="139">
        <f>IF(Data_Override!L248="",Data!L248,Data_Override!L248)</f>
        <v>0</v>
      </c>
      <c r="P248" s="140">
        <f t="shared" si="68"/>
        <v>0</v>
      </c>
      <c r="Q248" s="140">
        <f t="shared" si="69"/>
        <v>0</v>
      </c>
      <c r="S248" s="139">
        <f>IF(Data_Override!N248="",Data!N248,Data_Override!N248)</f>
        <v>180.86241786359099</v>
      </c>
      <c r="U248" s="139">
        <f>IF(Data_Override!P248="",Data!P248,Data_Override!P248)</f>
        <v>4</v>
      </c>
      <c r="V248" s="139">
        <f>IF(Data_Override!Q248="",Data!Q248,Data_Override!Q248)</f>
        <v>0</v>
      </c>
      <c r="W248" s="139">
        <f>IF(Data_Override!R248="",Data!R248,Data_Override!R248)</f>
        <v>0</v>
      </c>
      <c r="X248" s="139">
        <f>IF(Data_Override!S248="",Data!S248,Data_Override!S248)</f>
        <v>0</v>
      </c>
      <c r="Y248" s="140">
        <f t="shared" si="66"/>
        <v>4</v>
      </c>
      <c r="Z248" s="140">
        <f t="shared" si="67"/>
        <v>0</v>
      </c>
      <c r="AB248" s="139">
        <f>IF(Data_Override!U248="",Data!U248,Data_Override!U248)</f>
        <v>87.692192146928704</v>
      </c>
      <c r="AC248" s="139">
        <f>IF(Data_Override!V248="",Data!V248,Data_Override!V248)</f>
        <v>14732.050631341201</v>
      </c>
      <c r="AD248" s="139">
        <f>IF(Data_Override!W248="",Data!W248,Data_Override!W248)</f>
        <v>1017.45107764391</v>
      </c>
    </row>
    <row r="249" spans="1:30" hidden="1" x14ac:dyDescent="0.2">
      <c r="A249" s="141" t="s">
        <v>272</v>
      </c>
      <c r="B249" s="142" t="s">
        <v>38</v>
      </c>
      <c r="C249" s="142" t="s">
        <v>72</v>
      </c>
      <c r="D249" s="19" t="str">
        <f t="shared" si="63"/>
        <v>20</v>
      </c>
      <c r="E249" s="139">
        <f>IF(Data_Override!D249="",Data!D249,Data_Override!D249)</f>
        <v>7.01139939748803</v>
      </c>
      <c r="F249" s="139">
        <f>IF(Data_Override!E249="",Data!E249,Data_Override!E249)</f>
        <v>0.63534189724444101</v>
      </c>
      <c r="G249" s="139">
        <f>IF(Data_Override!F249="",Data!F249,Data_Override!F249)</f>
        <v>3.38530490086558</v>
      </c>
      <c r="H249" s="139">
        <f>IF(Data_Override!G249="",Data!G249,Data_Override!G249)</f>
        <v>3.38530490086558</v>
      </c>
      <c r="I249" s="140">
        <f t="shared" si="64"/>
        <v>7.6467412947324709</v>
      </c>
      <c r="J249" s="140">
        <f t="shared" si="65"/>
        <v>6.77060980173116</v>
      </c>
      <c r="L249" s="139">
        <f>IF(Data_Override!I249="",Data!I249,Data_Override!I249)</f>
        <v>0</v>
      </c>
      <c r="M249" s="139">
        <f>IF(Data_Override!J249="",Data!J249,Data_Override!J249)</f>
        <v>0</v>
      </c>
      <c r="N249" s="139">
        <f>IF(Data_Override!K249="",Data!K249,Data_Override!K249)</f>
        <v>0</v>
      </c>
      <c r="O249" s="139">
        <f>IF(Data_Override!L249="",Data!L249,Data_Override!L249)</f>
        <v>0</v>
      </c>
      <c r="P249" s="140">
        <f t="shared" si="68"/>
        <v>0</v>
      </c>
      <c r="Q249" s="140">
        <f t="shared" si="69"/>
        <v>0</v>
      </c>
      <c r="S249" s="139">
        <f>IF(Data_Override!N249="",Data!N249,Data_Override!N249)</f>
        <v>169.00722924870701</v>
      </c>
      <c r="U249" s="139">
        <f>IF(Data_Override!P249="",Data!P249,Data_Override!P249)</f>
        <v>29</v>
      </c>
      <c r="V249" s="139">
        <f>IF(Data_Override!Q249="",Data!Q249,Data_Override!Q249)</f>
        <v>0</v>
      </c>
      <c r="W249" s="139">
        <f>IF(Data_Override!R249="",Data!R249,Data_Override!R249)</f>
        <v>0</v>
      </c>
      <c r="X249" s="139">
        <f>IF(Data_Override!S249="",Data!S249,Data_Override!S249)</f>
        <v>0</v>
      </c>
      <c r="Y249" s="140">
        <f t="shared" si="66"/>
        <v>29</v>
      </c>
      <c r="Z249" s="140">
        <f t="shared" si="67"/>
        <v>0</v>
      </c>
      <c r="AB249" s="139">
        <f>IF(Data_Override!U249="",Data!U249,Data_Override!U249)</f>
        <v>87.692192146928704</v>
      </c>
      <c r="AC249" s="139">
        <f>IF(Data_Override!V249="",Data!V249,Data_Override!V249)</f>
        <v>14841.3904574847</v>
      </c>
      <c r="AD249" s="139">
        <f>IF(Data_Override!W249="",Data!W249,Data_Override!W249)</f>
        <v>1027.2224966532799</v>
      </c>
    </row>
    <row r="250" spans="1:30" x14ac:dyDescent="0.2">
      <c r="A250" s="141" t="s">
        <v>273</v>
      </c>
      <c r="B250" s="142" t="s">
        <v>38</v>
      </c>
      <c r="C250" s="142" t="s">
        <v>73</v>
      </c>
      <c r="D250" s="19" t="str">
        <f t="shared" si="63"/>
        <v>21</v>
      </c>
      <c r="E250" s="139">
        <f>IF(Data_Override!D250="",Data!D250,Data_Override!D250)</f>
        <v>2.6298126916369502</v>
      </c>
      <c r="F250" s="139">
        <f>IF(Data_Override!E250="",Data!E250,Data_Override!E250)</f>
        <v>2.7479279635952998</v>
      </c>
      <c r="G250" s="139">
        <f>IF(Data_Override!F250="",Data!F250,Data_Override!F250)</f>
        <v>3.55329887120836</v>
      </c>
      <c r="H250" s="139">
        <f>IF(Data_Override!G250="",Data!G250,Data_Override!G250)</f>
        <v>3.55329887120836</v>
      </c>
      <c r="I250" s="140">
        <f t="shared" si="64"/>
        <v>5.37774065523225</v>
      </c>
      <c r="J250" s="140">
        <f t="shared" si="65"/>
        <v>7.1065977424167199</v>
      </c>
      <c r="L250" s="139">
        <f>IF(Data_Override!I250="",Data!I250,Data_Override!I250)</f>
        <v>0</v>
      </c>
      <c r="M250" s="139">
        <f>IF(Data_Override!J250="",Data!J250,Data_Override!J250)</f>
        <v>0</v>
      </c>
      <c r="N250" s="139">
        <f>IF(Data_Override!K250="",Data!K250,Data_Override!K250)</f>
        <v>0.98029995691489502</v>
      </c>
      <c r="O250" s="139">
        <f>IF(Data_Override!L250="",Data!L250,Data_Override!L250)</f>
        <v>0.98029995691489502</v>
      </c>
      <c r="P250" s="140">
        <f t="shared" si="68"/>
        <v>0</v>
      </c>
      <c r="Q250" s="140">
        <f t="shared" si="69"/>
        <v>1.96059991382979</v>
      </c>
      <c r="S250" s="139">
        <f>IF(Data_Override!N250="",Data!N250,Data_Override!N250)</f>
        <v>172.07300000000001</v>
      </c>
      <c r="U250" s="139">
        <f>IF(Data_Override!P250="",Data!P250,Data_Override!P250)</f>
        <v>0</v>
      </c>
      <c r="V250" s="139">
        <f>IF(Data_Override!Q250="",Data!Q250,Data_Override!Q250)</f>
        <v>0</v>
      </c>
      <c r="W250" s="139">
        <f>IF(Data_Override!R250="",Data!R250,Data_Override!R250)</f>
        <v>2.74</v>
      </c>
      <c r="X250" s="139">
        <f>IF(Data_Override!S250="",Data!S250,Data_Override!S250)</f>
        <v>2.74</v>
      </c>
      <c r="Y250" s="140">
        <f t="shared" si="66"/>
        <v>0</v>
      </c>
      <c r="Z250" s="140">
        <f t="shared" si="67"/>
        <v>2.74</v>
      </c>
      <c r="AB250" s="139">
        <f>IF(Data_Override!U250="",Data!U250,Data_Override!U250)</f>
        <v>87.692192146928704</v>
      </c>
      <c r="AC250" s="139">
        <f>IF(Data_Override!V250="",Data!V250,Data_Override!V250)</f>
        <v>14941.896551138299</v>
      </c>
      <c r="AD250" s="139">
        <f>IF(Data_Override!W250="",Data!W250,Data_Override!W250)</f>
        <v>1037.27309906292</v>
      </c>
    </row>
    <row r="251" spans="1:30" x14ac:dyDescent="0.2">
      <c r="A251" s="141" t="s">
        <v>274</v>
      </c>
      <c r="B251" s="142" t="s">
        <v>38</v>
      </c>
      <c r="C251" s="142" t="s">
        <v>74</v>
      </c>
      <c r="D251" s="19" t="str">
        <f t="shared" si="63"/>
        <v>22</v>
      </c>
      <c r="E251" s="139">
        <f>IF(Data_Override!D251="",Data!D251,Data_Override!D251)</f>
        <v>5.4322316345902504</v>
      </c>
      <c r="F251" s="139">
        <f>IF(Data_Override!E251="",Data!E251,Data_Override!E251)</f>
        <v>5.8004616533096804</v>
      </c>
      <c r="G251" s="139">
        <f>IF(Data_Override!F251="",Data!F251,Data_Override!F251)</f>
        <v>11.421704464725501</v>
      </c>
      <c r="H251" s="139">
        <f>IF(Data_Override!G251="",Data!G251,Data_Override!G251)</f>
        <v>11.421704464725501</v>
      </c>
      <c r="I251" s="140">
        <f t="shared" si="64"/>
        <v>11.232693287899931</v>
      </c>
      <c r="J251" s="140">
        <f t="shared" si="65"/>
        <v>22.843408929451002</v>
      </c>
      <c r="L251" s="139">
        <f>IF(Data_Override!I251="",Data!I251,Data_Override!I251)</f>
        <v>0</v>
      </c>
      <c r="M251" s="139">
        <f>IF(Data_Override!J251="",Data!J251,Data_Override!J251)</f>
        <v>0</v>
      </c>
      <c r="N251" s="139">
        <f>IF(Data_Override!K251="",Data!K251,Data_Override!K251)</f>
        <v>1.1258284690815901</v>
      </c>
      <c r="O251" s="139">
        <f>IF(Data_Override!L251="",Data!L251,Data_Override!L251)</f>
        <v>1.1258284690815901</v>
      </c>
      <c r="P251" s="140">
        <f t="shared" si="68"/>
        <v>0</v>
      </c>
      <c r="Q251" s="140">
        <f t="shared" si="69"/>
        <v>2.2516569381631801</v>
      </c>
      <c r="S251" s="139">
        <f>IF(Data_Override!N251="",Data!N251,Data_Override!N251)</f>
        <v>199.614</v>
      </c>
      <c r="U251" s="139">
        <f>IF(Data_Override!P251="",Data!P251,Data_Override!P251)</f>
        <v>0</v>
      </c>
      <c r="V251" s="139">
        <f>IF(Data_Override!Q251="",Data!Q251,Data_Override!Q251)</f>
        <v>0</v>
      </c>
      <c r="W251" s="139">
        <f>IF(Data_Override!R251="",Data!R251,Data_Override!R251)</f>
        <v>3.51</v>
      </c>
      <c r="X251" s="139">
        <f>IF(Data_Override!S251="",Data!S251,Data_Override!S251)</f>
        <v>3.51</v>
      </c>
      <c r="Y251" s="140">
        <f t="shared" si="66"/>
        <v>0</v>
      </c>
      <c r="Z251" s="140">
        <f t="shared" si="67"/>
        <v>3.51</v>
      </c>
      <c r="AB251" s="139">
        <f>IF(Data_Override!U251="",Data!U251,Data_Override!U251)</f>
        <v>86.951733804650203</v>
      </c>
      <c r="AC251" s="139">
        <f>IF(Data_Override!V251="",Data!V251,Data_Override!V251)</f>
        <v>15032.1834129903</v>
      </c>
      <c r="AD251" s="139">
        <f>IF(Data_Override!W251="",Data!W251,Data_Override!W251)</f>
        <v>1047.4744511378799</v>
      </c>
    </row>
    <row r="252" spans="1:30" x14ac:dyDescent="0.2">
      <c r="A252" s="141" t="s">
        <v>275</v>
      </c>
      <c r="B252" s="142" t="s">
        <v>38</v>
      </c>
      <c r="C252" s="142" t="s">
        <v>75</v>
      </c>
      <c r="D252" s="19" t="str">
        <f t="shared" si="63"/>
        <v>23</v>
      </c>
      <c r="E252" s="139">
        <f>IF(Data_Override!D252="",Data!D252,Data_Override!D252)</f>
        <v>5.32855273929425</v>
      </c>
      <c r="F252" s="139">
        <f>IF(Data_Override!E252="",Data!E252,Data_Override!E252)</f>
        <v>5.6890929482967598</v>
      </c>
      <c r="G252" s="139">
        <f>IF(Data_Override!F252="",Data!F252,Data_Override!F252)</f>
        <v>12.716297202654999</v>
      </c>
      <c r="H252" s="139">
        <f>IF(Data_Override!G252="",Data!G252,Data_Override!G252)</f>
        <v>12.716297202654999</v>
      </c>
      <c r="I252" s="140">
        <f t="shared" si="64"/>
        <v>11.01764568759101</v>
      </c>
      <c r="J252" s="140">
        <f t="shared" si="65"/>
        <v>25.432594405309999</v>
      </c>
      <c r="L252" s="139">
        <f>IF(Data_Override!I252="",Data!I252,Data_Override!I252)</f>
        <v>0</v>
      </c>
      <c r="M252" s="139">
        <f>IF(Data_Override!J252="",Data!J252,Data_Override!J252)</f>
        <v>0</v>
      </c>
      <c r="N252" s="139">
        <f>IF(Data_Override!K252="",Data!K252,Data_Override!K252)</f>
        <v>1.6105177581905701</v>
      </c>
      <c r="O252" s="139">
        <f>IF(Data_Override!L252="",Data!L252,Data_Override!L252)</f>
        <v>1.6105177581905701</v>
      </c>
      <c r="P252" s="140">
        <f t="shared" si="68"/>
        <v>0</v>
      </c>
      <c r="Q252" s="140">
        <f t="shared" si="69"/>
        <v>3.2210355163811402</v>
      </c>
      <c r="S252" s="139">
        <f>IF(Data_Override!N252="",Data!N252,Data_Override!N252)</f>
        <v>208.20400000000001</v>
      </c>
      <c r="U252" s="139">
        <f>IF(Data_Override!P252="",Data!P252,Data_Override!P252)</f>
        <v>0</v>
      </c>
      <c r="V252" s="139">
        <f>IF(Data_Override!Q252="",Data!Q252,Data_Override!Q252)</f>
        <v>0</v>
      </c>
      <c r="W252" s="139">
        <f>IF(Data_Override!R252="",Data!R252,Data_Override!R252)</f>
        <v>6.55</v>
      </c>
      <c r="X252" s="139">
        <f>IF(Data_Override!S252="",Data!S252,Data_Override!S252)</f>
        <v>6.55</v>
      </c>
      <c r="Y252" s="140">
        <f t="shared" si="66"/>
        <v>0</v>
      </c>
      <c r="Z252" s="140">
        <f t="shared" si="67"/>
        <v>6.55</v>
      </c>
      <c r="AB252" s="139">
        <f>IF(Data_Override!U252="",Data!U252,Data_Override!U252)</f>
        <v>83.201204771109005</v>
      </c>
      <c r="AC252" s="139">
        <f>IF(Data_Override!V252="",Data!V252,Data_Override!V252)</f>
        <v>15128.099786786201</v>
      </c>
      <c r="AD252" s="139">
        <f>IF(Data_Override!W252="",Data!W252,Data_Override!W252)</f>
        <v>1057.8287751004</v>
      </c>
    </row>
    <row r="253" spans="1:30" x14ac:dyDescent="0.2">
      <c r="A253" s="141" t="s">
        <v>276</v>
      </c>
      <c r="B253" s="142" t="s">
        <v>38</v>
      </c>
      <c r="C253" s="142" t="s">
        <v>76</v>
      </c>
      <c r="D253" s="19" t="str">
        <f t="shared" si="63"/>
        <v>24</v>
      </c>
      <c r="E253" s="139">
        <f>IF(Data_Override!D253="",Data!D253,Data_Override!D253)</f>
        <v>0.650872486069768</v>
      </c>
      <c r="F253" s="139">
        <f>IF(Data_Override!E253="",Data!E253,Data_Override!E253)</f>
        <v>0.999503842198326</v>
      </c>
      <c r="G253" s="139">
        <f>IF(Data_Override!F253="",Data!F253,Data_Override!F253)</f>
        <v>6.6267913257149598</v>
      </c>
      <c r="H253" s="139">
        <f>IF(Data_Override!G253="",Data!G253,Data_Override!G253)</f>
        <v>6.6267913257149598</v>
      </c>
      <c r="I253" s="140">
        <f t="shared" si="64"/>
        <v>1.6503763282680941</v>
      </c>
      <c r="J253" s="140">
        <f t="shared" si="65"/>
        <v>13.25358265142992</v>
      </c>
      <c r="L253" s="139">
        <f>IF(Data_Override!I253="",Data!I253,Data_Override!I253)</f>
        <v>8.6985628805772403E-2</v>
      </c>
      <c r="M253" s="139">
        <f>IF(Data_Override!J253="",Data!J253,Data_Override!J253)</f>
        <v>9.0536062634579501E-2</v>
      </c>
      <c r="N253" s="139">
        <f>IF(Data_Override!K253="",Data!K253,Data_Override!K253)</f>
        <v>2.22442827581333</v>
      </c>
      <c r="O253" s="139">
        <f>IF(Data_Override!L253="",Data!L253,Data_Override!L253)</f>
        <v>2.22442827581333</v>
      </c>
      <c r="P253" s="140">
        <f t="shared" si="68"/>
        <v>0.1775216914403519</v>
      </c>
      <c r="Q253" s="140">
        <f t="shared" si="69"/>
        <v>4.44885655162666</v>
      </c>
      <c r="S253" s="139">
        <f>IF(Data_Override!N253="",Data!N253,Data_Override!N253)</f>
        <v>186.19499999999999</v>
      </c>
      <c r="U253" s="139">
        <f>IF(Data_Override!P253="",Data!P253,Data_Override!P253)</f>
        <v>18.18</v>
      </c>
      <c r="V253" s="139">
        <f>IF(Data_Override!Q253="",Data!Q253,Data_Override!Q253)</f>
        <v>0</v>
      </c>
      <c r="W253" s="139">
        <f>IF(Data_Override!R253="",Data!R253,Data_Override!R253)</f>
        <v>6.95</v>
      </c>
      <c r="X253" s="139">
        <f>IF(Data_Override!S253="",Data!S253,Data_Override!S253)</f>
        <v>6.95</v>
      </c>
      <c r="Y253" s="140">
        <f t="shared" si="66"/>
        <v>18.18</v>
      </c>
      <c r="Z253" s="140">
        <f t="shared" si="67"/>
        <v>6.95</v>
      </c>
      <c r="AB253" s="139">
        <f>IF(Data_Override!U253="",Data!U253,Data_Override!U253)</f>
        <v>79.082168159882599</v>
      </c>
      <c r="AC253" s="139">
        <f>IF(Data_Override!V253="",Data!V253,Data_Override!V253)</f>
        <v>15216.215672525899</v>
      </c>
      <c r="AD253" s="139">
        <f>IF(Data_Override!W253="",Data!W253,Data_Override!W253)</f>
        <v>1068.3383868808601</v>
      </c>
    </row>
    <row r="254" spans="1:30" x14ac:dyDescent="0.2">
      <c r="A254" s="141" t="s">
        <v>277</v>
      </c>
      <c r="B254" s="142" t="s">
        <v>38</v>
      </c>
      <c r="C254" s="142" t="s">
        <v>24</v>
      </c>
      <c r="D254" s="19" t="str">
        <f t="shared" si="63"/>
        <v>25</v>
      </c>
      <c r="E254" s="139">
        <f>IF(Data_Override!D254="",Data!D254,Data_Override!D254)</f>
        <v>0.80673349298728803</v>
      </c>
      <c r="F254" s="139">
        <f>IF(Data_Override!E254="",Data!E254,Data_Override!E254)</f>
        <v>1.2672464852172101</v>
      </c>
      <c r="G254" s="139">
        <f>IF(Data_Override!F254="",Data!F254,Data_Override!F254)</f>
        <v>7.9093044193680804</v>
      </c>
      <c r="H254" s="139">
        <f>IF(Data_Override!G254="",Data!G254,Data_Override!G254)</f>
        <v>7.9093044193680804</v>
      </c>
      <c r="I254" s="140">
        <f t="shared" si="64"/>
        <v>2.0739799782044983</v>
      </c>
      <c r="J254" s="140">
        <f t="shared" si="65"/>
        <v>15.818608838736161</v>
      </c>
      <c r="L254" s="139">
        <f>IF(Data_Override!I254="",Data!I254,Data_Override!I254)</f>
        <v>8.60070404817075E-2</v>
      </c>
      <c r="M254" s="139">
        <f>IF(Data_Override!J254="",Data!J254,Data_Override!J254)</f>
        <v>8.9517531929940497E-2</v>
      </c>
      <c r="N254" s="139">
        <f>IF(Data_Override!K254="",Data!K254,Data_Override!K254)</f>
        <v>3.0890842130391398</v>
      </c>
      <c r="O254" s="139">
        <f>IF(Data_Override!L254="",Data!L254,Data_Override!L254)</f>
        <v>3.0890842130391398</v>
      </c>
      <c r="P254" s="140">
        <f t="shared" si="68"/>
        <v>0.17552457241164798</v>
      </c>
      <c r="Q254" s="140">
        <f t="shared" si="69"/>
        <v>6.1781684260782797</v>
      </c>
      <c r="S254" s="139">
        <f>IF(Data_Override!N254="",Data!N254,Data_Override!N254)</f>
        <v>194.58799999999999</v>
      </c>
      <c r="U254" s="139">
        <f>IF(Data_Override!P254="",Data!P254,Data_Override!P254)</f>
        <v>0</v>
      </c>
      <c r="V254" s="139">
        <f>IF(Data_Override!Q254="",Data!Q254,Data_Override!Q254)</f>
        <v>0</v>
      </c>
      <c r="W254" s="139">
        <f>IF(Data_Override!R254="",Data!R254,Data_Override!R254)</f>
        <v>6.86</v>
      </c>
      <c r="X254" s="139">
        <f>IF(Data_Override!S254="",Data!S254,Data_Override!S254)</f>
        <v>6.86</v>
      </c>
      <c r="Y254" s="140">
        <f t="shared" si="66"/>
        <v>0</v>
      </c>
      <c r="Z254" s="140">
        <f t="shared" si="67"/>
        <v>6.86</v>
      </c>
      <c r="AB254" s="139">
        <f>IF(Data_Override!U254="",Data!U254,Data_Override!U254)</f>
        <v>75.075874259341404</v>
      </c>
      <c r="AC254" s="139">
        <f>IF(Data_Override!V254="",Data!V254,Data_Override!V254)</f>
        <v>15382.7868570254</v>
      </c>
      <c r="AD254" s="139">
        <f>IF(Data_Override!W254="",Data!W254,Data_Override!W254)</f>
        <v>1079.0054149933101</v>
      </c>
    </row>
    <row r="255" spans="1:30" hidden="1" x14ac:dyDescent="0.2">
      <c r="A255" s="138" t="str">
        <f t="shared" ref="A255" si="71">B255&amp;RIGHT(C255,2)</f>
        <v>SSC12</v>
      </c>
      <c r="B255" s="19" t="s">
        <v>39</v>
      </c>
      <c r="C255" s="143" t="s">
        <v>64</v>
      </c>
      <c r="D255" s="19" t="str">
        <f t="shared" si="63"/>
        <v>12</v>
      </c>
      <c r="E255" s="139">
        <f>IF(Data_Override!D255="",Data!D255,Data_Override!D255)</f>
        <v>1.2351793155824301E-3</v>
      </c>
      <c r="F255" s="139">
        <f>IF(Data_Override!E255="",Data!E255,Data_Override!E255)</f>
        <v>0.45601576518909998</v>
      </c>
      <c r="G255" s="139">
        <f>IF(Data_Override!F255="",Data!F255,Data_Override!F255)</f>
        <v>0</v>
      </c>
      <c r="H255" s="139">
        <f>IF(Data_Override!G255="",Data!G255,Data_Override!G255)</f>
        <v>7.8820618500808695E-2</v>
      </c>
      <c r="I255" s="140">
        <f t="shared" si="64"/>
        <v>0.4572509445046824</v>
      </c>
      <c r="J255" s="140">
        <f t="shared" si="65"/>
        <v>7.8820618500808695E-2</v>
      </c>
      <c r="L255" s="139">
        <f>IF(Data_Override!I255="",Data!I255,Data_Override!I255)</f>
        <v>0</v>
      </c>
      <c r="M255" s="139">
        <f>IF(Data_Override!J255="",Data!J255,Data_Override!J255)</f>
        <v>0</v>
      </c>
      <c r="N255" s="139">
        <f>IF(Data_Override!K255="",Data!K255,Data_Override!K255)</f>
        <v>0</v>
      </c>
      <c r="O255" s="139">
        <f>IF(Data_Override!L255="",Data!L255,Data_Override!L255)</f>
        <v>0</v>
      </c>
      <c r="P255" s="140">
        <f t="shared" si="68"/>
        <v>0</v>
      </c>
      <c r="Q255" s="140">
        <f t="shared" si="69"/>
        <v>0</v>
      </c>
      <c r="S255" s="139">
        <f>IF(Data_Override!N255="",Data!N255,Data_Override!N255)</f>
        <v>79.0064108590432</v>
      </c>
      <c r="U255" s="139">
        <f>IF(Data_Override!P255="",Data!P255,Data_Override!P255)</f>
        <v>0</v>
      </c>
      <c r="V255" s="139">
        <f>IF(Data_Override!Q255="",Data!Q255,Data_Override!Q255)</f>
        <v>0</v>
      </c>
      <c r="W255" s="139">
        <f>IF(Data_Override!R255="",Data!R255,Data_Override!R255)</f>
        <v>0</v>
      </c>
      <c r="X255" s="139">
        <f>IF(Data_Override!S255="",Data!S255,Data_Override!S255)</f>
        <v>0</v>
      </c>
      <c r="Y255" s="140">
        <f t="shared" si="66"/>
        <v>0</v>
      </c>
      <c r="Z255" s="140">
        <f t="shared" si="67"/>
        <v>0</v>
      </c>
      <c r="AB255" s="139">
        <f>IF(Data_Override!U255="",Data!U255,Data_Override!U255)</f>
        <v>0</v>
      </c>
      <c r="AC255" s="139">
        <f>IF(Data_Override!V255="",Data!V255,Data_Override!V255)</f>
        <v>0</v>
      </c>
      <c r="AD255" s="139">
        <f>IF(Data_Override!W255="",Data!W255,Data_Override!W255)</f>
        <v>0</v>
      </c>
    </row>
    <row r="256" spans="1:30" hidden="1" x14ac:dyDescent="0.2">
      <c r="A256" s="138" t="str">
        <f>B256&amp;RIGHT(C256,2)</f>
        <v>SSC13</v>
      </c>
      <c r="B256" s="19" t="s">
        <v>39</v>
      </c>
      <c r="C256" s="143" t="s">
        <v>65</v>
      </c>
      <c r="D256" s="19" t="str">
        <f t="shared" si="63"/>
        <v>13</v>
      </c>
      <c r="E256" s="139">
        <f>IF(Data_Override!D256="",Data!D256,Data_Override!D256)</f>
        <v>9.4978035656508302E-4</v>
      </c>
      <c r="F256" s="139">
        <f>IF(Data_Override!E256="",Data!E256,Data_Override!E256)</f>
        <v>0.62418044239316695</v>
      </c>
      <c r="G256" s="139">
        <f>IF(Data_Override!F256="",Data!F256,Data_Override!F256)</f>
        <v>0</v>
      </c>
      <c r="H256" s="139">
        <f>IF(Data_Override!G256="",Data!G256,Data_Override!G256)</f>
        <v>7.3260482986955394E-2</v>
      </c>
      <c r="I256" s="140">
        <f t="shared" si="64"/>
        <v>0.62513022274973207</v>
      </c>
      <c r="J256" s="140">
        <f t="shared" si="65"/>
        <v>7.3260482986955394E-2</v>
      </c>
      <c r="L256" s="139">
        <f>IF(Data_Override!I256="",Data!I256,Data_Override!I256)</f>
        <v>0</v>
      </c>
      <c r="M256" s="139">
        <f>IF(Data_Override!J256="",Data!J256,Data_Override!J256)</f>
        <v>0</v>
      </c>
      <c r="N256" s="139">
        <f>IF(Data_Override!K256="",Data!K256,Data_Override!K256)</f>
        <v>0</v>
      </c>
      <c r="O256" s="139">
        <f>IF(Data_Override!L256="",Data!L256,Data_Override!L256)</f>
        <v>0</v>
      </c>
      <c r="P256" s="140">
        <f t="shared" si="68"/>
        <v>0</v>
      </c>
      <c r="Q256" s="140">
        <f t="shared" si="69"/>
        <v>0</v>
      </c>
      <c r="S256" s="139">
        <f>IF(Data_Override!N256="",Data!N256,Data_Override!N256)</f>
        <v>86.069267941825998</v>
      </c>
      <c r="U256" s="139">
        <f>IF(Data_Override!P256="",Data!P256,Data_Override!P256)</f>
        <v>0</v>
      </c>
      <c r="V256" s="139">
        <f>IF(Data_Override!Q256="",Data!Q256,Data_Override!Q256)</f>
        <v>0</v>
      </c>
      <c r="W256" s="139">
        <f>IF(Data_Override!R256="",Data!R256,Data_Override!R256)</f>
        <v>0</v>
      </c>
      <c r="X256" s="139">
        <f>IF(Data_Override!S256="",Data!S256,Data_Override!S256)</f>
        <v>0</v>
      </c>
      <c r="Y256" s="140">
        <f t="shared" si="66"/>
        <v>0</v>
      </c>
      <c r="Z256" s="140">
        <f t="shared" si="67"/>
        <v>0</v>
      </c>
      <c r="AB256" s="139">
        <f>IF(Data_Override!U256="",Data!U256,Data_Override!U256)</f>
        <v>0</v>
      </c>
      <c r="AC256" s="139">
        <f>IF(Data_Override!V256="",Data!V256,Data_Override!V256)</f>
        <v>0</v>
      </c>
      <c r="AD256" s="139">
        <f>IF(Data_Override!W256="",Data!W256,Data_Override!W256)</f>
        <v>0</v>
      </c>
    </row>
    <row r="257" spans="1:30" hidden="1" x14ac:dyDescent="0.2">
      <c r="A257" s="138" t="str">
        <f>B257&amp;RIGHT(C257,2)</f>
        <v>SSC14</v>
      </c>
      <c r="B257" s="19" t="s">
        <v>39</v>
      </c>
      <c r="C257" s="143" t="s">
        <v>66</v>
      </c>
      <c r="D257" s="19" t="str">
        <f t="shared" si="63"/>
        <v>14</v>
      </c>
      <c r="E257" s="139">
        <f>IF(Data_Override!D257="",Data!D257,Data_Override!D257)</f>
        <v>0</v>
      </c>
      <c r="F257" s="139">
        <f>IF(Data_Override!E257="",Data!E257,Data_Override!E257)</f>
        <v>0.290949489868154</v>
      </c>
      <c r="G257" s="139">
        <f>IF(Data_Override!F257="",Data!F257,Data_Override!F257)</f>
        <v>0</v>
      </c>
      <c r="H257" s="139">
        <f>IF(Data_Override!G257="",Data!G257,Data_Override!G257)</f>
        <v>8.1193841516227203E-2</v>
      </c>
      <c r="I257" s="140">
        <f t="shared" si="64"/>
        <v>0.290949489868154</v>
      </c>
      <c r="J257" s="140">
        <f t="shared" si="65"/>
        <v>8.1193841516227203E-2</v>
      </c>
      <c r="L257" s="139">
        <f>IF(Data_Override!I257="",Data!I257,Data_Override!I257)</f>
        <v>0</v>
      </c>
      <c r="M257" s="139">
        <f>IF(Data_Override!J257="",Data!J257,Data_Override!J257)</f>
        <v>0</v>
      </c>
      <c r="N257" s="139">
        <f>IF(Data_Override!K257="",Data!K257,Data_Override!K257)</f>
        <v>0</v>
      </c>
      <c r="O257" s="139">
        <f>IF(Data_Override!L257="",Data!L257,Data_Override!L257)</f>
        <v>0</v>
      </c>
      <c r="P257" s="140">
        <f t="shared" si="68"/>
        <v>0</v>
      </c>
      <c r="Q257" s="140">
        <f t="shared" si="69"/>
        <v>0</v>
      </c>
      <c r="S257" s="139">
        <f>IF(Data_Override!N257="",Data!N257,Data_Override!N257)</f>
        <v>80.006591644689095</v>
      </c>
      <c r="U257" s="139">
        <f>IF(Data_Override!P257="",Data!P257,Data_Override!P257)</f>
        <v>0</v>
      </c>
      <c r="V257" s="139">
        <f>IF(Data_Override!Q257="",Data!Q257,Data_Override!Q257)</f>
        <v>0</v>
      </c>
      <c r="W257" s="139">
        <f>IF(Data_Override!R257="",Data!R257,Data_Override!R257)</f>
        <v>0</v>
      </c>
      <c r="X257" s="139">
        <f>IF(Data_Override!S257="",Data!S257,Data_Override!S257)</f>
        <v>0</v>
      </c>
      <c r="Y257" s="140">
        <f t="shared" si="66"/>
        <v>0</v>
      </c>
      <c r="Z257" s="140">
        <f t="shared" si="67"/>
        <v>0</v>
      </c>
      <c r="AB257" s="139">
        <f>IF(Data_Override!U257="",Data!U257,Data_Override!U257)</f>
        <v>0</v>
      </c>
      <c r="AC257" s="139">
        <f>IF(Data_Override!V257="",Data!V257,Data_Override!V257)</f>
        <v>0</v>
      </c>
      <c r="AD257" s="139">
        <f>IF(Data_Override!W257="",Data!W257,Data_Override!W257)</f>
        <v>0</v>
      </c>
    </row>
    <row r="258" spans="1:30" hidden="1" x14ac:dyDescent="0.2">
      <c r="A258" s="138" t="str">
        <f>B258&amp;RIGHT(C258,2)</f>
        <v>SSC15</v>
      </c>
      <c r="B258" s="19" t="s">
        <v>39</v>
      </c>
      <c r="C258" s="143" t="s">
        <v>67</v>
      </c>
      <c r="D258" s="19" t="str">
        <f t="shared" si="63"/>
        <v>15</v>
      </c>
      <c r="E258" s="139">
        <f>IF(Data_Override!D258="",Data!D258,Data_Override!D258)</f>
        <v>0</v>
      </c>
      <c r="F258" s="139">
        <f>IF(Data_Override!E258="",Data!E258,Data_Override!E258)</f>
        <v>0.57969006308348003</v>
      </c>
      <c r="G258" s="139">
        <f>IF(Data_Override!F258="",Data!F258,Data_Override!F258)</f>
        <v>0</v>
      </c>
      <c r="H258" s="139">
        <f>IF(Data_Override!G258="",Data!G258,Data_Override!G258)</f>
        <v>5.0609609360741999E-2</v>
      </c>
      <c r="I258" s="140">
        <f t="shared" si="64"/>
        <v>0.57969006308348003</v>
      </c>
      <c r="J258" s="140">
        <f t="shared" si="65"/>
        <v>5.0609609360741999E-2</v>
      </c>
      <c r="L258" s="139">
        <f>IF(Data_Override!I258="",Data!I258,Data_Override!I258)</f>
        <v>0</v>
      </c>
      <c r="M258" s="139">
        <f>IF(Data_Override!J258="",Data!J258,Data_Override!J258)</f>
        <v>0</v>
      </c>
      <c r="N258" s="139">
        <f>IF(Data_Override!K258="",Data!K258,Data_Override!K258)</f>
        <v>0</v>
      </c>
      <c r="O258" s="139">
        <f>IF(Data_Override!L258="",Data!L258,Data_Override!L258)</f>
        <v>0</v>
      </c>
      <c r="P258" s="140">
        <f t="shared" si="68"/>
        <v>0</v>
      </c>
      <c r="Q258" s="140">
        <f t="shared" si="69"/>
        <v>0</v>
      </c>
      <c r="S258" s="139">
        <f>IF(Data_Override!N258="",Data!N258,Data_Override!N258)</f>
        <v>80.054060597420104</v>
      </c>
      <c r="U258" s="139">
        <f>IF(Data_Override!P258="",Data!P258,Data_Override!P258)</f>
        <v>0</v>
      </c>
      <c r="V258" s="139">
        <f>IF(Data_Override!Q258="",Data!Q258,Data_Override!Q258)</f>
        <v>0</v>
      </c>
      <c r="W258" s="139">
        <f>IF(Data_Override!R258="",Data!R258,Data_Override!R258)</f>
        <v>0</v>
      </c>
      <c r="X258" s="139">
        <f>IF(Data_Override!S258="",Data!S258,Data_Override!S258)</f>
        <v>0</v>
      </c>
      <c r="Y258" s="140">
        <f t="shared" si="66"/>
        <v>0</v>
      </c>
      <c r="Z258" s="140">
        <f t="shared" si="67"/>
        <v>0</v>
      </c>
      <c r="AB258" s="139">
        <f>IF(Data_Override!U258="",Data!U258,Data_Override!U258)</f>
        <v>0</v>
      </c>
      <c r="AC258" s="139">
        <f>IF(Data_Override!V258="",Data!V258,Data_Override!V258)</f>
        <v>0</v>
      </c>
      <c r="AD258" s="139">
        <f>IF(Data_Override!W258="",Data!W258,Data_Override!W258)</f>
        <v>0</v>
      </c>
    </row>
    <row r="259" spans="1:30" hidden="1" x14ac:dyDescent="0.2">
      <c r="A259" s="145" t="str">
        <f>B259&amp;RIGHT(C259,2)</f>
        <v>SSC16</v>
      </c>
      <c r="B259" s="19" t="s">
        <v>39</v>
      </c>
      <c r="C259" s="19" t="s">
        <v>68</v>
      </c>
      <c r="D259" s="19" t="str">
        <f t="shared" ref="D259:D296" si="72">RIGHT(A259,2)</f>
        <v>16</v>
      </c>
      <c r="E259" s="139">
        <f>IF(Data_Override!D259="",Data!D259,Data_Override!D259)</f>
        <v>0</v>
      </c>
      <c r="F259" s="139">
        <f>IF(Data_Override!E259="",Data!E259,Data_Override!E259)</f>
        <v>0.48319990912312799</v>
      </c>
      <c r="G259" s="139">
        <f>IF(Data_Override!F259="",Data!F259,Data_Override!F259)</f>
        <v>0</v>
      </c>
      <c r="H259" s="139">
        <f>IF(Data_Override!G259="",Data!G259,Data_Override!G259)</f>
        <v>8.4437921322795303E-2</v>
      </c>
      <c r="I259" s="140">
        <f t="shared" ref="I259:I296" si="73">IFERROR(SUM(E259:F259),"")</f>
        <v>0.48319990912312799</v>
      </c>
      <c r="J259" s="140">
        <f t="shared" ref="J259:J296" si="74">IFERROR(SUM(G259:H259),"")</f>
        <v>8.4437921322795303E-2</v>
      </c>
      <c r="L259" s="139">
        <f>IF(Data_Override!I259="",Data!I259,Data_Override!I259)</f>
        <v>0</v>
      </c>
      <c r="M259" s="139">
        <f>IF(Data_Override!J259="",Data!J259,Data_Override!J259)</f>
        <v>0</v>
      </c>
      <c r="N259" s="139">
        <f>IF(Data_Override!K259="",Data!K259,Data_Override!K259)</f>
        <v>0</v>
      </c>
      <c r="O259" s="139">
        <f>IF(Data_Override!L259="",Data!L259,Data_Override!L259)</f>
        <v>0</v>
      </c>
      <c r="P259" s="140">
        <f t="shared" si="68"/>
        <v>0</v>
      </c>
      <c r="Q259" s="140">
        <f t="shared" si="69"/>
        <v>0</v>
      </c>
      <c r="S259" s="139">
        <f>IF(Data_Override!N259="",Data!N259,Data_Override!N259)</f>
        <v>83.403541598416098</v>
      </c>
      <c r="U259" s="139">
        <f>IF(Data_Override!P259="",Data!P259,Data_Override!P259)</f>
        <v>0</v>
      </c>
      <c r="V259" s="139">
        <f>IF(Data_Override!Q259="",Data!Q259,Data_Override!Q259)</f>
        <v>0</v>
      </c>
      <c r="W259" s="139">
        <f>IF(Data_Override!R259="",Data!R259,Data_Override!R259)</f>
        <v>0</v>
      </c>
      <c r="X259" s="139">
        <f>IF(Data_Override!S259="",Data!S259,Data_Override!S259)</f>
        <v>0</v>
      </c>
      <c r="Y259" s="140">
        <f t="shared" si="66"/>
        <v>0</v>
      </c>
      <c r="Z259" s="140">
        <f t="shared" si="67"/>
        <v>0</v>
      </c>
      <c r="AB259" s="139">
        <f>IF(Data_Override!U259="",Data!U259,Data_Override!U259)</f>
        <v>0</v>
      </c>
      <c r="AC259" s="139">
        <f>IF(Data_Override!V259="",Data!V259,Data_Override!V259)</f>
        <v>0</v>
      </c>
      <c r="AD259" s="139">
        <f>IF(Data_Override!W259="",Data!W259,Data_Override!W259)</f>
        <v>0</v>
      </c>
    </row>
    <row r="260" spans="1:30" hidden="1" x14ac:dyDescent="0.2">
      <c r="A260" s="145" t="str">
        <f>B260&amp;RIGHT(C260,2)</f>
        <v>SSC17</v>
      </c>
      <c r="B260" s="19" t="s">
        <v>39</v>
      </c>
      <c r="C260" s="19" t="s">
        <v>69</v>
      </c>
      <c r="D260" s="19" t="str">
        <f t="shared" si="72"/>
        <v>17</v>
      </c>
      <c r="E260" s="139">
        <f>IF(Data_Override!D260="",Data!D260,Data_Override!D260)</f>
        <v>0</v>
      </c>
      <c r="F260" s="139">
        <f>IF(Data_Override!E260="",Data!E260,Data_Override!E260)</f>
        <v>0.50395085945135498</v>
      </c>
      <c r="G260" s="139">
        <f>IF(Data_Override!F260="",Data!F260,Data_Override!F260)</f>
        <v>0</v>
      </c>
      <c r="H260" s="139">
        <f>IF(Data_Override!G260="",Data!G260,Data_Override!G260)</f>
        <v>8.4005579461777502E-2</v>
      </c>
      <c r="I260" s="140">
        <f t="shared" si="73"/>
        <v>0.50395085945135498</v>
      </c>
      <c r="J260" s="140">
        <f t="shared" si="74"/>
        <v>8.4005579461777502E-2</v>
      </c>
      <c r="L260" s="139">
        <f>IF(Data_Override!I260="",Data!I260,Data_Override!I260)</f>
        <v>0</v>
      </c>
      <c r="M260" s="139">
        <f>IF(Data_Override!J260="",Data!J260,Data_Override!J260)</f>
        <v>0</v>
      </c>
      <c r="N260" s="139">
        <f>IF(Data_Override!K260="",Data!K260,Data_Override!K260)</f>
        <v>0</v>
      </c>
      <c r="O260" s="139">
        <f>IF(Data_Override!L260="",Data!L260,Data_Override!L260)</f>
        <v>0</v>
      </c>
      <c r="P260" s="140">
        <f t="shared" si="68"/>
        <v>0</v>
      </c>
      <c r="Q260" s="140">
        <f t="shared" si="69"/>
        <v>0</v>
      </c>
      <c r="S260" s="139">
        <f>IF(Data_Override!N260="",Data!N260,Data_Override!N260)</f>
        <v>87.872952272695997</v>
      </c>
      <c r="U260" s="139">
        <f>IF(Data_Override!P260="",Data!P260,Data_Override!P260)</f>
        <v>0</v>
      </c>
      <c r="V260" s="139">
        <f>IF(Data_Override!Q260="",Data!Q260,Data_Override!Q260)</f>
        <v>0</v>
      </c>
      <c r="W260" s="139">
        <f>IF(Data_Override!R260="",Data!R260,Data_Override!R260)</f>
        <v>0</v>
      </c>
      <c r="X260" s="139">
        <f>IF(Data_Override!S260="",Data!S260,Data_Override!S260)</f>
        <v>0</v>
      </c>
      <c r="Y260" s="140">
        <f t="shared" si="66"/>
        <v>0</v>
      </c>
      <c r="Z260" s="140">
        <f t="shared" si="67"/>
        <v>0</v>
      </c>
      <c r="AB260" s="139">
        <f>IF(Data_Override!U260="",Data!U260,Data_Override!U260)</f>
        <v>0</v>
      </c>
      <c r="AC260" s="139">
        <f>IF(Data_Override!V260="",Data!V260,Data_Override!V260)</f>
        <v>0</v>
      </c>
      <c r="AD260" s="139">
        <f>IF(Data_Override!W260="",Data!W260,Data_Override!W260)</f>
        <v>0</v>
      </c>
    </row>
    <row r="261" spans="1:30" hidden="1" x14ac:dyDescent="0.2">
      <c r="A261" s="141" t="s">
        <v>278</v>
      </c>
      <c r="B261" s="142" t="s">
        <v>39</v>
      </c>
      <c r="C261" s="142" t="s">
        <v>70</v>
      </c>
      <c r="D261" s="19" t="str">
        <f t="shared" si="72"/>
        <v>18</v>
      </c>
      <c r="E261" s="139">
        <f>IF(Data_Override!D261="",Data!D261,Data_Override!D261)</f>
        <v>0</v>
      </c>
      <c r="F261" s="139">
        <f>IF(Data_Override!E261="",Data!E261,Data_Override!E261)</f>
        <v>0</v>
      </c>
      <c r="G261" s="139">
        <f>IF(Data_Override!F261="",Data!F261,Data_Override!F261)</f>
        <v>8.9639999999999997E-3</v>
      </c>
      <c r="H261" s="139">
        <f>IF(Data_Override!G261="",Data!G261,Data_Override!G261)</f>
        <v>6.5045420000000007E-2</v>
      </c>
      <c r="I261" s="140">
        <f t="shared" si="73"/>
        <v>0</v>
      </c>
      <c r="J261" s="140">
        <f t="shared" si="74"/>
        <v>7.4009420000000006E-2</v>
      </c>
      <c r="L261" s="139">
        <f>IF(Data_Override!I261="",Data!I261,Data_Override!I261)</f>
        <v>0</v>
      </c>
      <c r="M261" s="139">
        <f>IF(Data_Override!J261="",Data!J261,Data_Override!J261)</f>
        <v>0</v>
      </c>
      <c r="N261" s="139">
        <f>IF(Data_Override!K261="",Data!K261,Data_Override!K261)</f>
        <v>0</v>
      </c>
      <c r="O261" s="139">
        <f>IF(Data_Override!L261="",Data!L261,Data_Override!L261)</f>
        <v>0</v>
      </c>
      <c r="P261" s="140">
        <f t="shared" si="68"/>
        <v>0</v>
      </c>
      <c r="Q261" s="140">
        <f t="shared" si="69"/>
        <v>0</v>
      </c>
      <c r="S261" s="139">
        <f>IF(Data_Override!N261="",Data!N261,Data_Override!N261)</f>
        <v>95.270778007395606</v>
      </c>
      <c r="U261" s="139">
        <f>IF(Data_Override!P261="",Data!P261,Data_Override!P261)</f>
        <v>0</v>
      </c>
      <c r="V261" s="139">
        <f>IF(Data_Override!Q261="",Data!Q261,Data_Override!Q261)</f>
        <v>0</v>
      </c>
      <c r="W261" s="139">
        <f>IF(Data_Override!R261="",Data!R261,Data_Override!R261)</f>
        <v>0.17</v>
      </c>
      <c r="X261" s="139">
        <f>IF(Data_Override!S261="",Data!S261,Data_Override!S261)</f>
        <v>0.17</v>
      </c>
      <c r="Y261" s="140">
        <f t="shared" si="66"/>
        <v>0</v>
      </c>
      <c r="Z261" s="140">
        <f t="shared" si="67"/>
        <v>0.17</v>
      </c>
      <c r="AB261" s="139">
        <f>IF(Data_Override!U261="",Data!U261,Data_Override!U261)</f>
        <v>86.8</v>
      </c>
      <c r="AC261" s="139">
        <f>IF(Data_Override!V261="",Data!V261,Data_Override!V261)</f>
        <v>8490.91</v>
      </c>
      <c r="AD261" s="139">
        <f>IF(Data_Override!W261="",Data!W261,Data_Override!W261)</f>
        <v>735.85799999999995</v>
      </c>
    </row>
    <row r="262" spans="1:30" hidden="1" x14ac:dyDescent="0.2">
      <c r="A262" s="141" t="s">
        <v>279</v>
      </c>
      <c r="B262" s="142" t="s">
        <v>39</v>
      </c>
      <c r="C262" s="142" t="s">
        <v>71</v>
      </c>
      <c r="D262" s="19" t="str">
        <f t="shared" si="72"/>
        <v>19</v>
      </c>
      <c r="E262" s="139">
        <f>IF(Data_Override!D262="",Data!D262,Data_Override!D262)</f>
        <v>0</v>
      </c>
      <c r="F262" s="139">
        <f>IF(Data_Override!E262="",Data!E262,Data_Override!E262)</f>
        <v>0</v>
      </c>
      <c r="G262" s="139">
        <f>IF(Data_Override!F262="",Data!F262,Data_Override!F262)</f>
        <v>0</v>
      </c>
      <c r="H262" s="139">
        <f>IF(Data_Override!G262="",Data!G262,Data_Override!G262)</f>
        <v>0.11027083678946099</v>
      </c>
      <c r="I262" s="140">
        <f t="shared" si="73"/>
        <v>0</v>
      </c>
      <c r="J262" s="140">
        <f t="shared" si="74"/>
        <v>0.11027083678946099</v>
      </c>
      <c r="L262" s="139">
        <f>IF(Data_Override!I262="",Data!I262,Data_Override!I262)</f>
        <v>0</v>
      </c>
      <c r="M262" s="139">
        <f>IF(Data_Override!J262="",Data!J262,Data_Override!J262)</f>
        <v>0</v>
      </c>
      <c r="N262" s="139">
        <f>IF(Data_Override!K262="",Data!K262,Data_Override!K262)</f>
        <v>0</v>
      </c>
      <c r="O262" s="139">
        <f>IF(Data_Override!L262="",Data!L262,Data_Override!L262)</f>
        <v>0</v>
      </c>
      <c r="P262" s="140">
        <f t="shared" si="68"/>
        <v>0</v>
      </c>
      <c r="Q262" s="140">
        <f t="shared" si="69"/>
        <v>0</v>
      </c>
      <c r="S262" s="139">
        <f>IF(Data_Override!N262="",Data!N262,Data_Override!N262)</f>
        <v>91.752237451250195</v>
      </c>
      <c r="U262" s="139">
        <f>IF(Data_Override!P262="",Data!P262,Data_Override!P262)</f>
        <v>0</v>
      </c>
      <c r="V262" s="139">
        <f>IF(Data_Override!Q262="",Data!Q262,Data_Override!Q262)</f>
        <v>0</v>
      </c>
      <c r="W262" s="139">
        <f>IF(Data_Override!R262="",Data!R262,Data_Override!R262)</f>
        <v>0.17</v>
      </c>
      <c r="X262" s="139">
        <f>IF(Data_Override!S262="",Data!S262,Data_Override!S262)</f>
        <v>0.17</v>
      </c>
      <c r="Y262" s="140">
        <f t="shared" si="66"/>
        <v>0</v>
      </c>
      <c r="Z262" s="140">
        <f t="shared" si="67"/>
        <v>0.17</v>
      </c>
      <c r="AB262" s="139">
        <f>IF(Data_Override!U262="",Data!U262,Data_Override!U262)</f>
        <v>84</v>
      </c>
      <c r="AC262" s="139">
        <f>IF(Data_Override!V262="",Data!V262,Data_Override!V262)</f>
        <v>8570.81</v>
      </c>
      <c r="AD262" s="139">
        <f>IF(Data_Override!W262="",Data!W262,Data_Override!W262)</f>
        <v>744.84370179257701</v>
      </c>
    </row>
    <row r="263" spans="1:30" hidden="1" x14ac:dyDescent="0.2">
      <c r="A263" s="141" t="s">
        <v>280</v>
      </c>
      <c r="B263" s="142" t="s">
        <v>39</v>
      </c>
      <c r="C263" s="142" t="s">
        <v>72</v>
      </c>
      <c r="D263" s="19" t="str">
        <f t="shared" si="72"/>
        <v>20</v>
      </c>
      <c r="E263" s="139">
        <f>IF(Data_Override!D263="",Data!D263,Data_Override!D263)</f>
        <v>0</v>
      </c>
      <c r="F263" s="139">
        <f>IF(Data_Override!E263="",Data!E263,Data_Override!E263)</f>
        <v>2.4110034465886901E-2</v>
      </c>
      <c r="G263" s="139">
        <f>IF(Data_Override!F263="",Data!F263,Data_Override!F263)</f>
        <v>0</v>
      </c>
      <c r="H263" s="139">
        <f>IF(Data_Override!G263="",Data!G263,Data_Override!G263)</f>
        <v>0.117180375975018</v>
      </c>
      <c r="I263" s="140">
        <f t="shared" si="73"/>
        <v>2.4110034465886901E-2</v>
      </c>
      <c r="J263" s="140">
        <f t="shared" si="74"/>
        <v>0.117180375975018</v>
      </c>
      <c r="L263" s="139">
        <f>IF(Data_Override!I263="",Data!I263,Data_Override!I263)</f>
        <v>0</v>
      </c>
      <c r="M263" s="139">
        <f>IF(Data_Override!J263="",Data!J263,Data_Override!J263)</f>
        <v>0</v>
      </c>
      <c r="N263" s="139">
        <f>IF(Data_Override!K263="",Data!K263,Data_Override!K263)</f>
        <v>0</v>
      </c>
      <c r="O263" s="139">
        <f>IF(Data_Override!L263="",Data!L263,Data_Override!L263)</f>
        <v>0</v>
      </c>
      <c r="P263" s="140">
        <f t="shared" si="68"/>
        <v>0</v>
      </c>
      <c r="Q263" s="140">
        <f t="shared" si="69"/>
        <v>0</v>
      </c>
      <c r="S263" s="139">
        <f>IF(Data_Override!N263="",Data!N263,Data_Override!N263)</f>
        <v>91.6348792439275</v>
      </c>
      <c r="U263" s="139">
        <f>IF(Data_Override!P263="",Data!P263,Data_Override!P263)</f>
        <v>0</v>
      </c>
      <c r="V263" s="139">
        <f>IF(Data_Override!Q263="",Data!Q263,Data_Override!Q263)</f>
        <v>0</v>
      </c>
      <c r="W263" s="139">
        <f>IF(Data_Override!R263="",Data!R263,Data_Override!R263)</f>
        <v>0.17</v>
      </c>
      <c r="X263" s="139">
        <f>IF(Data_Override!S263="",Data!S263,Data_Override!S263)</f>
        <v>0.17</v>
      </c>
      <c r="Y263" s="140">
        <f t="shared" si="66"/>
        <v>0</v>
      </c>
      <c r="Z263" s="140">
        <f t="shared" si="67"/>
        <v>0.17</v>
      </c>
      <c r="AB263" s="139">
        <f>IF(Data_Override!U263="",Data!U263,Data_Override!U263)</f>
        <v>84</v>
      </c>
      <c r="AC263" s="139">
        <f>IF(Data_Override!V263="",Data!V263,Data_Override!V263)</f>
        <v>8651.91</v>
      </c>
      <c r="AD263" s="139">
        <f>IF(Data_Override!W263="",Data!W263,Data_Override!W263)</f>
        <v>753.94774969778302</v>
      </c>
    </row>
    <row r="264" spans="1:30" x14ac:dyDescent="0.2">
      <c r="A264" s="141" t="s">
        <v>281</v>
      </c>
      <c r="B264" s="142" t="s">
        <v>39</v>
      </c>
      <c r="C264" s="142" t="s">
        <v>73</v>
      </c>
      <c r="D264" s="19" t="str">
        <f t="shared" si="72"/>
        <v>21</v>
      </c>
      <c r="E264" s="139">
        <f>IF(Data_Override!D264="",Data!D264,Data_Override!D264)</f>
        <v>0</v>
      </c>
      <c r="F264" s="139">
        <f>IF(Data_Override!E264="",Data!E264,Data_Override!E264)</f>
        <v>0</v>
      </c>
      <c r="G264" s="139">
        <f>IF(Data_Override!F264="",Data!F264,Data_Override!F264)</f>
        <v>0</v>
      </c>
      <c r="H264" s="139">
        <f>IF(Data_Override!G264="",Data!G264,Data_Override!G264)</f>
        <v>1.9620772750048401</v>
      </c>
      <c r="I264" s="140">
        <f t="shared" si="73"/>
        <v>0</v>
      </c>
      <c r="J264" s="140">
        <f t="shared" si="74"/>
        <v>1.9620772750048401</v>
      </c>
      <c r="L264" s="139">
        <f>IF(Data_Override!I264="",Data!I264,Data_Override!I264)</f>
        <v>0</v>
      </c>
      <c r="M264" s="139">
        <f>IF(Data_Override!J264="",Data!J264,Data_Override!J264)</f>
        <v>0</v>
      </c>
      <c r="N264" s="139">
        <f>IF(Data_Override!K264="",Data!K264,Data_Override!K264)</f>
        <v>0</v>
      </c>
      <c r="O264" s="139">
        <f>IF(Data_Override!L264="",Data!L264,Data_Override!L264)</f>
        <v>0.71064161319889996</v>
      </c>
      <c r="P264" s="140">
        <f t="shared" si="68"/>
        <v>0</v>
      </c>
      <c r="Q264" s="140">
        <f t="shared" si="69"/>
        <v>0.71064161319889996</v>
      </c>
      <c r="S264" s="139">
        <f>IF(Data_Override!N264="",Data!N264,Data_Override!N264)</f>
        <v>113.258123356716</v>
      </c>
      <c r="U264" s="139">
        <f>IF(Data_Override!P264="",Data!P264,Data_Override!P264)</f>
        <v>2.2999999999999998</v>
      </c>
      <c r="V264" s="139">
        <f>IF(Data_Override!Q264="",Data!Q264,Data_Override!Q264)</f>
        <v>2.2999999999999998</v>
      </c>
      <c r="W264" s="139">
        <f>IF(Data_Override!R264="",Data!R264,Data_Override!R264)</f>
        <v>5.59</v>
      </c>
      <c r="X264" s="139">
        <f>IF(Data_Override!S264="",Data!S264,Data_Override!S264)</f>
        <v>5.59</v>
      </c>
      <c r="Y264" s="140">
        <f t="shared" si="66"/>
        <v>2.2999999999999998</v>
      </c>
      <c r="Z264" s="140">
        <f t="shared" si="67"/>
        <v>5.59</v>
      </c>
      <c r="AB264" s="139">
        <f>IF(Data_Override!U264="",Data!U264,Data_Override!U264)</f>
        <v>80.099999999999994</v>
      </c>
      <c r="AC264" s="139">
        <f>IF(Data_Override!V264="",Data!V264,Data_Override!V264)</f>
        <v>8731.07</v>
      </c>
      <c r="AD264" s="139">
        <f>IF(Data_Override!W264="",Data!W264,Data_Override!W264)</f>
        <v>762.85746510250794</v>
      </c>
    </row>
    <row r="265" spans="1:30" x14ac:dyDescent="0.2">
      <c r="A265" s="141" t="s">
        <v>282</v>
      </c>
      <c r="B265" s="142" t="s">
        <v>39</v>
      </c>
      <c r="C265" s="142" t="s">
        <v>74</v>
      </c>
      <c r="D265" s="19" t="str">
        <f t="shared" si="72"/>
        <v>22</v>
      </c>
      <c r="E265" s="139">
        <f>IF(Data_Override!D265="",Data!D265,Data_Override!D265)</f>
        <v>0</v>
      </c>
      <c r="F265" s="139">
        <f>IF(Data_Override!E265="",Data!E265,Data_Override!E265)</f>
        <v>0.826352047356812</v>
      </c>
      <c r="G265" s="139">
        <f>IF(Data_Override!F265="",Data!F265,Data_Override!F265)</f>
        <v>0</v>
      </c>
      <c r="H265" s="139">
        <f>IF(Data_Override!G265="",Data!G265,Data_Override!G265)</f>
        <v>1.9620772750048401</v>
      </c>
      <c r="I265" s="140">
        <f t="shared" si="73"/>
        <v>0.826352047356812</v>
      </c>
      <c r="J265" s="140">
        <f t="shared" si="74"/>
        <v>1.9620772750048401</v>
      </c>
      <c r="L265" s="139">
        <f>IF(Data_Override!I265="",Data!I265,Data_Override!I265)</f>
        <v>0</v>
      </c>
      <c r="M265" s="139">
        <f>IF(Data_Override!J265="",Data!J265,Data_Override!J265)</f>
        <v>0</v>
      </c>
      <c r="N265" s="139">
        <f>IF(Data_Override!K265="",Data!K265,Data_Override!K265)</f>
        <v>0</v>
      </c>
      <c r="O265" s="139">
        <f>IF(Data_Override!L265="",Data!L265,Data_Override!L265)</f>
        <v>0.68734188817598496</v>
      </c>
      <c r="P265" s="140">
        <f t="shared" si="68"/>
        <v>0</v>
      </c>
      <c r="Q265" s="140">
        <f t="shared" si="69"/>
        <v>0.68734188817598496</v>
      </c>
      <c r="S265" s="139">
        <f>IF(Data_Override!N265="",Data!N265,Data_Override!N265)</f>
        <v>115.482494364305</v>
      </c>
      <c r="U265" s="139">
        <f>IF(Data_Override!P265="",Data!P265,Data_Override!P265)</f>
        <v>0</v>
      </c>
      <c r="V265" s="139">
        <f>IF(Data_Override!Q265="",Data!Q265,Data_Override!Q265)</f>
        <v>0</v>
      </c>
      <c r="W265" s="139">
        <f>IF(Data_Override!R265="",Data!R265,Data_Override!R265)</f>
        <v>4.62</v>
      </c>
      <c r="X265" s="139">
        <f>IF(Data_Override!S265="",Data!S265,Data_Override!S265)</f>
        <v>4.62</v>
      </c>
      <c r="Y265" s="140">
        <f t="shared" si="66"/>
        <v>0</v>
      </c>
      <c r="Z265" s="140">
        <f t="shared" si="67"/>
        <v>4.62</v>
      </c>
      <c r="AB265" s="139">
        <f>IF(Data_Override!U265="",Data!U265,Data_Override!U265)</f>
        <v>76.2</v>
      </c>
      <c r="AC265" s="139">
        <f>IF(Data_Override!V265="",Data!V265,Data_Override!V265)</f>
        <v>8805.8799999999992</v>
      </c>
      <c r="AD265" s="139">
        <f>IF(Data_Override!W265="",Data!W265,Data_Override!W265)</f>
        <v>771.29584427752502</v>
      </c>
    </row>
    <row r="266" spans="1:30" x14ac:dyDescent="0.2">
      <c r="A266" s="141" t="s">
        <v>283</v>
      </c>
      <c r="B266" s="142" t="s">
        <v>39</v>
      </c>
      <c r="C266" s="142" t="s">
        <v>75</v>
      </c>
      <c r="D266" s="19" t="str">
        <f t="shared" si="72"/>
        <v>23</v>
      </c>
      <c r="E266" s="139">
        <f>IF(Data_Override!D266="",Data!D266,Data_Override!D266)</f>
        <v>0</v>
      </c>
      <c r="F266" s="139">
        <f>IF(Data_Override!E266="",Data!E266,Data_Override!E266)</f>
        <v>1.10214195478747</v>
      </c>
      <c r="G266" s="139">
        <f>IF(Data_Override!F266="",Data!F266,Data_Override!F266)</f>
        <v>0</v>
      </c>
      <c r="H266" s="139">
        <f>IF(Data_Override!G266="",Data!G266,Data_Override!G266)</f>
        <v>1.9620772750048401</v>
      </c>
      <c r="I266" s="140">
        <f t="shared" si="73"/>
        <v>1.10214195478747</v>
      </c>
      <c r="J266" s="140">
        <f t="shared" si="74"/>
        <v>1.9620772750048401</v>
      </c>
      <c r="L266" s="139">
        <f>IF(Data_Override!I266="",Data!I266,Data_Override!I266)</f>
        <v>0</v>
      </c>
      <c r="M266" s="139">
        <f>IF(Data_Override!J266="",Data!J266,Data_Override!J266)</f>
        <v>0</v>
      </c>
      <c r="N266" s="139">
        <f>IF(Data_Override!K266="",Data!K266,Data_Override!K266)</f>
        <v>0</v>
      </c>
      <c r="O266" s="139">
        <f>IF(Data_Override!L266="",Data!L266,Data_Override!L266)</f>
        <v>0.67569202566452802</v>
      </c>
      <c r="P266" s="140">
        <f t="shared" si="68"/>
        <v>0</v>
      </c>
      <c r="Q266" s="140">
        <f t="shared" si="69"/>
        <v>0.67569202566452802</v>
      </c>
      <c r="S266" s="139">
        <f>IF(Data_Override!N266="",Data!N266,Data_Override!N266)</f>
        <v>116.386526675222</v>
      </c>
      <c r="U266" s="139">
        <f>IF(Data_Override!P266="",Data!P266,Data_Override!P266)</f>
        <v>0</v>
      </c>
      <c r="V266" s="139">
        <f>IF(Data_Override!Q266="",Data!Q266,Data_Override!Q266)</f>
        <v>0</v>
      </c>
      <c r="W266" s="139">
        <f>IF(Data_Override!R266="",Data!R266,Data_Override!R266)</f>
        <v>4.62</v>
      </c>
      <c r="X266" s="139">
        <f>IF(Data_Override!S266="",Data!S266,Data_Override!S266)</f>
        <v>4.62</v>
      </c>
      <c r="Y266" s="140">
        <f t="shared" si="66"/>
        <v>0</v>
      </c>
      <c r="Z266" s="140">
        <f t="shared" si="67"/>
        <v>4.62</v>
      </c>
      <c r="AB266" s="139">
        <f>IF(Data_Override!U266="",Data!U266,Data_Override!U266)</f>
        <v>72.3</v>
      </c>
      <c r="AC266" s="139">
        <f>IF(Data_Override!V266="",Data!V266,Data_Override!V266)</f>
        <v>8878.17</v>
      </c>
      <c r="AD266" s="139">
        <f>IF(Data_Override!W266="",Data!W266,Data_Override!W266)</f>
        <v>779.34954073983101</v>
      </c>
    </row>
    <row r="267" spans="1:30" x14ac:dyDescent="0.2">
      <c r="A267" s="141" t="s">
        <v>284</v>
      </c>
      <c r="B267" s="142" t="s">
        <v>39</v>
      </c>
      <c r="C267" s="142" t="s">
        <v>76</v>
      </c>
      <c r="D267" s="19" t="str">
        <f t="shared" si="72"/>
        <v>24</v>
      </c>
      <c r="E267" s="139">
        <f>IF(Data_Override!D267="",Data!D267,Data_Override!D267)</f>
        <v>0</v>
      </c>
      <c r="F267" s="139">
        <f>IF(Data_Override!E267="",Data!E267,Data_Override!E267)</f>
        <v>0.99223306178927595</v>
      </c>
      <c r="G267" s="139">
        <f>IF(Data_Override!F267="",Data!F267,Data_Override!F267)</f>
        <v>0</v>
      </c>
      <c r="H267" s="139">
        <f>IF(Data_Override!G267="",Data!G267,Data_Override!G267)</f>
        <v>1.9620772750048401</v>
      </c>
      <c r="I267" s="140">
        <f t="shared" si="73"/>
        <v>0.99223306178927595</v>
      </c>
      <c r="J267" s="140">
        <f t="shared" si="74"/>
        <v>1.9620772750048401</v>
      </c>
      <c r="L267" s="139">
        <f>IF(Data_Override!I267="",Data!I267,Data_Override!I267)</f>
        <v>0</v>
      </c>
      <c r="M267" s="139">
        <f>IF(Data_Override!J267="",Data!J267,Data_Override!J267)</f>
        <v>0</v>
      </c>
      <c r="N267" s="139">
        <f>IF(Data_Override!K267="",Data!K267,Data_Override!K267)</f>
        <v>0</v>
      </c>
      <c r="O267" s="139">
        <f>IF(Data_Override!L267="",Data!L267,Data_Override!L267)</f>
        <v>0.67569202566452802</v>
      </c>
      <c r="P267" s="140">
        <f t="shared" si="68"/>
        <v>0</v>
      </c>
      <c r="Q267" s="140">
        <f t="shared" si="69"/>
        <v>0.67569202566452802</v>
      </c>
      <c r="S267" s="139">
        <f>IF(Data_Override!N267="",Data!N267,Data_Override!N267)</f>
        <v>93.913343052343194</v>
      </c>
      <c r="U267" s="139">
        <f>IF(Data_Override!P267="",Data!P267,Data_Override!P267)</f>
        <v>3.92</v>
      </c>
      <c r="V267" s="139">
        <f>IF(Data_Override!Q267="",Data!Q267,Data_Override!Q267)</f>
        <v>3.92</v>
      </c>
      <c r="W267" s="139">
        <f>IF(Data_Override!R267="",Data!R267,Data_Override!R267)</f>
        <v>4.63</v>
      </c>
      <c r="X267" s="139">
        <f>IF(Data_Override!S267="",Data!S267,Data_Override!S267)</f>
        <v>4.63</v>
      </c>
      <c r="Y267" s="140">
        <f t="shared" si="66"/>
        <v>3.92</v>
      </c>
      <c r="Z267" s="140">
        <f t="shared" si="67"/>
        <v>4.63</v>
      </c>
      <c r="AB267" s="139">
        <f>IF(Data_Override!U267="",Data!U267,Data_Override!U267)</f>
        <v>68.400000000000006</v>
      </c>
      <c r="AC267" s="139">
        <f>IF(Data_Override!V267="",Data!V267,Data_Override!V267)</f>
        <v>8948.23</v>
      </c>
      <c r="AD267" s="139">
        <f>IF(Data_Override!W267="",Data!W267,Data_Override!W267)</f>
        <v>787.170099561337</v>
      </c>
    </row>
    <row r="268" spans="1:30" x14ac:dyDescent="0.2">
      <c r="A268" s="141" t="s">
        <v>285</v>
      </c>
      <c r="B268" s="142" t="s">
        <v>39</v>
      </c>
      <c r="C268" s="142" t="s">
        <v>24</v>
      </c>
      <c r="D268" s="19" t="str">
        <f t="shared" si="72"/>
        <v>25</v>
      </c>
      <c r="E268" s="139">
        <f>IF(Data_Override!D268="",Data!D268,Data_Override!D268)</f>
        <v>0</v>
      </c>
      <c r="F268" s="139">
        <f>IF(Data_Override!E268="",Data!E268,Data_Override!E268)</f>
        <v>0</v>
      </c>
      <c r="G268" s="139">
        <f>IF(Data_Override!F268="",Data!F268,Data_Override!F268)</f>
        <v>0</v>
      </c>
      <c r="H268" s="139">
        <f>IF(Data_Override!G268="",Data!G268,Data_Override!G268)</f>
        <v>1.9620772750048401</v>
      </c>
      <c r="I268" s="140">
        <f t="shared" si="73"/>
        <v>0</v>
      </c>
      <c r="J268" s="140">
        <f t="shared" si="74"/>
        <v>1.9620772750048401</v>
      </c>
      <c r="L268" s="139">
        <f>IF(Data_Override!I268="",Data!I268,Data_Override!I268)</f>
        <v>0</v>
      </c>
      <c r="M268" s="139">
        <f>IF(Data_Override!J268="",Data!J268,Data_Override!J268)</f>
        <v>0</v>
      </c>
      <c r="N268" s="139">
        <f>IF(Data_Override!K268="",Data!K268,Data_Override!K268)</f>
        <v>0</v>
      </c>
      <c r="O268" s="139">
        <f>IF(Data_Override!L268="",Data!L268,Data_Override!L268)</f>
        <v>0.65239230064161302</v>
      </c>
      <c r="P268" s="140">
        <f t="shared" si="68"/>
        <v>0</v>
      </c>
      <c r="Q268" s="140">
        <f t="shared" si="69"/>
        <v>0.65239230064161302</v>
      </c>
      <c r="S268" s="139">
        <f>IF(Data_Override!N268="",Data!N268,Data_Override!N268)</f>
        <v>96.804583812941502</v>
      </c>
      <c r="U268" s="139">
        <f>IF(Data_Override!P268="",Data!P268,Data_Override!P268)</f>
        <v>0</v>
      </c>
      <c r="V268" s="139">
        <f>IF(Data_Override!Q268="",Data!Q268,Data_Override!Q268)</f>
        <v>0</v>
      </c>
      <c r="W268" s="139">
        <f>IF(Data_Override!R268="",Data!R268,Data_Override!R268)</f>
        <v>4.6399999999999997</v>
      </c>
      <c r="X268" s="139">
        <f>IF(Data_Override!S268="",Data!S268,Data_Override!S268)</f>
        <v>4.6399999999999997</v>
      </c>
      <c r="Y268" s="140">
        <f t="shared" si="66"/>
        <v>0</v>
      </c>
      <c r="Z268" s="140">
        <f t="shared" si="67"/>
        <v>4.6399999999999997</v>
      </c>
      <c r="AB268" s="139">
        <f>IF(Data_Override!U268="",Data!U268,Data_Override!U268)</f>
        <v>64.400000000000006</v>
      </c>
      <c r="AC268" s="139">
        <f>IF(Data_Override!V268="",Data!V268,Data_Override!V268)</f>
        <v>9016.2000000000007</v>
      </c>
      <c r="AD268" s="139">
        <f>IF(Data_Override!W268="",Data!W268,Data_Override!W268)</f>
        <v>794.79173704289599</v>
      </c>
    </row>
    <row r="269" spans="1:30" hidden="1" x14ac:dyDescent="0.2">
      <c r="A269" s="19" t="str">
        <f t="shared" ref="A269:A278" si="75">B269&amp;RIGHT(C269,2)</f>
        <v>SVE12</v>
      </c>
      <c r="B269" s="19" t="s">
        <v>29</v>
      </c>
      <c r="C269" s="19" t="s">
        <v>64</v>
      </c>
      <c r="D269" s="19" t="str">
        <f t="shared" si="72"/>
        <v>12</v>
      </c>
      <c r="E269" s="139">
        <f>IF(Data_Override!D269="",Data!D269,Data_Override!D269)</f>
        <v>0</v>
      </c>
      <c r="F269" s="139">
        <f>IF(Data_Override!E269="",Data!E269,Data_Override!E269)</f>
        <v>0</v>
      </c>
      <c r="G269" s="139">
        <f>IF(Data_Override!F269="",Data!F269,Data_Override!F269)</f>
        <v>0</v>
      </c>
      <c r="H269" s="139">
        <f>IF(Data_Override!G269="",Data!G269,Data_Override!G269)</f>
        <v>0</v>
      </c>
      <c r="I269" s="140">
        <f t="shared" si="73"/>
        <v>0</v>
      </c>
      <c r="J269" s="140">
        <f t="shared" si="74"/>
        <v>0</v>
      </c>
      <c r="L269" s="139">
        <f>IF(Data_Override!I269="",Data!I269,Data_Override!I269)</f>
        <v>0</v>
      </c>
      <c r="M269" s="139">
        <f>IF(Data_Override!J269="",Data!J269,Data_Override!J269)</f>
        <v>0</v>
      </c>
      <c r="N269" s="139">
        <f>IF(Data_Override!K269="",Data!K269,Data_Override!K269)</f>
        <v>0</v>
      </c>
      <c r="O269" s="139">
        <f>IF(Data_Override!L269="",Data!L269,Data_Override!L269)</f>
        <v>0</v>
      </c>
      <c r="P269" s="140">
        <f t="shared" si="68"/>
        <v>0</v>
      </c>
      <c r="Q269" s="140">
        <f t="shared" si="69"/>
        <v>0</v>
      </c>
      <c r="S269" s="139">
        <f>IF(Data_Override!N269="",Data!N269,Data_Override!N269)</f>
        <v>0</v>
      </c>
      <c r="U269" s="139">
        <f>IF(Data_Override!P269="",Data!P269,Data_Override!P269)</f>
        <v>0</v>
      </c>
      <c r="V269" s="139">
        <f>IF(Data_Override!Q269="",Data!Q269,Data_Override!Q269)</f>
        <v>0</v>
      </c>
      <c r="W269" s="139">
        <f>IF(Data_Override!R269="",Data!R269,Data_Override!R269)</f>
        <v>0</v>
      </c>
      <c r="X269" s="139">
        <f>IF(Data_Override!S269="",Data!S269,Data_Override!S269)</f>
        <v>0</v>
      </c>
      <c r="Y269" s="140">
        <f t="shared" ref="Y269:Y296" si="76">IFERROR(MAX(U269,V269),"")</f>
        <v>0</v>
      </c>
      <c r="Z269" s="140">
        <f t="shared" ref="Z269:Z296" si="77">IFERROR(MAX(W269,X269),"")</f>
        <v>0</v>
      </c>
      <c r="AB269" s="139">
        <f>IF(Data_Override!U269="",Data!U269,Data_Override!U269)</f>
        <v>0</v>
      </c>
      <c r="AC269" s="139">
        <f>IF(Data_Override!V269="",Data!V269,Data_Override!V269)</f>
        <v>0</v>
      </c>
      <c r="AD269" s="139">
        <f>IF(Data_Override!W269="",Data!W269,Data_Override!W269)</f>
        <v>0</v>
      </c>
    </row>
    <row r="270" spans="1:30" hidden="1" x14ac:dyDescent="0.2">
      <c r="A270" s="19" t="str">
        <f t="shared" si="75"/>
        <v>SVE13</v>
      </c>
      <c r="B270" s="19" t="s">
        <v>29</v>
      </c>
      <c r="C270" s="19" t="s">
        <v>65</v>
      </c>
      <c r="D270" s="19" t="str">
        <f t="shared" si="72"/>
        <v>13</v>
      </c>
      <c r="E270" s="139">
        <f>IF(Data_Override!D270="",Data!D270,Data_Override!D270)</f>
        <v>0</v>
      </c>
      <c r="F270" s="139">
        <f>IF(Data_Override!E270="",Data!E270,Data_Override!E270)</f>
        <v>0</v>
      </c>
      <c r="G270" s="139">
        <f>IF(Data_Override!F270="",Data!F270,Data_Override!F270)</f>
        <v>0</v>
      </c>
      <c r="H270" s="139">
        <f>IF(Data_Override!G270="",Data!G270,Data_Override!G270)</f>
        <v>0</v>
      </c>
      <c r="I270" s="140">
        <f t="shared" si="73"/>
        <v>0</v>
      </c>
      <c r="J270" s="140">
        <f t="shared" si="74"/>
        <v>0</v>
      </c>
      <c r="L270" s="139">
        <f>IF(Data_Override!I270="",Data!I270,Data_Override!I270)</f>
        <v>0</v>
      </c>
      <c r="M270" s="139">
        <f>IF(Data_Override!J270="",Data!J270,Data_Override!J270)</f>
        <v>0</v>
      </c>
      <c r="N270" s="139">
        <f>IF(Data_Override!K270="",Data!K270,Data_Override!K270)</f>
        <v>0</v>
      </c>
      <c r="O270" s="139">
        <f>IF(Data_Override!L270="",Data!L270,Data_Override!L270)</f>
        <v>0</v>
      </c>
      <c r="P270" s="140">
        <f t="shared" ref="P270:P296" si="78">IFERROR(SUM(L270:M270),"")</f>
        <v>0</v>
      </c>
      <c r="Q270" s="140">
        <f t="shared" ref="Q270:Q296" si="79">IFERROR(SUM(N270:O270),"")</f>
        <v>0</v>
      </c>
      <c r="S270" s="139">
        <f>IF(Data_Override!N270="",Data!N270,Data_Override!N270)</f>
        <v>0</v>
      </c>
      <c r="U270" s="139">
        <f>IF(Data_Override!P270="",Data!P270,Data_Override!P270)</f>
        <v>0</v>
      </c>
      <c r="V270" s="139">
        <f>IF(Data_Override!Q270="",Data!Q270,Data_Override!Q270)</f>
        <v>0</v>
      </c>
      <c r="W270" s="139">
        <f>IF(Data_Override!R270="",Data!R270,Data_Override!R270)</f>
        <v>0</v>
      </c>
      <c r="X270" s="139">
        <f>IF(Data_Override!S270="",Data!S270,Data_Override!S270)</f>
        <v>0</v>
      </c>
      <c r="Y270" s="140">
        <f t="shared" si="76"/>
        <v>0</v>
      </c>
      <c r="Z270" s="140">
        <f t="shared" si="77"/>
        <v>0</v>
      </c>
      <c r="AB270" s="139">
        <f>IF(Data_Override!U270="",Data!U270,Data_Override!U270)</f>
        <v>0</v>
      </c>
      <c r="AC270" s="139">
        <f>IF(Data_Override!V270="",Data!V270,Data_Override!V270)</f>
        <v>0</v>
      </c>
      <c r="AD270" s="139">
        <f>IF(Data_Override!W270="",Data!W270,Data_Override!W270)</f>
        <v>0</v>
      </c>
    </row>
    <row r="271" spans="1:30" hidden="1" x14ac:dyDescent="0.2">
      <c r="A271" s="19" t="str">
        <f t="shared" si="75"/>
        <v>SVE14</v>
      </c>
      <c r="B271" s="19" t="s">
        <v>29</v>
      </c>
      <c r="C271" s="19" t="s">
        <v>66</v>
      </c>
      <c r="D271" s="19" t="str">
        <f t="shared" si="72"/>
        <v>14</v>
      </c>
      <c r="E271" s="139">
        <f>IF(Data_Override!D271="",Data!D271,Data_Override!D271)</f>
        <v>0</v>
      </c>
      <c r="F271" s="139">
        <f>IF(Data_Override!E271="",Data!E271,Data_Override!E271)</f>
        <v>0</v>
      </c>
      <c r="G271" s="139">
        <f>IF(Data_Override!F271="",Data!F271,Data_Override!F271)</f>
        <v>0</v>
      </c>
      <c r="H271" s="139">
        <f>IF(Data_Override!G271="",Data!G271,Data_Override!G271)</f>
        <v>0</v>
      </c>
      <c r="I271" s="140">
        <f t="shared" si="73"/>
        <v>0</v>
      </c>
      <c r="J271" s="140">
        <f t="shared" si="74"/>
        <v>0</v>
      </c>
      <c r="L271" s="139">
        <f>IF(Data_Override!I271="",Data!I271,Data_Override!I271)</f>
        <v>0</v>
      </c>
      <c r="M271" s="139">
        <f>IF(Data_Override!J271="",Data!J271,Data_Override!J271)</f>
        <v>0</v>
      </c>
      <c r="N271" s="139">
        <f>IF(Data_Override!K271="",Data!K271,Data_Override!K271)</f>
        <v>0</v>
      </c>
      <c r="O271" s="139">
        <f>IF(Data_Override!L271="",Data!L271,Data_Override!L271)</f>
        <v>0</v>
      </c>
      <c r="P271" s="140">
        <f t="shared" si="78"/>
        <v>0</v>
      </c>
      <c r="Q271" s="140">
        <f t="shared" si="79"/>
        <v>0</v>
      </c>
      <c r="S271" s="139">
        <f>IF(Data_Override!N271="",Data!N271,Data_Override!N271)</f>
        <v>0</v>
      </c>
      <c r="U271" s="139">
        <f>IF(Data_Override!P271="",Data!P271,Data_Override!P271)</f>
        <v>0</v>
      </c>
      <c r="V271" s="139">
        <f>IF(Data_Override!Q271="",Data!Q271,Data_Override!Q271)</f>
        <v>0</v>
      </c>
      <c r="W271" s="139">
        <f>IF(Data_Override!R271="",Data!R271,Data_Override!R271)</f>
        <v>0</v>
      </c>
      <c r="X271" s="139">
        <f>IF(Data_Override!S271="",Data!S271,Data_Override!S271)</f>
        <v>0</v>
      </c>
      <c r="Y271" s="140">
        <f t="shared" si="76"/>
        <v>0</v>
      </c>
      <c r="Z271" s="140">
        <f t="shared" si="77"/>
        <v>0</v>
      </c>
      <c r="AB271" s="139">
        <f>IF(Data_Override!U271="",Data!U271,Data_Override!U271)</f>
        <v>0</v>
      </c>
      <c r="AC271" s="139">
        <f>IF(Data_Override!V271="",Data!V271,Data_Override!V271)</f>
        <v>0</v>
      </c>
      <c r="AD271" s="139">
        <f>IF(Data_Override!W271="",Data!W271,Data_Override!W271)</f>
        <v>0</v>
      </c>
    </row>
    <row r="272" spans="1:30" hidden="1" x14ac:dyDescent="0.2">
      <c r="A272" s="19" t="str">
        <f t="shared" si="75"/>
        <v>SVE15</v>
      </c>
      <c r="B272" s="19" t="s">
        <v>29</v>
      </c>
      <c r="C272" s="19" t="s">
        <v>67</v>
      </c>
      <c r="D272" s="19" t="str">
        <f t="shared" si="72"/>
        <v>15</v>
      </c>
      <c r="E272" s="139">
        <f>IF(Data_Override!D272="",Data!D272,Data_Override!D272)</f>
        <v>0</v>
      </c>
      <c r="F272" s="139">
        <f>IF(Data_Override!E272="",Data!E272,Data_Override!E272)</f>
        <v>0</v>
      </c>
      <c r="G272" s="139">
        <f>IF(Data_Override!F272="",Data!F272,Data_Override!F272)</f>
        <v>0</v>
      </c>
      <c r="H272" s="139">
        <f>IF(Data_Override!G272="",Data!G272,Data_Override!G272)</f>
        <v>0</v>
      </c>
      <c r="I272" s="140">
        <f t="shared" si="73"/>
        <v>0</v>
      </c>
      <c r="J272" s="140">
        <f t="shared" si="74"/>
        <v>0</v>
      </c>
      <c r="L272" s="139">
        <f>IF(Data_Override!I272="",Data!I272,Data_Override!I272)</f>
        <v>0</v>
      </c>
      <c r="M272" s="139">
        <f>IF(Data_Override!J272="",Data!J272,Data_Override!J272)</f>
        <v>0</v>
      </c>
      <c r="N272" s="139">
        <f>IF(Data_Override!K272="",Data!K272,Data_Override!K272)</f>
        <v>0</v>
      </c>
      <c r="O272" s="139">
        <f>IF(Data_Override!L272="",Data!L272,Data_Override!L272)</f>
        <v>0</v>
      </c>
      <c r="P272" s="140">
        <f t="shared" si="78"/>
        <v>0</v>
      </c>
      <c r="Q272" s="140">
        <f t="shared" si="79"/>
        <v>0</v>
      </c>
      <c r="S272" s="139">
        <f>IF(Data_Override!N272="",Data!N272,Data_Override!N272)</f>
        <v>0</v>
      </c>
      <c r="U272" s="139">
        <f>IF(Data_Override!P272="",Data!P272,Data_Override!P272)</f>
        <v>0</v>
      </c>
      <c r="V272" s="139">
        <f>IF(Data_Override!Q272="",Data!Q272,Data_Override!Q272)</f>
        <v>0</v>
      </c>
      <c r="W272" s="139">
        <f>IF(Data_Override!R272="",Data!R272,Data_Override!R272)</f>
        <v>0</v>
      </c>
      <c r="X272" s="139">
        <f>IF(Data_Override!S272="",Data!S272,Data_Override!S272)</f>
        <v>0</v>
      </c>
      <c r="Y272" s="140">
        <f t="shared" si="76"/>
        <v>0</v>
      </c>
      <c r="Z272" s="140">
        <f t="shared" si="77"/>
        <v>0</v>
      </c>
      <c r="AB272" s="139">
        <f>IF(Data_Override!U272="",Data!U272,Data_Override!U272)</f>
        <v>0</v>
      </c>
      <c r="AC272" s="139">
        <f>IF(Data_Override!V272="",Data!V272,Data_Override!V272)</f>
        <v>0</v>
      </c>
      <c r="AD272" s="139">
        <f>IF(Data_Override!W272="",Data!W272,Data_Override!W272)</f>
        <v>0</v>
      </c>
    </row>
    <row r="273" spans="1:30" hidden="1" x14ac:dyDescent="0.2">
      <c r="A273" s="19" t="str">
        <f t="shared" si="75"/>
        <v>SVE16</v>
      </c>
      <c r="B273" s="19" t="s">
        <v>29</v>
      </c>
      <c r="C273" s="19" t="s">
        <v>68</v>
      </c>
      <c r="D273" s="19" t="str">
        <f t="shared" si="72"/>
        <v>16</v>
      </c>
      <c r="E273" s="139">
        <f>IF(Data_Override!D273="",Data!D273,Data_Override!D273)</f>
        <v>0</v>
      </c>
      <c r="F273" s="139">
        <f>IF(Data_Override!E273="",Data!E273,Data_Override!E273)</f>
        <v>0</v>
      </c>
      <c r="G273" s="139">
        <f>IF(Data_Override!F273="",Data!F273,Data_Override!F273)</f>
        <v>0</v>
      </c>
      <c r="H273" s="139">
        <f>IF(Data_Override!G273="",Data!G273,Data_Override!G273)</f>
        <v>0</v>
      </c>
      <c r="I273" s="140">
        <f t="shared" si="73"/>
        <v>0</v>
      </c>
      <c r="J273" s="140">
        <f t="shared" si="74"/>
        <v>0</v>
      </c>
      <c r="L273" s="139">
        <f>IF(Data_Override!I273="",Data!I273,Data_Override!I273)</f>
        <v>0</v>
      </c>
      <c r="M273" s="139">
        <f>IF(Data_Override!J273="",Data!J273,Data_Override!J273)</f>
        <v>0</v>
      </c>
      <c r="N273" s="139">
        <f>IF(Data_Override!K273="",Data!K273,Data_Override!K273)</f>
        <v>0</v>
      </c>
      <c r="O273" s="139">
        <f>IF(Data_Override!L273="",Data!L273,Data_Override!L273)</f>
        <v>0</v>
      </c>
      <c r="P273" s="140">
        <f t="shared" si="78"/>
        <v>0</v>
      </c>
      <c r="Q273" s="140">
        <f t="shared" si="79"/>
        <v>0</v>
      </c>
      <c r="S273" s="139">
        <f>IF(Data_Override!N273="",Data!N273,Data_Override!N273)</f>
        <v>0</v>
      </c>
      <c r="U273" s="139">
        <f>IF(Data_Override!P273="",Data!P273,Data_Override!P273)</f>
        <v>0</v>
      </c>
      <c r="V273" s="139">
        <f>IF(Data_Override!Q273="",Data!Q273,Data_Override!Q273)</f>
        <v>0</v>
      </c>
      <c r="W273" s="139">
        <f>IF(Data_Override!R273="",Data!R273,Data_Override!R273)</f>
        <v>0</v>
      </c>
      <c r="X273" s="139">
        <f>IF(Data_Override!S273="",Data!S273,Data_Override!S273)</f>
        <v>0</v>
      </c>
      <c r="Y273" s="140">
        <f t="shared" si="76"/>
        <v>0</v>
      </c>
      <c r="Z273" s="140">
        <f t="shared" si="77"/>
        <v>0</v>
      </c>
      <c r="AB273" s="139">
        <f>IF(Data_Override!U273="",Data!U273,Data_Override!U273)</f>
        <v>0</v>
      </c>
      <c r="AC273" s="139">
        <f>IF(Data_Override!V273="",Data!V273,Data_Override!V273)</f>
        <v>0</v>
      </c>
      <c r="AD273" s="139">
        <f>IF(Data_Override!W273="",Data!W273,Data_Override!W273)</f>
        <v>0</v>
      </c>
    </row>
    <row r="274" spans="1:30" hidden="1" x14ac:dyDescent="0.2">
      <c r="A274" s="19" t="str">
        <f t="shared" si="75"/>
        <v>SVE17</v>
      </c>
      <c r="B274" s="19" t="s">
        <v>29</v>
      </c>
      <c r="C274" s="19" t="s">
        <v>69</v>
      </c>
      <c r="D274" s="19" t="str">
        <f t="shared" si="72"/>
        <v>17</v>
      </c>
      <c r="E274" s="139">
        <f>IF(Data_Override!D274="",Data!D274,Data_Override!D274)</f>
        <v>0</v>
      </c>
      <c r="F274" s="139">
        <f>IF(Data_Override!E274="",Data!E274,Data_Override!E274)</f>
        <v>0</v>
      </c>
      <c r="G274" s="139">
        <f>IF(Data_Override!F274="",Data!F274,Data_Override!F274)</f>
        <v>0</v>
      </c>
      <c r="H274" s="139">
        <f>IF(Data_Override!G274="",Data!G274,Data_Override!G274)</f>
        <v>0</v>
      </c>
      <c r="I274" s="140">
        <f t="shared" si="73"/>
        <v>0</v>
      </c>
      <c r="J274" s="140">
        <f t="shared" si="74"/>
        <v>0</v>
      </c>
      <c r="L274" s="139">
        <f>IF(Data_Override!I274="",Data!I274,Data_Override!I274)</f>
        <v>0</v>
      </c>
      <c r="M274" s="139">
        <f>IF(Data_Override!J274="",Data!J274,Data_Override!J274)</f>
        <v>0</v>
      </c>
      <c r="N274" s="139">
        <f>IF(Data_Override!K274="",Data!K274,Data_Override!K274)</f>
        <v>0</v>
      </c>
      <c r="O274" s="139">
        <f>IF(Data_Override!L274="",Data!L274,Data_Override!L274)</f>
        <v>0</v>
      </c>
      <c r="P274" s="140">
        <f t="shared" si="78"/>
        <v>0</v>
      </c>
      <c r="Q274" s="140">
        <f t="shared" si="79"/>
        <v>0</v>
      </c>
      <c r="S274" s="139">
        <f>IF(Data_Override!N274="",Data!N274,Data_Override!N274)</f>
        <v>0</v>
      </c>
      <c r="U274" s="139">
        <f>IF(Data_Override!P274="",Data!P274,Data_Override!P274)</f>
        <v>0</v>
      </c>
      <c r="V274" s="139">
        <f>IF(Data_Override!Q274="",Data!Q274,Data_Override!Q274)</f>
        <v>0</v>
      </c>
      <c r="W274" s="139">
        <f>IF(Data_Override!R274="",Data!R274,Data_Override!R274)</f>
        <v>0</v>
      </c>
      <c r="X274" s="139">
        <f>IF(Data_Override!S274="",Data!S274,Data_Override!S274)</f>
        <v>0</v>
      </c>
      <c r="Y274" s="140">
        <f t="shared" si="76"/>
        <v>0</v>
      </c>
      <c r="Z274" s="140">
        <f t="shared" si="77"/>
        <v>0</v>
      </c>
      <c r="AB274" s="139">
        <f>IF(Data_Override!U274="",Data!U274,Data_Override!U274)</f>
        <v>0</v>
      </c>
      <c r="AC274" s="139">
        <f>IF(Data_Override!V274="",Data!V274,Data_Override!V274)</f>
        <v>0</v>
      </c>
      <c r="AD274" s="139">
        <f>IF(Data_Override!W274="",Data!W274,Data_Override!W274)</f>
        <v>0</v>
      </c>
    </row>
    <row r="275" spans="1:30" hidden="1" x14ac:dyDescent="0.2">
      <c r="A275" s="141" t="str">
        <f t="shared" si="75"/>
        <v>SVE18</v>
      </c>
      <c r="B275" s="142" t="str">
        <f>B274</f>
        <v>SVE</v>
      </c>
      <c r="C275" s="142" t="s">
        <v>70</v>
      </c>
      <c r="D275" s="19" t="str">
        <f t="shared" si="72"/>
        <v>18</v>
      </c>
      <c r="E275" s="139">
        <f>IF(Data_Override!D275="",Data!D275,Data_Override!D275)</f>
        <v>0</v>
      </c>
      <c r="F275" s="139">
        <f>IF(Data_Override!E275="",Data!E275,Data_Override!E275)</f>
        <v>1.1299999999999999</v>
      </c>
      <c r="G275" s="139">
        <f>IF(Data_Override!F275="",Data!F275,Data_Override!F275)</f>
        <v>0</v>
      </c>
      <c r="H275" s="139">
        <f>IF(Data_Override!G275="",Data!G275,Data_Override!G275)</f>
        <v>0</v>
      </c>
      <c r="I275" s="140">
        <f t="shared" si="73"/>
        <v>1.1299999999999999</v>
      </c>
      <c r="J275" s="140">
        <f t="shared" si="74"/>
        <v>0</v>
      </c>
      <c r="L275" s="139">
        <f>IF(Data_Override!I275="",Data!I275,Data_Override!I275)</f>
        <v>0</v>
      </c>
      <c r="M275" s="139">
        <f>IF(Data_Override!J275="",Data!J275,Data_Override!J275)</f>
        <v>0</v>
      </c>
      <c r="N275" s="139">
        <f>IF(Data_Override!K275="",Data!K275,Data_Override!K275)</f>
        <v>0</v>
      </c>
      <c r="O275" s="139">
        <f>IF(Data_Override!L275="",Data!L275,Data_Override!L275)</f>
        <v>0</v>
      </c>
      <c r="P275" s="140">
        <f t="shared" si="78"/>
        <v>0</v>
      </c>
      <c r="Q275" s="140">
        <f t="shared" si="79"/>
        <v>0</v>
      </c>
      <c r="S275" s="139">
        <f>IF(Data_Override!N275="",Data!N275,Data_Override!N275)</f>
        <v>687.972523421613</v>
      </c>
      <c r="U275" s="139">
        <f>IF(Data_Override!P275="",Data!P275,Data_Override!P275)</f>
        <v>5.2060254107180102</v>
      </c>
      <c r="V275" s="139">
        <f>IF(Data_Override!Q275="",Data!Q275,Data_Override!Q275)</f>
        <v>5.2060254107180102</v>
      </c>
      <c r="W275" s="139">
        <f>IF(Data_Override!R275="",Data!R275,Data_Override!R275)</f>
        <v>-0.213069414329524</v>
      </c>
      <c r="X275" s="139">
        <f>IF(Data_Override!S275="",Data!S275,Data_Override!S275)</f>
        <v>-0.213069414329524</v>
      </c>
      <c r="Y275" s="140">
        <f t="shared" si="76"/>
        <v>5.2060254107180102</v>
      </c>
      <c r="Z275" s="140">
        <f t="shared" si="77"/>
        <v>-0.213069414329524</v>
      </c>
      <c r="AB275" s="139">
        <f>IF(Data_Override!U275="",Data!U275,Data_Override!U275)</f>
        <v>439.22</v>
      </c>
      <c r="AC275" s="139">
        <f>IF(Data_Override!V275="",Data!V275,Data_Override!V275)</f>
        <v>46539.848021003003</v>
      </c>
      <c r="AD275" s="139">
        <f>IF(Data_Override!W275="",Data!W275,Data_Override!W275)</f>
        <v>3612.1930000000002</v>
      </c>
    </row>
    <row r="276" spans="1:30" hidden="1" x14ac:dyDescent="0.2">
      <c r="A276" s="141" t="str">
        <f t="shared" si="75"/>
        <v>SVE19</v>
      </c>
      <c r="B276" s="142" t="str">
        <f>B275</f>
        <v>SVE</v>
      </c>
      <c r="C276" s="142" t="s">
        <v>71</v>
      </c>
      <c r="D276" s="19" t="str">
        <f t="shared" si="72"/>
        <v>19</v>
      </c>
      <c r="E276" s="139">
        <f>IF(Data_Override!D276="",Data!D276,Data_Override!D276)</f>
        <v>0</v>
      </c>
      <c r="F276" s="139">
        <f>IF(Data_Override!E276="",Data!E276,Data_Override!E276)</f>
        <v>1.0620254564413301</v>
      </c>
      <c r="G276" s="139">
        <f>IF(Data_Override!F276="",Data!F276,Data_Override!F276)</f>
        <v>0</v>
      </c>
      <c r="H276" s="139">
        <f>IF(Data_Override!G276="",Data!G276,Data_Override!G276)</f>
        <v>8.6660099398526196</v>
      </c>
      <c r="I276" s="140">
        <f t="shared" si="73"/>
        <v>1.0620254564413301</v>
      </c>
      <c r="J276" s="140">
        <f t="shared" si="74"/>
        <v>8.6660099398526196</v>
      </c>
      <c r="L276" s="139">
        <f>IF(Data_Override!I276="",Data!I276,Data_Override!I276)</f>
        <v>0</v>
      </c>
      <c r="M276" s="139">
        <f>IF(Data_Override!J276="",Data!J276,Data_Override!J276)</f>
        <v>0</v>
      </c>
      <c r="N276" s="139">
        <f>IF(Data_Override!K276="",Data!K276,Data_Override!K276)</f>
        <v>0</v>
      </c>
      <c r="O276" s="139">
        <f>IF(Data_Override!L276="",Data!L276,Data_Override!L276)</f>
        <v>0</v>
      </c>
      <c r="P276" s="140">
        <f t="shared" si="78"/>
        <v>0</v>
      </c>
      <c r="Q276" s="140">
        <f t="shared" si="79"/>
        <v>0</v>
      </c>
      <c r="S276" s="139">
        <f>IF(Data_Override!N276="",Data!N276,Data_Override!N276)</f>
        <v>757.23871777494298</v>
      </c>
      <c r="U276" s="139">
        <f>IF(Data_Override!P276="",Data!P276,Data_Override!P276)</f>
        <v>0</v>
      </c>
      <c r="V276" s="139">
        <f>IF(Data_Override!Q276="",Data!Q276,Data_Override!Q276)</f>
        <v>0</v>
      </c>
      <c r="W276" s="139">
        <f>IF(Data_Override!R276="",Data!R276,Data_Override!R276)</f>
        <v>6.53000000000005</v>
      </c>
      <c r="X276" s="139">
        <f>IF(Data_Override!S276="",Data!S276,Data_Override!S276)</f>
        <v>6.53000000000005</v>
      </c>
      <c r="Y276" s="140">
        <f t="shared" si="76"/>
        <v>0</v>
      </c>
      <c r="Z276" s="140">
        <f t="shared" si="77"/>
        <v>6.53000000000005</v>
      </c>
      <c r="AB276" s="139">
        <f>IF(Data_Override!U276="",Data!U276,Data_Override!U276)</f>
        <v>425.63180359945801</v>
      </c>
      <c r="AC276" s="139">
        <f>IF(Data_Override!V276="",Data!V276,Data_Override!V276)</f>
        <v>46658.928021002997</v>
      </c>
      <c r="AD276" s="139">
        <f>IF(Data_Override!W276="",Data!W276,Data_Override!W276)</f>
        <v>3635.7182314246302</v>
      </c>
    </row>
    <row r="277" spans="1:30" hidden="1" x14ac:dyDescent="0.2">
      <c r="A277" s="141" t="str">
        <f t="shared" si="75"/>
        <v>SVE20</v>
      </c>
      <c r="B277" s="142" t="str">
        <f t="shared" ref="B277:B282" si="80">B276</f>
        <v>SVE</v>
      </c>
      <c r="C277" s="142" t="s">
        <v>72</v>
      </c>
      <c r="D277" s="19" t="str">
        <f t="shared" si="72"/>
        <v>20</v>
      </c>
      <c r="E277" s="139">
        <f>IF(Data_Override!D277="",Data!D277,Data_Override!D277)</f>
        <v>0</v>
      </c>
      <c r="F277" s="139">
        <f>IF(Data_Override!E277="",Data!E277,Data_Override!E277)</f>
        <v>5.04294473994306</v>
      </c>
      <c r="G277" s="139">
        <f>IF(Data_Override!F277="",Data!F277,Data_Override!F277)</f>
        <v>0</v>
      </c>
      <c r="H277" s="139">
        <f>IF(Data_Override!G277="",Data!G277,Data_Override!G277)</f>
        <v>10.738710361579299</v>
      </c>
      <c r="I277" s="140">
        <f t="shared" si="73"/>
        <v>5.04294473994306</v>
      </c>
      <c r="J277" s="140">
        <f t="shared" si="74"/>
        <v>10.738710361579299</v>
      </c>
      <c r="L277" s="139">
        <f>IF(Data_Override!I277="",Data!I277,Data_Override!I277)</f>
        <v>0</v>
      </c>
      <c r="M277" s="139">
        <f>IF(Data_Override!J277="",Data!J277,Data_Override!J277)</f>
        <v>0</v>
      </c>
      <c r="N277" s="139">
        <f>IF(Data_Override!K277="",Data!K277,Data_Override!K277)</f>
        <v>0</v>
      </c>
      <c r="O277" s="139">
        <f>IF(Data_Override!L277="",Data!L277,Data_Override!L277)</f>
        <v>0</v>
      </c>
      <c r="P277" s="140">
        <f t="shared" si="78"/>
        <v>0</v>
      </c>
      <c r="Q277" s="140">
        <f t="shared" si="79"/>
        <v>0</v>
      </c>
      <c r="S277" s="139">
        <f>IF(Data_Override!N277="",Data!N277,Data_Override!N277)</f>
        <v>799.06846555770403</v>
      </c>
      <c r="U277" s="139">
        <f>IF(Data_Override!P277="",Data!P277,Data_Override!P277)</f>
        <v>0</v>
      </c>
      <c r="V277" s="139">
        <f>IF(Data_Override!Q277="",Data!Q277,Data_Override!Q277)</f>
        <v>0</v>
      </c>
      <c r="W277" s="139">
        <f>IF(Data_Override!R277="",Data!R277,Data_Override!R277)</f>
        <v>6.3799999999999901</v>
      </c>
      <c r="X277" s="139">
        <f>IF(Data_Override!S277="",Data!S277,Data_Override!S277)</f>
        <v>6.3799999999999901</v>
      </c>
      <c r="Y277" s="140">
        <f t="shared" si="76"/>
        <v>0</v>
      </c>
      <c r="Z277" s="140">
        <f t="shared" si="77"/>
        <v>6.3799999999999901</v>
      </c>
      <c r="AB277" s="139">
        <f>IF(Data_Override!U277="",Data!U277,Data_Override!U277)</f>
        <v>421.58735630655002</v>
      </c>
      <c r="AC277" s="139">
        <f>IF(Data_Override!V277="",Data!V277,Data_Override!V277)</f>
        <v>46778.008021002999</v>
      </c>
      <c r="AD277" s="139">
        <f>IF(Data_Override!W277="",Data!W277,Data_Override!W277)</f>
        <v>3655.5675177160101</v>
      </c>
    </row>
    <row r="278" spans="1:30" x14ac:dyDescent="0.2">
      <c r="A278" s="141" t="str">
        <f t="shared" si="75"/>
        <v>SVE21</v>
      </c>
      <c r="B278" s="142" t="str">
        <f t="shared" si="80"/>
        <v>SVE</v>
      </c>
      <c r="C278" s="142" t="s">
        <v>73</v>
      </c>
      <c r="D278" s="19" t="str">
        <f t="shared" si="72"/>
        <v>21</v>
      </c>
      <c r="E278" s="139">
        <f>IF(Data_Override!D278="",Data!D278,Data_Override!D278)</f>
        <v>0</v>
      </c>
      <c r="F278" s="139">
        <f>IF(Data_Override!E278="",Data!E278,Data_Override!E278)</f>
        <v>11.523999999999999</v>
      </c>
      <c r="G278" s="139">
        <f>IF(Data_Override!F278="",Data!F278,Data_Override!F278)</f>
        <v>0</v>
      </c>
      <c r="H278" s="139">
        <f>IF(Data_Override!G278="",Data!G278,Data_Override!G278)</f>
        <v>7.8470000000000004</v>
      </c>
      <c r="I278" s="140">
        <f t="shared" si="73"/>
        <v>11.523999999999999</v>
      </c>
      <c r="J278" s="140">
        <f t="shared" si="74"/>
        <v>7.8470000000000004</v>
      </c>
      <c r="L278" s="139">
        <f>IF(Data_Override!I278="",Data!I278,Data_Override!I278)</f>
        <v>0</v>
      </c>
      <c r="M278" s="139">
        <f>IF(Data_Override!J278="",Data!J278,Data_Override!J278)</f>
        <v>0</v>
      </c>
      <c r="N278" s="139">
        <f>IF(Data_Override!K278="",Data!K278,Data_Override!K278)</f>
        <v>0</v>
      </c>
      <c r="O278" s="139">
        <f>IF(Data_Override!L278="",Data!L278,Data_Override!L278)</f>
        <v>0.92113</v>
      </c>
      <c r="P278" s="140">
        <f t="shared" si="78"/>
        <v>0</v>
      </c>
      <c r="Q278" s="140">
        <f t="shared" si="79"/>
        <v>0.92113</v>
      </c>
      <c r="S278" s="139">
        <f>IF(Data_Override!N278="",Data!N278,Data_Override!N278)</f>
        <v>575.06571742576398</v>
      </c>
      <c r="U278" s="139">
        <f>IF(Data_Override!P278="",Data!P278,Data_Override!P278)</f>
        <v>0</v>
      </c>
      <c r="V278" s="139">
        <f>IF(Data_Override!Q278="",Data!Q278,Data_Override!Q278)</f>
        <v>0</v>
      </c>
      <c r="W278" s="139">
        <f>IF(Data_Override!R278="",Data!R278,Data_Override!R278)</f>
        <v>2.06</v>
      </c>
      <c r="X278" s="139">
        <f>IF(Data_Override!S278="",Data!S278,Data_Override!S278)</f>
        <v>2.06</v>
      </c>
      <c r="Y278" s="140">
        <f t="shared" si="76"/>
        <v>0</v>
      </c>
      <c r="Z278" s="140">
        <f t="shared" si="77"/>
        <v>2.06</v>
      </c>
      <c r="AB278" s="139">
        <f>IF(Data_Override!U278="",Data!U278,Data_Override!U278)</f>
        <v>421.58735630655002</v>
      </c>
      <c r="AC278" s="139">
        <f>IF(Data_Override!V278="",Data!V278,Data_Override!V278)</f>
        <v>46897.088021003001</v>
      </c>
      <c r="AD278" s="139">
        <f>IF(Data_Override!W278="",Data!W278,Data_Override!W278)</f>
        <v>3675.80777126678</v>
      </c>
    </row>
    <row r="279" spans="1:30" x14ac:dyDescent="0.2">
      <c r="A279" s="141" t="str">
        <f>B279&amp;RIGHT(C279,2)</f>
        <v>SVE22</v>
      </c>
      <c r="B279" s="142" t="str">
        <f t="shared" si="80"/>
        <v>SVE</v>
      </c>
      <c r="C279" s="142" t="s">
        <v>74</v>
      </c>
      <c r="D279" s="19" t="str">
        <f t="shared" si="72"/>
        <v>22</v>
      </c>
      <c r="E279" s="139">
        <f>IF(Data_Override!D279="",Data!D279,Data_Override!D279)</f>
        <v>0</v>
      </c>
      <c r="F279" s="139">
        <f>IF(Data_Override!E279="",Data!E279,Data_Override!E279)</f>
        <v>17.172999999999998</v>
      </c>
      <c r="G279" s="139">
        <f>IF(Data_Override!F279="",Data!F279,Data_Override!F279)</f>
        <v>0</v>
      </c>
      <c r="H279" s="139">
        <f>IF(Data_Override!G279="",Data!G279,Data_Override!G279)</f>
        <v>7.8470000000000004</v>
      </c>
      <c r="I279" s="140">
        <f t="shared" si="73"/>
        <v>17.172999999999998</v>
      </c>
      <c r="J279" s="140">
        <f t="shared" si="74"/>
        <v>7.8470000000000004</v>
      </c>
      <c r="L279" s="139">
        <f>IF(Data_Override!I279="",Data!I279,Data_Override!I279)</f>
        <v>0</v>
      </c>
      <c r="M279" s="139">
        <f>IF(Data_Override!J279="",Data!J279,Data_Override!J279)</f>
        <v>0</v>
      </c>
      <c r="N279" s="139">
        <f>IF(Data_Override!K279="",Data!K279,Data_Override!K279)</f>
        <v>0</v>
      </c>
      <c r="O279" s="139">
        <f>IF(Data_Override!L279="",Data!L279,Data_Override!L279)</f>
        <v>0.92113</v>
      </c>
      <c r="P279" s="140">
        <f t="shared" si="78"/>
        <v>0</v>
      </c>
      <c r="Q279" s="140">
        <f t="shared" si="79"/>
        <v>0.92113</v>
      </c>
      <c r="S279" s="139">
        <f>IF(Data_Override!N279="",Data!N279,Data_Override!N279)</f>
        <v>631.12859132579104</v>
      </c>
      <c r="U279" s="139">
        <f>IF(Data_Override!P279="",Data!P279,Data_Override!P279)</f>
        <v>0</v>
      </c>
      <c r="V279" s="139">
        <f>IF(Data_Override!Q279="",Data!Q279,Data_Override!Q279)</f>
        <v>0</v>
      </c>
      <c r="W279" s="139">
        <f>IF(Data_Override!R279="",Data!R279,Data_Override!R279)</f>
        <v>19.57</v>
      </c>
      <c r="X279" s="139">
        <f>IF(Data_Override!S279="",Data!S279,Data_Override!S279)</f>
        <v>19.57</v>
      </c>
      <c r="Y279" s="140">
        <f t="shared" si="76"/>
        <v>0</v>
      </c>
      <c r="Z279" s="140">
        <f t="shared" si="77"/>
        <v>19.57</v>
      </c>
      <c r="AB279" s="139">
        <f>IF(Data_Override!U279="",Data!U279,Data_Override!U279)</f>
        <v>406.56735630654998</v>
      </c>
      <c r="AC279" s="139">
        <f>IF(Data_Override!V279="",Data!V279,Data_Override!V279)</f>
        <v>47016.168021003003</v>
      </c>
      <c r="AD279" s="139">
        <f>IF(Data_Override!W279="",Data!W279,Data_Override!W279)</f>
        <v>3697.55658425194</v>
      </c>
    </row>
    <row r="280" spans="1:30" x14ac:dyDescent="0.2">
      <c r="A280" s="141" t="str">
        <f>B280&amp;RIGHT(C280,2)</f>
        <v>SVE23</v>
      </c>
      <c r="B280" s="142" t="str">
        <f t="shared" si="80"/>
        <v>SVE</v>
      </c>
      <c r="C280" s="142" t="s">
        <v>75</v>
      </c>
      <c r="D280" s="19" t="str">
        <f t="shared" si="72"/>
        <v>23</v>
      </c>
      <c r="E280" s="139">
        <f>IF(Data_Override!D280="",Data!D280,Data_Override!D280)</f>
        <v>0</v>
      </c>
      <c r="F280" s="139">
        <f>IF(Data_Override!E280="",Data!E280,Data_Override!E280)</f>
        <v>22.867000000000001</v>
      </c>
      <c r="G280" s="139">
        <f>IF(Data_Override!F280="",Data!F280,Data_Override!F280)</f>
        <v>0</v>
      </c>
      <c r="H280" s="139">
        <f>IF(Data_Override!G280="",Data!G280,Data_Override!G280)</f>
        <v>4.9489999999999998</v>
      </c>
      <c r="I280" s="140">
        <f t="shared" si="73"/>
        <v>22.867000000000001</v>
      </c>
      <c r="J280" s="140">
        <f t="shared" si="74"/>
        <v>4.9489999999999998</v>
      </c>
      <c r="L280" s="139">
        <f>IF(Data_Override!I280="",Data!I280,Data_Override!I280)</f>
        <v>0</v>
      </c>
      <c r="M280" s="139">
        <f>IF(Data_Override!J280="",Data!J280,Data_Override!J280)</f>
        <v>0</v>
      </c>
      <c r="N280" s="139">
        <f>IF(Data_Override!K280="",Data!K280,Data_Override!K280)</f>
        <v>0</v>
      </c>
      <c r="O280" s="139">
        <f>IF(Data_Override!L280="",Data!L280,Data_Override!L280)</f>
        <v>0.92113</v>
      </c>
      <c r="P280" s="140">
        <f t="shared" si="78"/>
        <v>0</v>
      </c>
      <c r="Q280" s="140">
        <f t="shared" si="79"/>
        <v>0.92113</v>
      </c>
      <c r="S280" s="139">
        <f>IF(Data_Override!N280="",Data!N280,Data_Override!N280)</f>
        <v>643.43469392974998</v>
      </c>
      <c r="U280" s="139">
        <f>IF(Data_Override!P280="",Data!P280,Data_Override!P280)</f>
        <v>0</v>
      </c>
      <c r="V280" s="139">
        <f>IF(Data_Override!Q280="",Data!Q280,Data_Override!Q280)</f>
        <v>0</v>
      </c>
      <c r="W280" s="139">
        <f>IF(Data_Override!R280="",Data!R280,Data_Override!R280)</f>
        <v>29.0004332033247</v>
      </c>
      <c r="X280" s="139">
        <f>IF(Data_Override!S280="",Data!S280,Data_Override!S280)</f>
        <v>29.0004332033247</v>
      </c>
      <c r="Y280" s="140">
        <f t="shared" si="76"/>
        <v>0</v>
      </c>
      <c r="Z280" s="140">
        <f t="shared" si="77"/>
        <v>29.0004332033247</v>
      </c>
      <c r="AB280" s="139">
        <f>IF(Data_Override!U280="",Data!U280,Data_Override!U280)</f>
        <v>384.84692310322498</v>
      </c>
      <c r="AC280" s="139">
        <f>IF(Data_Override!V280="",Data!V280,Data_Override!V280)</f>
        <v>47135.248021002997</v>
      </c>
      <c r="AD280" s="139">
        <f>IF(Data_Override!W280="",Data!W280,Data_Override!W280)</f>
        <v>3720.7210692249701</v>
      </c>
    </row>
    <row r="281" spans="1:30" x14ac:dyDescent="0.2">
      <c r="A281" s="141" t="str">
        <f>B281&amp;RIGHT(C281,2)</f>
        <v>SVE24</v>
      </c>
      <c r="B281" s="142" t="str">
        <f t="shared" si="80"/>
        <v>SVE</v>
      </c>
      <c r="C281" s="142" t="s">
        <v>76</v>
      </c>
      <c r="D281" s="19" t="str">
        <f t="shared" si="72"/>
        <v>24</v>
      </c>
      <c r="E281" s="139">
        <f>IF(Data_Override!D281="",Data!D281,Data_Override!D281)</f>
        <v>0</v>
      </c>
      <c r="F281" s="139">
        <f>IF(Data_Override!E281="",Data!E281,Data_Override!E281)</f>
        <v>29.83</v>
      </c>
      <c r="G281" s="139">
        <f>IF(Data_Override!F281="",Data!F281,Data_Override!F281)</f>
        <v>0</v>
      </c>
      <c r="H281" s="139">
        <f>IF(Data_Override!G281="",Data!G281,Data_Override!G281)</f>
        <v>4.9489999999999998</v>
      </c>
      <c r="I281" s="140">
        <f t="shared" si="73"/>
        <v>29.83</v>
      </c>
      <c r="J281" s="140">
        <f t="shared" si="74"/>
        <v>4.9489999999999998</v>
      </c>
      <c r="L281" s="139">
        <f>IF(Data_Override!I281="",Data!I281,Data_Override!I281)</f>
        <v>0</v>
      </c>
      <c r="M281" s="139">
        <f>IF(Data_Override!J281="",Data!J281,Data_Override!J281)</f>
        <v>0</v>
      </c>
      <c r="N281" s="139">
        <f>IF(Data_Override!K281="",Data!K281,Data_Override!K281)</f>
        <v>0</v>
      </c>
      <c r="O281" s="139">
        <f>IF(Data_Override!L281="",Data!L281,Data_Override!L281)</f>
        <v>0.92113</v>
      </c>
      <c r="P281" s="140">
        <f t="shared" si="78"/>
        <v>0</v>
      </c>
      <c r="Q281" s="140">
        <f t="shared" si="79"/>
        <v>0.92113</v>
      </c>
      <c r="S281" s="139">
        <f>IF(Data_Override!N281="",Data!N281,Data_Override!N281)</f>
        <v>635.41164547131598</v>
      </c>
      <c r="U281" s="139">
        <f>IF(Data_Override!P281="",Data!P281,Data_Override!P281)</f>
        <v>0</v>
      </c>
      <c r="V281" s="139">
        <f>IF(Data_Override!Q281="",Data!Q281,Data_Override!Q281)</f>
        <v>0</v>
      </c>
      <c r="W281" s="139">
        <f>IF(Data_Override!R281="",Data!R281,Data_Override!R281)</f>
        <v>35.060433203324699</v>
      </c>
      <c r="X281" s="139">
        <f>IF(Data_Override!S281="",Data!S281,Data_Override!S281)</f>
        <v>35.060433203324699</v>
      </c>
      <c r="Y281" s="140">
        <f t="shared" si="76"/>
        <v>0</v>
      </c>
      <c r="Z281" s="140">
        <f t="shared" si="77"/>
        <v>35.060433203324699</v>
      </c>
      <c r="AB281" s="139">
        <f>IF(Data_Override!U281="",Data!U281,Data_Override!U281)</f>
        <v>359.9764898999</v>
      </c>
      <c r="AC281" s="139">
        <f>IF(Data_Override!V281="",Data!V281,Data_Override!V281)</f>
        <v>47254.328021002999</v>
      </c>
      <c r="AD281" s="139">
        <f>IF(Data_Override!W281="",Data!W281,Data_Override!W281)</f>
        <v>3744.30130964006</v>
      </c>
    </row>
    <row r="282" spans="1:30" x14ac:dyDescent="0.2">
      <c r="A282" s="141" t="str">
        <f>B282&amp;RIGHT(C282,2)</f>
        <v>SVE25</v>
      </c>
      <c r="B282" s="142" t="str">
        <f t="shared" si="80"/>
        <v>SVE</v>
      </c>
      <c r="C282" s="142" t="s">
        <v>24</v>
      </c>
      <c r="D282" s="19" t="str">
        <f t="shared" si="72"/>
        <v>25</v>
      </c>
      <c r="E282" s="139">
        <f>IF(Data_Override!D282="",Data!D282,Data_Override!D282)</f>
        <v>0</v>
      </c>
      <c r="F282" s="139">
        <f>IF(Data_Override!E282="",Data!E282,Data_Override!E282)</f>
        <v>35.206000000000003</v>
      </c>
      <c r="G282" s="139">
        <f>IF(Data_Override!F282="",Data!F282,Data_Override!F282)</f>
        <v>0</v>
      </c>
      <c r="H282" s="139">
        <f>IF(Data_Override!G282="",Data!G282,Data_Override!G282)</f>
        <v>6.3979999999999997</v>
      </c>
      <c r="I282" s="140">
        <f t="shared" si="73"/>
        <v>35.206000000000003</v>
      </c>
      <c r="J282" s="140">
        <f t="shared" si="74"/>
        <v>6.3979999999999997</v>
      </c>
      <c r="L282" s="139">
        <f>IF(Data_Override!I282="",Data!I282,Data_Override!I282)</f>
        <v>0</v>
      </c>
      <c r="M282" s="139">
        <f>IF(Data_Override!J282="",Data!J282,Data_Override!J282)</f>
        <v>0</v>
      </c>
      <c r="N282" s="139">
        <f>IF(Data_Override!K282="",Data!K282,Data_Override!K282)</f>
        <v>0</v>
      </c>
      <c r="O282" s="139">
        <f>IF(Data_Override!L282="",Data!L282,Data_Override!L282)</f>
        <v>0.92113</v>
      </c>
      <c r="P282" s="140">
        <f t="shared" si="78"/>
        <v>0</v>
      </c>
      <c r="Q282" s="140">
        <f t="shared" si="79"/>
        <v>0.92113</v>
      </c>
      <c r="S282" s="139">
        <f>IF(Data_Override!N282="",Data!N282,Data_Override!N282)</f>
        <v>630.76354224170598</v>
      </c>
      <c r="U282" s="139">
        <f>IF(Data_Override!P282="",Data!P282,Data_Override!P282)</f>
        <v>0</v>
      </c>
      <c r="V282" s="139">
        <f>IF(Data_Override!Q282="",Data!Q282,Data_Override!Q282)</f>
        <v>0</v>
      </c>
      <c r="W282" s="139">
        <f>IF(Data_Override!R282="",Data!R282,Data_Override!R282)</f>
        <v>17.920435316341901</v>
      </c>
      <c r="X282" s="139">
        <f>IF(Data_Override!S282="",Data!S282,Data_Override!S282)</f>
        <v>17.920435316341901</v>
      </c>
      <c r="Y282" s="140">
        <f t="shared" si="76"/>
        <v>0</v>
      </c>
      <c r="Z282" s="140">
        <f t="shared" si="77"/>
        <v>17.920435316341901</v>
      </c>
      <c r="AB282" s="139">
        <f>IF(Data_Override!U282="",Data!U282,Data_Override!U282)</f>
        <v>357.25605458355801</v>
      </c>
      <c r="AC282" s="139">
        <f>IF(Data_Override!V282="",Data!V282,Data_Override!V282)</f>
        <v>47373.408021003001</v>
      </c>
      <c r="AD282" s="139">
        <f>IF(Data_Override!W282="",Data!W282,Data_Override!W282)</f>
        <v>3768.2953310395701</v>
      </c>
    </row>
    <row r="283" spans="1:30" hidden="1" x14ac:dyDescent="0.2">
      <c r="A283" s="19" t="str">
        <f t="shared" ref="A283:A292" si="81">B283&amp;RIGHT(C283,2)</f>
        <v>HDD12</v>
      </c>
      <c r="B283" s="19" t="s">
        <v>106</v>
      </c>
      <c r="C283" s="19" t="s">
        <v>64</v>
      </c>
      <c r="D283" s="19" t="str">
        <f t="shared" si="72"/>
        <v>12</v>
      </c>
      <c r="E283" s="139">
        <f>IF(Data_Override!D283="",Data!D283,Data_Override!D283)</f>
        <v>0</v>
      </c>
      <c r="F283" s="139">
        <f>IF(Data_Override!E283="",Data!E283,Data_Override!E283)</f>
        <v>0</v>
      </c>
      <c r="G283" s="139">
        <f>IF(Data_Override!F283="",Data!F283,Data_Override!F283)</f>
        <v>0</v>
      </c>
      <c r="H283" s="139">
        <f>IF(Data_Override!G283="",Data!G283,Data_Override!G283)</f>
        <v>0</v>
      </c>
      <c r="I283" s="140">
        <f t="shared" si="73"/>
        <v>0</v>
      </c>
      <c r="J283" s="140">
        <f t="shared" si="74"/>
        <v>0</v>
      </c>
      <c r="L283" s="139">
        <f>IF(Data_Override!I283="",Data!I283,Data_Override!I283)</f>
        <v>0</v>
      </c>
      <c r="M283" s="139">
        <f>IF(Data_Override!J283="",Data!J283,Data_Override!J283)</f>
        <v>0</v>
      </c>
      <c r="N283" s="139">
        <f>IF(Data_Override!K283="",Data!K283,Data_Override!K283)</f>
        <v>0</v>
      </c>
      <c r="O283" s="139">
        <f>IF(Data_Override!L283="",Data!L283,Data_Override!L283)</f>
        <v>0</v>
      </c>
      <c r="P283" s="140">
        <f t="shared" si="78"/>
        <v>0</v>
      </c>
      <c r="Q283" s="140">
        <f t="shared" si="79"/>
        <v>0</v>
      </c>
      <c r="S283" s="139">
        <f>IF(Data_Override!N283="",Data!N283,Data_Override!N283)</f>
        <v>0</v>
      </c>
      <c r="U283" s="139">
        <f>IF(Data_Override!P283="",Data!P283,Data_Override!P283)</f>
        <v>0</v>
      </c>
      <c r="V283" s="139">
        <f>IF(Data_Override!Q283="",Data!Q283,Data_Override!Q283)</f>
        <v>0</v>
      </c>
      <c r="W283" s="139">
        <f>IF(Data_Override!R283="",Data!R283,Data_Override!R283)</f>
        <v>0</v>
      </c>
      <c r="X283" s="139">
        <f>IF(Data_Override!S283="",Data!S283,Data_Override!S283)</f>
        <v>0</v>
      </c>
      <c r="Y283" s="140">
        <f t="shared" si="76"/>
        <v>0</v>
      </c>
      <c r="Z283" s="140">
        <f t="shared" si="77"/>
        <v>0</v>
      </c>
      <c r="AB283" s="139">
        <f>IF(Data_Override!U283="",Data!U283,Data_Override!U283)</f>
        <v>0</v>
      </c>
      <c r="AC283" s="139">
        <f>IF(Data_Override!V283="",Data!V283,Data_Override!V283)</f>
        <v>0</v>
      </c>
      <c r="AD283" s="139">
        <f>IF(Data_Override!W283="",Data!W283,Data_Override!W283)</f>
        <v>0</v>
      </c>
    </row>
    <row r="284" spans="1:30" hidden="1" x14ac:dyDescent="0.2">
      <c r="A284" s="19" t="str">
        <f t="shared" si="81"/>
        <v>HDD13</v>
      </c>
      <c r="B284" s="19" t="s">
        <v>106</v>
      </c>
      <c r="C284" s="19" t="s">
        <v>65</v>
      </c>
      <c r="D284" s="19" t="str">
        <f t="shared" si="72"/>
        <v>13</v>
      </c>
      <c r="E284" s="139">
        <f>IF(Data_Override!D284="",Data!D284,Data_Override!D284)</f>
        <v>0</v>
      </c>
      <c r="F284" s="139">
        <f>IF(Data_Override!E284="",Data!E284,Data_Override!E284)</f>
        <v>0</v>
      </c>
      <c r="G284" s="139">
        <f>IF(Data_Override!F284="",Data!F284,Data_Override!F284)</f>
        <v>0</v>
      </c>
      <c r="H284" s="139">
        <f>IF(Data_Override!G284="",Data!G284,Data_Override!G284)</f>
        <v>0</v>
      </c>
      <c r="I284" s="140">
        <f t="shared" si="73"/>
        <v>0</v>
      </c>
      <c r="J284" s="140">
        <f t="shared" si="74"/>
        <v>0</v>
      </c>
      <c r="L284" s="139">
        <f>IF(Data_Override!I284="",Data!I284,Data_Override!I284)</f>
        <v>0</v>
      </c>
      <c r="M284" s="139">
        <f>IF(Data_Override!J284="",Data!J284,Data_Override!J284)</f>
        <v>0</v>
      </c>
      <c r="N284" s="139">
        <f>IF(Data_Override!K284="",Data!K284,Data_Override!K284)</f>
        <v>0</v>
      </c>
      <c r="O284" s="139">
        <f>IF(Data_Override!L284="",Data!L284,Data_Override!L284)</f>
        <v>0</v>
      </c>
      <c r="P284" s="140">
        <f t="shared" si="78"/>
        <v>0</v>
      </c>
      <c r="Q284" s="140">
        <f t="shared" si="79"/>
        <v>0</v>
      </c>
      <c r="S284" s="139">
        <f>IF(Data_Override!N284="",Data!N284,Data_Override!N284)</f>
        <v>0</v>
      </c>
      <c r="U284" s="139">
        <f>IF(Data_Override!P284="",Data!P284,Data_Override!P284)</f>
        <v>0</v>
      </c>
      <c r="V284" s="139">
        <f>IF(Data_Override!Q284="",Data!Q284,Data_Override!Q284)</f>
        <v>0</v>
      </c>
      <c r="W284" s="139">
        <f>IF(Data_Override!R284="",Data!R284,Data_Override!R284)</f>
        <v>0</v>
      </c>
      <c r="X284" s="139">
        <f>IF(Data_Override!S284="",Data!S284,Data_Override!S284)</f>
        <v>0</v>
      </c>
      <c r="Y284" s="140">
        <f t="shared" si="76"/>
        <v>0</v>
      </c>
      <c r="Z284" s="140">
        <f t="shared" si="77"/>
        <v>0</v>
      </c>
      <c r="AB284" s="139">
        <f>IF(Data_Override!U284="",Data!U284,Data_Override!U284)</f>
        <v>0</v>
      </c>
      <c r="AC284" s="139">
        <f>IF(Data_Override!V284="",Data!V284,Data_Override!V284)</f>
        <v>0</v>
      </c>
      <c r="AD284" s="139">
        <f>IF(Data_Override!W284="",Data!W284,Data_Override!W284)</f>
        <v>0</v>
      </c>
    </row>
    <row r="285" spans="1:30" hidden="1" x14ac:dyDescent="0.2">
      <c r="A285" s="19" t="str">
        <f t="shared" si="81"/>
        <v>HDD14</v>
      </c>
      <c r="B285" s="19" t="s">
        <v>106</v>
      </c>
      <c r="C285" s="19" t="s">
        <v>66</v>
      </c>
      <c r="D285" s="19" t="str">
        <f t="shared" si="72"/>
        <v>14</v>
      </c>
      <c r="E285" s="139">
        <f>IF(Data_Override!D285="",Data!D285,Data_Override!D285)</f>
        <v>0</v>
      </c>
      <c r="F285" s="139">
        <f>IF(Data_Override!E285="",Data!E285,Data_Override!E285)</f>
        <v>0</v>
      </c>
      <c r="G285" s="139">
        <f>IF(Data_Override!F285="",Data!F285,Data_Override!F285)</f>
        <v>0</v>
      </c>
      <c r="H285" s="139">
        <f>IF(Data_Override!G285="",Data!G285,Data_Override!G285)</f>
        <v>0</v>
      </c>
      <c r="I285" s="140">
        <f t="shared" si="73"/>
        <v>0</v>
      </c>
      <c r="J285" s="140">
        <f t="shared" si="74"/>
        <v>0</v>
      </c>
      <c r="L285" s="139">
        <f>IF(Data_Override!I285="",Data!I285,Data_Override!I285)</f>
        <v>0</v>
      </c>
      <c r="M285" s="139">
        <f>IF(Data_Override!J285="",Data!J285,Data_Override!J285)</f>
        <v>0</v>
      </c>
      <c r="N285" s="139">
        <f>IF(Data_Override!K285="",Data!K285,Data_Override!K285)</f>
        <v>0</v>
      </c>
      <c r="O285" s="139">
        <f>IF(Data_Override!L285="",Data!L285,Data_Override!L285)</f>
        <v>0</v>
      </c>
      <c r="P285" s="140">
        <f t="shared" si="78"/>
        <v>0</v>
      </c>
      <c r="Q285" s="140">
        <f t="shared" si="79"/>
        <v>0</v>
      </c>
      <c r="S285" s="139">
        <f>IF(Data_Override!N285="",Data!N285,Data_Override!N285)</f>
        <v>0</v>
      </c>
      <c r="U285" s="139">
        <f>IF(Data_Override!P285="",Data!P285,Data_Override!P285)</f>
        <v>0</v>
      </c>
      <c r="V285" s="139">
        <f>IF(Data_Override!Q285="",Data!Q285,Data_Override!Q285)</f>
        <v>0</v>
      </c>
      <c r="W285" s="139">
        <f>IF(Data_Override!R285="",Data!R285,Data_Override!R285)</f>
        <v>0</v>
      </c>
      <c r="X285" s="139">
        <f>IF(Data_Override!S285="",Data!S285,Data_Override!S285)</f>
        <v>0</v>
      </c>
      <c r="Y285" s="140">
        <f t="shared" si="76"/>
        <v>0</v>
      </c>
      <c r="Z285" s="140">
        <f t="shared" si="77"/>
        <v>0</v>
      </c>
      <c r="AB285" s="139">
        <f>IF(Data_Override!U285="",Data!U285,Data_Override!U285)</f>
        <v>0</v>
      </c>
      <c r="AC285" s="139">
        <f>IF(Data_Override!V285="",Data!V285,Data_Override!V285)</f>
        <v>0</v>
      </c>
      <c r="AD285" s="139">
        <f>IF(Data_Override!W285="",Data!W285,Data_Override!W285)</f>
        <v>0</v>
      </c>
    </row>
    <row r="286" spans="1:30" hidden="1" x14ac:dyDescent="0.2">
      <c r="A286" s="19" t="str">
        <f t="shared" si="81"/>
        <v>HDD15</v>
      </c>
      <c r="B286" s="19" t="s">
        <v>106</v>
      </c>
      <c r="C286" s="19" t="s">
        <v>67</v>
      </c>
      <c r="D286" s="19" t="str">
        <f t="shared" si="72"/>
        <v>15</v>
      </c>
      <c r="E286" s="139">
        <f>IF(Data_Override!D286="",Data!D286,Data_Override!D286)</f>
        <v>0</v>
      </c>
      <c r="F286" s="139">
        <f>IF(Data_Override!E286="",Data!E286,Data_Override!E286)</f>
        <v>0</v>
      </c>
      <c r="G286" s="139">
        <f>IF(Data_Override!F286="",Data!F286,Data_Override!F286)</f>
        <v>0</v>
      </c>
      <c r="H286" s="139">
        <f>IF(Data_Override!G286="",Data!G286,Data_Override!G286)</f>
        <v>0</v>
      </c>
      <c r="I286" s="140">
        <f t="shared" si="73"/>
        <v>0</v>
      </c>
      <c r="J286" s="140">
        <f t="shared" si="74"/>
        <v>0</v>
      </c>
      <c r="L286" s="139">
        <f>IF(Data_Override!I286="",Data!I286,Data_Override!I286)</f>
        <v>0</v>
      </c>
      <c r="M286" s="139">
        <f>IF(Data_Override!J286="",Data!J286,Data_Override!J286)</f>
        <v>0</v>
      </c>
      <c r="N286" s="139">
        <f>IF(Data_Override!K286="",Data!K286,Data_Override!K286)</f>
        <v>0</v>
      </c>
      <c r="O286" s="139">
        <f>IF(Data_Override!L286="",Data!L286,Data_Override!L286)</f>
        <v>0</v>
      </c>
      <c r="P286" s="140">
        <f t="shared" si="78"/>
        <v>0</v>
      </c>
      <c r="Q286" s="140">
        <f t="shared" si="79"/>
        <v>0</v>
      </c>
      <c r="S286" s="139">
        <f>IF(Data_Override!N286="",Data!N286,Data_Override!N286)</f>
        <v>0</v>
      </c>
      <c r="U286" s="139">
        <f>IF(Data_Override!P286="",Data!P286,Data_Override!P286)</f>
        <v>0</v>
      </c>
      <c r="V286" s="139">
        <f>IF(Data_Override!Q286="",Data!Q286,Data_Override!Q286)</f>
        <v>0</v>
      </c>
      <c r="W286" s="139">
        <f>IF(Data_Override!R286="",Data!R286,Data_Override!R286)</f>
        <v>0</v>
      </c>
      <c r="X286" s="139">
        <f>IF(Data_Override!S286="",Data!S286,Data_Override!S286)</f>
        <v>0</v>
      </c>
      <c r="Y286" s="140">
        <f t="shared" si="76"/>
        <v>0</v>
      </c>
      <c r="Z286" s="140">
        <f t="shared" si="77"/>
        <v>0</v>
      </c>
      <c r="AB286" s="139">
        <f>IF(Data_Override!U286="",Data!U286,Data_Override!U286)</f>
        <v>0</v>
      </c>
      <c r="AC286" s="139">
        <f>IF(Data_Override!V286="",Data!V286,Data_Override!V286)</f>
        <v>0</v>
      </c>
      <c r="AD286" s="139">
        <f>IF(Data_Override!W286="",Data!W286,Data_Override!W286)</f>
        <v>0</v>
      </c>
    </row>
    <row r="287" spans="1:30" hidden="1" x14ac:dyDescent="0.2">
      <c r="A287" s="19" t="str">
        <f t="shared" si="81"/>
        <v>HDD16</v>
      </c>
      <c r="B287" s="19" t="s">
        <v>106</v>
      </c>
      <c r="C287" s="19" t="s">
        <v>68</v>
      </c>
      <c r="D287" s="19" t="str">
        <f t="shared" si="72"/>
        <v>16</v>
      </c>
      <c r="E287" s="139">
        <f>IF(Data_Override!D287="",Data!D287,Data_Override!D287)</f>
        <v>0</v>
      </c>
      <c r="F287" s="139">
        <f>IF(Data_Override!E287="",Data!E287,Data_Override!E287)</f>
        <v>0</v>
      </c>
      <c r="G287" s="139">
        <f>IF(Data_Override!F287="",Data!F287,Data_Override!F287)</f>
        <v>0</v>
      </c>
      <c r="H287" s="139">
        <f>IF(Data_Override!G287="",Data!G287,Data_Override!G287)</f>
        <v>0</v>
      </c>
      <c r="I287" s="140">
        <f t="shared" si="73"/>
        <v>0</v>
      </c>
      <c r="J287" s="140">
        <f t="shared" si="74"/>
        <v>0</v>
      </c>
      <c r="L287" s="139">
        <f>IF(Data_Override!I287="",Data!I287,Data_Override!I287)</f>
        <v>0</v>
      </c>
      <c r="M287" s="139">
        <f>IF(Data_Override!J287="",Data!J287,Data_Override!J287)</f>
        <v>0</v>
      </c>
      <c r="N287" s="139">
        <f>IF(Data_Override!K287="",Data!K287,Data_Override!K287)</f>
        <v>0</v>
      </c>
      <c r="O287" s="139">
        <f>IF(Data_Override!L287="",Data!L287,Data_Override!L287)</f>
        <v>0</v>
      </c>
      <c r="P287" s="140">
        <f t="shared" si="78"/>
        <v>0</v>
      </c>
      <c r="Q287" s="140">
        <f t="shared" si="79"/>
        <v>0</v>
      </c>
      <c r="S287" s="139">
        <f>IF(Data_Override!N287="",Data!N287,Data_Override!N287)</f>
        <v>0</v>
      </c>
      <c r="U287" s="139">
        <f>IF(Data_Override!P287="",Data!P287,Data_Override!P287)</f>
        <v>0</v>
      </c>
      <c r="V287" s="139">
        <f>IF(Data_Override!Q287="",Data!Q287,Data_Override!Q287)</f>
        <v>0</v>
      </c>
      <c r="W287" s="139">
        <f>IF(Data_Override!R287="",Data!R287,Data_Override!R287)</f>
        <v>0</v>
      </c>
      <c r="X287" s="139">
        <f>IF(Data_Override!S287="",Data!S287,Data_Override!S287)</f>
        <v>0</v>
      </c>
      <c r="Y287" s="140">
        <f t="shared" si="76"/>
        <v>0</v>
      </c>
      <c r="Z287" s="140">
        <f t="shared" si="77"/>
        <v>0</v>
      </c>
      <c r="AB287" s="139">
        <f>IF(Data_Override!U287="",Data!U287,Data_Override!U287)</f>
        <v>0</v>
      </c>
      <c r="AC287" s="139">
        <f>IF(Data_Override!V287="",Data!V287,Data_Override!V287)</f>
        <v>0</v>
      </c>
      <c r="AD287" s="139">
        <f>IF(Data_Override!W287="",Data!W287,Data_Override!W287)</f>
        <v>0</v>
      </c>
    </row>
    <row r="288" spans="1:30" hidden="1" x14ac:dyDescent="0.2">
      <c r="A288" s="19" t="str">
        <f t="shared" si="81"/>
        <v>HDD17</v>
      </c>
      <c r="B288" s="19" t="s">
        <v>106</v>
      </c>
      <c r="C288" s="19" t="s">
        <v>69</v>
      </c>
      <c r="D288" s="19" t="str">
        <f t="shared" si="72"/>
        <v>17</v>
      </c>
      <c r="E288" s="139">
        <f>IF(Data_Override!D288="",Data!D288,Data_Override!D288)</f>
        <v>0</v>
      </c>
      <c r="F288" s="139">
        <f>IF(Data_Override!E288="",Data!E288,Data_Override!E288)</f>
        <v>0</v>
      </c>
      <c r="G288" s="139">
        <f>IF(Data_Override!F288="",Data!F288,Data_Override!F288)</f>
        <v>0</v>
      </c>
      <c r="H288" s="139">
        <f>IF(Data_Override!G288="",Data!G288,Data_Override!G288)</f>
        <v>0</v>
      </c>
      <c r="I288" s="140">
        <f t="shared" si="73"/>
        <v>0</v>
      </c>
      <c r="J288" s="140">
        <f t="shared" si="74"/>
        <v>0</v>
      </c>
      <c r="L288" s="139">
        <f>IF(Data_Override!I288="",Data!I288,Data_Override!I288)</f>
        <v>0</v>
      </c>
      <c r="M288" s="139">
        <f>IF(Data_Override!J288="",Data!J288,Data_Override!J288)</f>
        <v>0</v>
      </c>
      <c r="N288" s="139">
        <f>IF(Data_Override!K288="",Data!K288,Data_Override!K288)</f>
        <v>0</v>
      </c>
      <c r="O288" s="139">
        <f>IF(Data_Override!L288="",Data!L288,Data_Override!L288)</f>
        <v>0</v>
      </c>
      <c r="P288" s="140">
        <f t="shared" si="78"/>
        <v>0</v>
      </c>
      <c r="Q288" s="140">
        <f t="shared" si="79"/>
        <v>0</v>
      </c>
      <c r="S288" s="139">
        <f>IF(Data_Override!N288="",Data!N288,Data_Override!N288)</f>
        <v>0</v>
      </c>
      <c r="U288" s="139">
        <f>IF(Data_Override!P288="",Data!P288,Data_Override!P288)</f>
        <v>0</v>
      </c>
      <c r="V288" s="139">
        <f>IF(Data_Override!Q288="",Data!Q288,Data_Override!Q288)</f>
        <v>0</v>
      </c>
      <c r="W288" s="139">
        <f>IF(Data_Override!R288="",Data!R288,Data_Override!R288)</f>
        <v>0</v>
      </c>
      <c r="X288" s="139">
        <f>IF(Data_Override!S288="",Data!S288,Data_Override!S288)</f>
        <v>0</v>
      </c>
      <c r="Y288" s="140">
        <f t="shared" si="76"/>
        <v>0</v>
      </c>
      <c r="Z288" s="140">
        <f t="shared" si="77"/>
        <v>0</v>
      </c>
      <c r="AB288" s="139">
        <f>IF(Data_Override!U288="",Data!U288,Data_Override!U288)</f>
        <v>0</v>
      </c>
      <c r="AC288" s="139">
        <f>IF(Data_Override!V288="",Data!V288,Data_Override!V288)</f>
        <v>0</v>
      </c>
      <c r="AD288" s="139">
        <f>IF(Data_Override!W288="",Data!W288,Data_Override!W288)</f>
        <v>0</v>
      </c>
    </row>
    <row r="289" spans="1:30" hidden="1" x14ac:dyDescent="0.2">
      <c r="A289" s="141" t="str">
        <f t="shared" si="81"/>
        <v>HDD18</v>
      </c>
      <c r="B289" s="142" t="str">
        <f>B288</f>
        <v>HDD</v>
      </c>
      <c r="C289" s="142" t="s">
        <v>70</v>
      </c>
      <c r="D289" s="19" t="str">
        <f t="shared" si="72"/>
        <v>18</v>
      </c>
      <c r="E289" s="139">
        <f>IF(Data_Override!D289="",Data!D289,Data_Override!D289)</f>
        <v>0</v>
      </c>
      <c r="F289" s="139">
        <f>IF(Data_Override!E289="",Data!E289,Data_Override!E289)</f>
        <v>0</v>
      </c>
      <c r="G289" s="139">
        <f>IF(Data_Override!F289="",Data!F289,Data_Override!F289)</f>
        <v>0</v>
      </c>
      <c r="H289" s="139">
        <f>IF(Data_Override!G289="",Data!G289,Data_Override!G289)</f>
        <v>0.12432094690781099</v>
      </c>
      <c r="I289" s="140">
        <f t="shared" si="73"/>
        <v>0</v>
      </c>
      <c r="J289" s="140">
        <f t="shared" si="74"/>
        <v>0.12432094690781099</v>
      </c>
      <c r="L289" s="139">
        <f>IF(Data_Override!I289="",Data!I289,Data_Override!I289)</f>
        <v>0</v>
      </c>
      <c r="M289" s="139">
        <f>IF(Data_Override!J289="",Data!J289,Data_Override!J289)</f>
        <v>0</v>
      </c>
      <c r="N289" s="139">
        <f>IF(Data_Override!K289="",Data!K289,Data_Override!K289)</f>
        <v>0</v>
      </c>
      <c r="O289" s="139">
        <f>IF(Data_Override!L289="",Data!L289,Data_Override!L289)</f>
        <v>0</v>
      </c>
      <c r="P289" s="140">
        <f t="shared" si="78"/>
        <v>0</v>
      </c>
      <c r="Q289" s="140">
        <f t="shared" si="79"/>
        <v>0</v>
      </c>
      <c r="S289" s="139">
        <f>IF(Data_Override!N289="",Data!N289,Data_Override!N289)</f>
        <v>28.883528135844902</v>
      </c>
      <c r="U289" s="139">
        <f>IF(Data_Override!P289="",Data!P289,Data_Override!P289)</f>
        <v>0</v>
      </c>
      <c r="V289" s="139">
        <f>IF(Data_Override!Q289="",Data!Q289,Data_Override!Q289)</f>
        <v>0</v>
      </c>
      <c r="W289" s="139">
        <f>IF(Data_Override!R289="",Data!R289,Data_Override!R289)</f>
        <v>0</v>
      </c>
      <c r="X289" s="139">
        <f>IF(Data_Override!S289="",Data!S289,Data_Override!S289)</f>
        <v>0</v>
      </c>
      <c r="Y289" s="140">
        <f t="shared" si="76"/>
        <v>0</v>
      </c>
      <c r="Z289" s="140">
        <f t="shared" si="77"/>
        <v>0</v>
      </c>
      <c r="AB289" s="139">
        <f>IF(Data_Override!U289="",Data!U289,Data_Override!U289)</f>
        <v>14.6198616647624</v>
      </c>
      <c r="AC289" s="139">
        <f>IF(Data_Override!V289="",Data!V289,Data_Override!V289)</f>
        <v>2626.6137800000001</v>
      </c>
      <c r="AD289" s="139">
        <f>IF(Data_Override!W289="",Data!W289,Data_Override!W289)</f>
        <v>104.86799999999999</v>
      </c>
    </row>
    <row r="290" spans="1:30" hidden="1" x14ac:dyDescent="0.2">
      <c r="A290" s="141" t="str">
        <f t="shared" si="81"/>
        <v>HDD19</v>
      </c>
      <c r="B290" s="142" t="str">
        <f>B289</f>
        <v>HDD</v>
      </c>
      <c r="C290" s="142" t="s">
        <v>71</v>
      </c>
      <c r="D290" s="19" t="str">
        <f t="shared" si="72"/>
        <v>19</v>
      </c>
      <c r="E290" s="139">
        <f>IF(Data_Override!D290="",Data!D290,Data_Override!D290)</f>
        <v>0</v>
      </c>
      <c r="F290" s="139">
        <f>IF(Data_Override!E290="",Data!E290,Data_Override!E290)</f>
        <v>0</v>
      </c>
      <c r="G290" s="139">
        <f>IF(Data_Override!F290="",Data!F290,Data_Override!F290)</f>
        <v>0</v>
      </c>
      <c r="H290" s="139">
        <f>IF(Data_Override!G290="",Data!G290,Data_Override!G290)</f>
        <v>5.72923327785195E-2</v>
      </c>
      <c r="I290" s="140">
        <f t="shared" si="73"/>
        <v>0</v>
      </c>
      <c r="J290" s="140">
        <f t="shared" si="74"/>
        <v>5.72923327785195E-2</v>
      </c>
      <c r="L290" s="139">
        <f>IF(Data_Override!I290="",Data!I290,Data_Override!I290)</f>
        <v>0</v>
      </c>
      <c r="M290" s="139">
        <f>IF(Data_Override!J290="",Data!J290,Data_Override!J290)</f>
        <v>0</v>
      </c>
      <c r="N290" s="139">
        <f>IF(Data_Override!K290="",Data!K290,Data_Override!K290)</f>
        <v>0</v>
      </c>
      <c r="O290" s="139">
        <f>IF(Data_Override!L290="",Data!L290,Data_Override!L290)</f>
        <v>0</v>
      </c>
      <c r="P290" s="140">
        <f t="shared" si="78"/>
        <v>0</v>
      </c>
      <c r="Q290" s="140">
        <f t="shared" si="79"/>
        <v>0</v>
      </c>
      <c r="S290" s="139">
        <f>IF(Data_Override!N290="",Data!N290,Data_Override!N290)</f>
        <v>31.639380728239999</v>
      </c>
      <c r="U290" s="139">
        <f>IF(Data_Override!P290="",Data!P290,Data_Override!P290)</f>
        <v>0</v>
      </c>
      <c r="V290" s="139">
        <f>IF(Data_Override!Q290="",Data!Q290,Data_Override!Q290)</f>
        <v>0</v>
      </c>
      <c r="W290" s="139">
        <f>IF(Data_Override!R290="",Data!R290,Data_Override!R290)</f>
        <v>0</v>
      </c>
      <c r="X290" s="139">
        <f>IF(Data_Override!S290="",Data!S290,Data_Override!S290)</f>
        <v>0</v>
      </c>
      <c r="Y290" s="140">
        <f t="shared" si="76"/>
        <v>0</v>
      </c>
      <c r="Z290" s="140">
        <f t="shared" si="77"/>
        <v>0</v>
      </c>
      <c r="AB290" s="139">
        <f>IF(Data_Override!U290="",Data!U290,Data_Override!U290)</f>
        <v>14.5657326228533</v>
      </c>
      <c r="AC290" s="139">
        <f>IF(Data_Override!V290="",Data!V290,Data_Override!V290)</f>
        <v>2637.31378</v>
      </c>
      <c r="AD290" s="139">
        <f>IF(Data_Override!W290="",Data!W290,Data_Override!W290)</f>
        <v>105.212032502396</v>
      </c>
    </row>
    <row r="291" spans="1:30" hidden="1" x14ac:dyDescent="0.2">
      <c r="A291" s="141" t="str">
        <f t="shared" si="81"/>
        <v>HDD20</v>
      </c>
      <c r="B291" s="142" t="str">
        <f t="shared" ref="B291:B296" si="82">B290</f>
        <v>HDD</v>
      </c>
      <c r="C291" s="142" t="s">
        <v>72</v>
      </c>
      <c r="D291" s="19" t="str">
        <f t="shared" si="72"/>
        <v>20</v>
      </c>
      <c r="E291" s="139">
        <f>IF(Data_Override!D291="",Data!D291,Data_Override!D291)</f>
        <v>0</v>
      </c>
      <c r="F291" s="139">
        <f>IF(Data_Override!E291="",Data!E291,Data_Override!E291)</f>
        <v>0</v>
      </c>
      <c r="G291" s="139">
        <f>IF(Data_Override!F291="",Data!F291,Data_Override!F291)</f>
        <v>0</v>
      </c>
      <c r="H291" s="139">
        <f>IF(Data_Override!G291="",Data!G291,Data_Override!G291)</f>
        <v>9.2659836419697703E-2</v>
      </c>
      <c r="I291" s="140">
        <f t="shared" si="73"/>
        <v>0</v>
      </c>
      <c r="J291" s="140">
        <f t="shared" si="74"/>
        <v>9.2659836419697703E-2</v>
      </c>
      <c r="L291" s="139">
        <f>IF(Data_Override!I291="",Data!I291,Data_Override!I291)</f>
        <v>0</v>
      </c>
      <c r="M291" s="139">
        <f>IF(Data_Override!J291="",Data!J291,Data_Override!J291)</f>
        <v>0</v>
      </c>
      <c r="N291" s="139">
        <f>IF(Data_Override!K291="",Data!K291,Data_Override!K291)</f>
        <v>0</v>
      </c>
      <c r="O291" s="139">
        <f>IF(Data_Override!L291="",Data!L291,Data_Override!L291)</f>
        <v>0</v>
      </c>
      <c r="P291" s="140">
        <f t="shared" si="78"/>
        <v>0</v>
      </c>
      <c r="Q291" s="140">
        <f t="shared" si="79"/>
        <v>0</v>
      </c>
      <c r="S291" s="139">
        <f>IF(Data_Override!N291="",Data!N291,Data_Override!N291)</f>
        <v>24.7939310449453</v>
      </c>
      <c r="U291" s="139">
        <f>IF(Data_Override!P291="",Data!P291,Data_Override!P291)</f>
        <v>0</v>
      </c>
      <c r="V291" s="139">
        <f>IF(Data_Override!Q291="",Data!Q291,Data_Override!Q291)</f>
        <v>0</v>
      </c>
      <c r="W291" s="139">
        <f>IF(Data_Override!R291="",Data!R291,Data_Override!R291)</f>
        <v>0</v>
      </c>
      <c r="X291" s="139">
        <f>IF(Data_Override!S291="",Data!S291,Data_Override!S291)</f>
        <v>0</v>
      </c>
      <c r="Y291" s="140">
        <f t="shared" si="76"/>
        <v>0</v>
      </c>
      <c r="Z291" s="140">
        <f t="shared" si="77"/>
        <v>0</v>
      </c>
      <c r="AB291" s="139">
        <f>IF(Data_Override!U291="",Data!U291,Data_Override!U291)</f>
        <v>14.512425451575799</v>
      </c>
      <c r="AC291" s="139">
        <f>IF(Data_Override!V291="",Data!V291,Data_Override!V291)</f>
        <v>2648.0137800000002</v>
      </c>
      <c r="AD291" s="139">
        <f>IF(Data_Override!W291="",Data!W291,Data_Override!W291)</f>
        <v>105.55601013804799</v>
      </c>
    </row>
    <row r="292" spans="1:30" x14ac:dyDescent="0.2">
      <c r="A292" s="141" t="str">
        <f t="shared" si="81"/>
        <v>HDD21</v>
      </c>
      <c r="B292" s="142" t="str">
        <f t="shared" si="82"/>
        <v>HDD</v>
      </c>
      <c r="C292" s="142" t="s">
        <v>73</v>
      </c>
      <c r="D292" s="19" t="str">
        <f t="shared" si="72"/>
        <v>21</v>
      </c>
      <c r="E292" s="139">
        <f>IF(Data_Override!D292="",Data!D292,Data_Override!D292)</f>
        <v>0</v>
      </c>
      <c r="F292" s="139">
        <f>IF(Data_Override!E292="",Data!E292,Data_Override!E292)</f>
        <v>0</v>
      </c>
      <c r="G292" s="139">
        <f>IF(Data_Override!F292="",Data!F292,Data_Override!F292)</f>
        <v>0</v>
      </c>
      <c r="H292" s="139">
        <f>IF(Data_Override!G292="",Data!G292,Data_Override!G292)</f>
        <v>0</v>
      </c>
      <c r="I292" s="140">
        <f t="shared" si="73"/>
        <v>0</v>
      </c>
      <c r="J292" s="140">
        <f t="shared" si="74"/>
        <v>0</v>
      </c>
      <c r="L292" s="139">
        <f>IF(Data_Override!I292="",Data!I292,Data_Override!I292)</f>
        <v>0</v>
      </c>
      <c r="M292" s="139">
        <f>IF(Data_Override!J292="",Data!J292,Data_Override!J292)</f>
        <v>0</v>
      </c>
      <c r="N292" s="139">
        <f>IF(Data_Override!K292="",Data!K292,Data_Override!K292)</f>
        <v>0</v>
      </c>
      <c r="O292" s="139">
        <f>IF(Data_Override!L292="",Data!L292,Data_Override!L292)</f>
        <v>0</v>
      </c>
      <c r="P292" s="140">
        <f t="shared" si="78"/>
        <v>0</v>
      </c>
      <c r="Q292" s="140">
        <f t="shared" si="79"/>
        <v>0</v>
      </c>
      <c r="S292" s="139">
        <f>IF(Data_Override!N292="",Data!N292,Data_Override!N292)</f>
        <v>27.46</v>
      </c>
      <c r="U292" s="139">
        <f>IF(Data_Override!P292="",Data!P292,Data_Override!P292)</f>
        <v>0</v>
      </c>
      <c r="V292" s="139">
        <f>IF(Data_Override!Q292="",Data!Q292,Data_Override!Q292)</f>
        <v>0</v>
      </c>
      <c r="W292" s="139">
        <f>IF(Data_Override!R292="",Data!R292,Data_Override!R292)</f>
        <v>0.43661491466276803</v>
      </c>
      <c r="X292" s="139">
        <f>IF(Data_Override!S292="",Data!S292,Data_Override!S292)</f>
        <v>0.43661491466276803</v>
      </c>
      <c r="Y292" s="140">
        <f t="shared" si="76"/>
        <v>0</v>
      </c>
      <c r="Z292" s="140">
        <f t="shared" si="77"/>
        <v>0.43661491466276803</v>
      </c>
      <c r="AB292" s="139">
        <f>IF(Data_Override!U292="",Data!U292,Data_Override!U292)</f>
        <v>14.076107528233401</v>
      </c>
      <c r="AC292" s="139">
        <f>IF(Data_Override!V292="",Data!V292,Data_Override!V292)</f>
        <v>2658.71378</v>
      </c>
      <c r="AD292" s="139">
        <f>IF(Data_Override!W292="",Data!W292,Data_Override!W292)</f>
        <v>105.90804264044399</v>
      </c>
    </row>
    <row r="293" spans="1:30" x14ac:dyDescent="0.2">
      <c r="A293" s="141" t="str">
        <f>B293&amp;RIGHT(C293,2)</f>
        <v>HDD22</v>
      </c>
      <c r="B293" s="142" t="str">
        <f t="shared" si="82"/>
        <v>HDD</v>
      </c>
      <c r="C293" s="142" t="s">
        <v>74</v>
      </c>
      <c r="D293" s="19" t="str">
        <f t="shared" si="72"/>
        <v>22</v>
      </c>
      <c r="E293" s="139">
        <f>IF(Data_Override!D293="",Data!D293,Data_Override!D293)</f>
        <v>0</v>
      </c>
      <c r="F293" s="139">
        <f>IF(Data_Override!E293="",Data!E293,Data_Override!E293)</f>
        <v>0</v>
      </c>
      <c r="G293" s="139">
        <f>IF(Data_Override!F293="",Data!F293,Data_Override!F293)</f>
        <v>0</v>
      </c>
      <c r="H293" s="139">
        <f>IF(Data_Override!G293="",Data!G293,Data_Override!G293)</f>
        <v>0</v>
      </c>
      <c r="I293" s="140">
        <f t="shared" si="73"/>
        <v>0</v>
      </c>
      <c r="J293" s="140">
        <f t="shared" si="74"/>
        <v>0</v>
      </c>
      <c r="L293" s="139">
        <f>IF(Data_Override!I293="",Data!I293,Data_Override!I293)</f>
        <v>0</v>
      </c>
      <c r="M293" s="139">
        <f>IF(Data_Override!J293="",Data!J293,Data_Override!J293)</f>
        <v>0</v>
      </c>
      <c r="N293" s="139">
        <f>IF(Data_Override!K293="",Data!K293,Data_Override!K293)</f>
        <v>0</v>
      </c>
      <c r="O293" s="139">
        <f>IF(Data_Override!L293="",Data!L293,Data_Override!L293)</f>
        <v>0</v>
      </c>
      <c r="P293" s="140">
        <f t="shared" si="78"/>
        <v>0</v>
      </c>
      <c r="Q293" s="140">
        <f t="shared" si="79"/>
        <v>0</v>
      </c>
      <c r="S293" s="139">
        <f>IF(Data_Override!N293="",Data!N293,Data_Override!N293)</f>
        <v>27.120999999999999</v>
      </c>
      <c r="U293" s="139">
        <f>IF(Data_Override!P293="",Data!P293,Data_Override!P293)</f>
        <v>0</v>
      </c>
      <c r="V293" s="139">
        <f>IF(Data_Override!Q293="",Data!Q293,Data_Override!Q293)</f>
        <v>0</v>
      </c>
      <c r="W293" s="139">
        <f>IF(Data_Override!R293="",Data!R293,Data_Override!R293)</f>
        <v>0.43563471273246002</v>
      </c>
      <c r="X293" s="139">
        <f>IF(Data_Override!S293="",Data!S293,Data_Override!S293)</f>
        <v>0.43563471273246002</v>
      </c>
      <c r="Y293" s="140">
        <f t="shared" si="76"/>
        <v>0</v>
      </c>
      <c r="Z293" s="140">
        <f t="shared" si="77"/>
        <v>0.43563471273246002</v>
      </c>
      <c r="AB293" s="139">
        <f>IF(Data_Override!U293="",Data!U293,Data_Override!U293)</f>
        <v>13.640763996432399</v>
      </c>
      <c r="AC293" s="139">
        <f>IF(Data_Override!V293="",Data!V293,Data_Override!V293)</f>
        <v>2669.4137799999999</v>
      </c>
      <c r="AD293" s="139">
        <f>IF(Data_Override!W293="",Data!W293,Data_Override!W293)</f>
        <v>106.28807514284</v>
      </c>
    </row>
    <row r="294" spans="1:30" x14ac:dyDescent="0.2">
      <c r="A294" s="141" t="str">
        <f>B294&amp;RIGHT(C294,2)</f>
        <v>HDD23</v>
      </c>
      <c r="B294" s="142" t="str">
        <f t="shared" si="82"/>
        <v>HDD</v>
      </c>
      <c r="C294" s="142" t="s">
        <v>75</v>
      </c>
      <c r="D294" s="19" t="str">
        <f t="shared" si="72"/>
        <v>23</v>
      </c>
      <c r="E294" s="139">
        <f>IF(Data_Override!D294="",Data!D294,Data_Override!D294)</f>
        <v>0</v>
      </c>
      <c r="F294" s="139">
        <f>IF(Data_Override!E294="",Data!E294,Data_Override!E294)</f>
        <v>0</v>
      </c>
      <c r="G294" s="139">
        <f>IF(Data_Override!F294="",Data!F294,Data_Override!F294)</f>
        <v>0</v>
      </c>
      <c r="H294" s="139">
        <f>IF(Data_Override!G294="",Data!G294,Data_Override!G294)</f>
        <v>0</v>
      </c>
      <c r="I294" s="140">
        <f t="shared" si="73"/>
        <v>0</v>
      </c>
      <c r="J294" s="140">
        <f t="shared" si="74"/>
        <v>0</v>
      </c>
      <c r="L294" s="139">
        <f>IF(Data_Override!I294="",Data!I294,Data_Override!I294)</f>
        <v>0</v>
      </c>
      <c r="M294" s="139">
        <f>IF(Data_Override!J294="",Data!J294,Data_Override!J294)</f>
        <v>0</v>
      </c>
      <c r="N294" s="139">
        <f>IF(Data_Override!K294="",Data!K294,Data_Override!K294)</f>
        <v>0</v>
      </c>
      <c r="O294" s="139">
        <f>IF(Data_Override!L294="",Data!L294,Data_Override!L294)</f>
        <v>0</v>
      </c>
      <c r="P294" s="140">
        <f t="shared" si="78"/>
        <v>0</v>
      </c>
      <c r="Q294" s="140">
        <f t="shared" si="79"/>
        <v>0</v>
      </c>
      <c r="S294" s="139">
        <f>IF(Data_Override!N294="",Data!N294,Data_Override!N294)</f>
        <v>26.327000000000002</v>
      </c>
      <c r="U294" s="139">
        <f>IF(Data_Override!P294="",Data!P294,Data_Override!P294)</f>
        <v>0</v>
      </c>
      <c r="V294" s="139">
        <f>IF(Data_Override!Q294="",Data!Q294,Data_Override!Q294)</f>
        <v>0</v>
      </c>
      <c r="W294" s="139">
        <f>IF(Data_Override!R294="",Data!R294,Data_Override!R294)</f>
        <v>0.43562930742116901</v>
      </c>
      <c r="X294" s="139">
        <f>IF(Data_Override!S294="",Data!S294,Data_Override!S294)</f>
        <v>0.43562930742116901</v>
      </c>
      <c r="Y294" s="140">
        <f t="shared" si="76"/>
        <v>0</v>
      </c>
      <c r="Z294" s="140">
        <f t="shared" si="77"/>
        <v>0.43562930742116901</v>
      </c>
      <c r="AB294" s="139">
        <f>IF(Data_Override!U294="",Data!U294,Data_Override!U294)</f>
        <v>13.205420464631301</v>
      </c>
      <c r="AC294" s="139">
        <f>IF(Data_Override!V294="",Data!V294,Data_Override!V294)</f>
        <v>2680.1137800000001</v>
      </c>
      <c r="AD294" s="139">
        <f>IF(Data_Override!W294="",Data!W294,Data_Override!W294)</f>
        <v>106.695107645237</v>
      </c>
    </row>
    <row r="295" spans="1:30" x14ac:dyDescent="0.2">
      <c r="A295" s="141" t="str">
        <f>B295&amp;RIGHT(C295,2)</f>
        <v>HDD24</v>
      </c>
      <c r="B295" s="142" t="str">
        <f t="shared" si="82"/>
        <v>HDD</v>
      </c>
      <c r="C295" s="142" t="s">
        <v>76</v>
      </c>
      <c r="D295" s="19" t="str">
        <f t="shared" si="72"/>
        <v>24</v>
      </c>
      <c r="E295" s="139">
        <f>IF(Data_Override!D295="",Data!D295,Data_Override!D295)</f>
        <v>0</v>
      </c>
      <c r="F295" s="139">
        <f>IF(Data_Override!E295="",Data!E295,Data_Override!E295)</f>
        <v>0</v>
      </c>
      <c r="G295" s="139">
        <f>IF(Data_Override!F295="",Data!F295,Data_Override!F295)</f>
        <v>0</v>
      </c>
      <c r="H295" s="139">
        <f>IF(Data_Override!G295="",Data!G295,Data_Override!G295)</f>
        <v>0</v>
      </c>
      <c r="I295" s="140">
        <f t="shared" si="73"/>
        <v>0</v>
      </c>
      <c r="J295" s="140">
        <f t="shared" si="74"/>
        <v>0</v>
      </c>
      <c r="L295" s="139">
        <f>IF(Data_Override!I295="",Data!I295,Data_Override!I295)</f>
        <v>0</v>
      </c>
      <c r="M295" s="139">
        <f>IF(Data_Override!J295="",Data!J295,Data_Override!J295)</f>
        <v>0</v>
      </c>
      <c r="N295" s="139">
        <f>IF(Data_Override!K295="",Data!K295,Data_Override!K295)</f>
        <v>0</v>
      </c>
      <c r="O295" s="139">
        <f>IF(Data_Override!L295="",Data!L295,Data_Override!L295)</f>
        <v>0</v>
      </c>
      <c r="P295" s="140">
        <f t="shared" si="78"/>
        <v>0</v>
      </c>
      <c r="Q295" s="140">
        <f t="shared" si="79"/>
        <v>0</v>
      </c>
      <c r="S295" s="139">
        <f>IF(Data_Override!N295="",Data!N295,Data_Override!N295)</f>
        <v>25.742000000000001</v>
      </c>
      <c r="U295" s="139">
        <f>IF(Data_Override!P295="",Data!P295,Data_Override!P295)</f>
        <v>0</v>
      </c>
      <c r="V295" s="139">
        <f>IF(Data_Override!Q295="",Data!Q295,Data_Override!Q295)</f>
        <v>0</v>
      </c>
      <c r="W295" s="139">
        <f>IF(Data_Override!R295="",Data!R295,Data_Override!R295)</f>
        <v>0.43562374834568102</v>
      </c>
      <c r="X295" s="139">
        <f>IF(Data_Override!S295="",Data!S295,Data_Override!S295)</f>
        <v>0.43562374834568102</v>
      </c>
      <c r="Y295" s="140">
        <f t="shared" si="76"/>
        <v>0</v>
      </c>
      <c r="Z295" s="140">
        <f t="shared" si="77"/>
        <v>0.43562374834568102</v>
      </c>
      <c r="AB295" s="139">
        <f>IF(Data_Override!U295="",Data!U295,Data_Override!U295)</f>
        <v>12.7700769328303</v>
      </c>
      <c r="AC295" s="139">
        <f>IF(Data_Override!V295="",Data!V295,Data_Override!V295)</f>
        <v>2690.81378</v>
      </c>
      <c r="AD295" s="139">
        <f>IF(Data_Override!W295="",Data!W295,Data_Override!W295)</f>
        <v>107.110167581005</v>
      </c>
    </row>
    <row r="296" spans="1:30" x14ac:dyDescent="0.2">
      <c r="A296" s="141" t="str">
        <f>B296&amp;RIGHT(C296,2)</f>
        <v>HDD25</v>
      </c>
      <c r="B296" s="142" t="str">
        <f t="shared" si="82"/>
        <v>HDD</v>
      </c>
      <c r="C296" s="142" t="s">
        <v>24</v>
      </c>
      <c r="D296" s="19" t="str">
        <f t="shared" si="72"/>
        <v>25</v>
      </c>
      <c r="E296" s="139">
        <f>IF(Data_Override!D296="",Data!D296,Data_Override!D296)</f>
        <v>0</v>
      </c>
      <c r="F296" s="139">
        <f>IF(Data_Override!E296="",Data!E296,Data_Override!E296)</f>
        <v>0</v>
      </c>
      <c r="G296" s="139">
        <f>IF(Data_Override!F296="",Data!F296,Data_Override!F296)</f>
        <v>0</v>
      </c>
      <c r="H296" s="139">
        <f>IF(Data_Override!G296="",Data!G296,Data_Override!G296)</f>
        <v>0</v>
      </c>
      <c r="I296" s="140">
        <f t="shared" si="73"/>
        <v>0</v>
      </c>
      <c r="J296" s="140">
        <f t="shared" si="74"/>
        <v>0</v>
      </c>
      <c r="L296" s="139">
        <f>IF(Data_Override!I296="",Data!I296,Data_Override!I296)</f>
        <v>0</v>
      </c>
      <c r="M296" s="139">
        <f>IF(Data_Override!J296="",Data!J296,Data_Override!J296)</f>
        <v>0</v>
      </c>
      <c r="N296" s="139">
        <f>IF(Data_Override!K296="",Data!K296,Data_Override!K296)</f>
        <v>0</v>
      </c>
      <c r="O296" s="139">
        <f>IF(Data_Override!L296="",Data!L296,Data_Override!L296)</f>
        <v>0</v>
      </c>
      <c r="P296" s="140">
        <f t="shared" si="78"/>
        <v>0</v>
      </c>
      <c r="Q296" s="140">
        <f t="shared" si="79"/>
        <v>0</v>
      </c>
      <c r="S296" s="139">
        <f>IF(Data_Override!N296="",Data!N296,Data_Override!N296)</f>
        <v>26.044</v>
      </c>
      <c r="U296" s="139">
        <f>IF(Data_Override!P296="",Data!P296,Data_Override!P296)</f>
        <v>0</v>
      </c>
      <c r="V296" s="139">
        <f>IF(Data_Override!Q296="",Data!Q296,Data_Override!Q296)</f>
        <v>0</v>
      </c>
      <c r="W296" s="139">
        <f>IF(Data_Override!R296="",Data!R296,Data_Override!R296)</f>
        <v>0.43561845266001198</v>
      </c>
      <c r="X296" s="139">
        <f>IF(Data_Override!S296="",Data!S296,Data_Override!S296)</f>
        <v>0.43561845266001198</v>
      </c>
      <c r="Y296" s="140">
        <f t="shared" si="76"/>
        <v>0</v>
      </c>
      <c r="Z296" s="140">
        <f t="shared" si="77"/>
        <v>0.43561845266001198</v>
      </c>
      <c r="AB296" s="139">
        <f>IF(Data_Override!U296="",Data!U296,Data_Override!U296)</f>
        <v>12.3347334010293</v>
      </c>
      <c r="AC296" s="139">
        <f>IF(Data_Override!V296="",Data!V296,Data_Override!V296)</f>
        <v>2701.5137800000002</v>
      </c>
      <c r="AD296" s="139">
        <f>IF(Data_Override!W296="",Data!W296,Data_Override!W296)</f>
        <v>107.53322751677401</v>
      </c>
    </row>
    <row r="297" spans="1:30" hidden="1" x14ac:dyDescent="0.2">
      <c r="E297" s="147"/>
      <c r="I297" s="271">
        <f>SUM(I8:I296)</f>
        <v>905.46632633733941</v>
      </c>
      <c r="J297" s="271">
        <f>SUM(J8:J296)</f>
        <v>1527.5500498458348</v>
      </c>
      <c r="K297" s="271"/>
      <c r="L297" s="147"/>
      <c r="P297" s="271">
        <f>SUM(P8:P296)</f>
        <v>40.528546844050169</v>
      </c>
      <c r="Q297" s="271">
        <f>SUM(Q8:Q296)</f>
        <v>304.23210795253084</v>
      </c>
      <c r="S297" s="275">
        <f>SUM(S8:S296)</f>
        <v>66767.856552038182</v>
      </c>
      <c r="Y297" s="271">
        <f>SUM(Y8:Y296)</f>
        <v>298.97602541071802</v>
      </c>
      <c r="Z297" s="271">
        <f>SUM(Z8:Z296)</f>
        <v>1126.3022112519234</v>
      </c>
      <c r="AB297" s="277">
        <f t="shared" ref="AB297:AD297" si="83">SUM(AB8:AB296)</f>
        <v>23983.953442278907</v>
      </c>
      <c r="AC297" s="277">
        <f t="shared" si="83"/>
        <v>2836822.7192412489</v>
      </c>
      <c r="AD297" s="277">
        <f t="shared" si="83"/>
        <v>218940.72669009809</v>
      </c>
    </row>
    <row r="298" spans="1:30" x14ac:dyDescent="0.2">
      <c r="P298" s="146"/>
      <c r="Q298" s="146"/>
    </row>
    <row r="299" spans="1:30" x14ac:dyDescent="0.2">
      <c r="E299" s="146"/>
      <c r="F299" s="146"/>
      <c r="G299" s="146"/>
      <c r="H299" s="146"/>
      <c r="I299" s="146">
        <v>1001.3430093373396</v>
      </c>
      <c r="J299" s="146">
        <v>1527.5500498458348</v>
      </c>
      <c r="L299" s="146"/>
      <c r="M299" s="146"/>
      <c r="N299" s="146"/>
      <c r="O299" s="146"/>
      <c r="P299" s="271">
        <v>45.072518307225423</v>
      </c>
      <c r="Q299" s="271">
        <v>304.23210795253084</v>
      </c>
      <c r="S299" s="102">
        <v>66767.856551205041</v>
      </c>
      <c r="U299" s="146"/>
      <c r="V299" s="146"/>
      <c r="W299" s="146"/>
      <c r="X299" s="146"/>
      <c r="Y299" s="271">
        <v>329.44602541071811</v>
      </c>
      <c r="Z299" s="271">
        <v>1139.6962947640529</v>
      </c>
      <c r="AB299" s="276">
        <v>23965.323442278906</v>
      </c>
      <c r="AC299" s="276">
        <v>2836822.7192412489</v>
      </c>
      <c r="AD299" s="276">
        <v>218940.72669009809</v>
      </c>
    </row>
    <row r="301" spans="1:30" x14ac:dyDescent="0.2">
      <c r="U301" s="102"/>
      <c r="V301" s="102"/>
      <c r="W301" s="102"/>
      <c r="X301" s="102"/>
    </row>
    <row r="302" spans="1:30" x14ac:dyDescent="0.2">
      <c r="AB302" s="185">
        <f>AB297-AB299</f>
        <v>18.630000000001019</v>
      </c>
    </row>
    <row r="304" spans="1:30" x14ac:dyDescent="0.2">
      <c r="AB304" s="185">
        <f>864.57+AB302</f>
        <v>883.20000000000107</v>
      </c>
    </row>
  </sheetData>
  <autoFilter ref="A7:AG297">
    <filterColumn colId="3">
      <filters>
        <filter val="21"/>
        <filter val="22"/>
        <filter val="23"/>
        <filter val="24"/>
        <filter val="25"/>
      </filters>
    </filterColumn>
  </autoFilter>
  <mergeCells count="2">
    <mergeCell ref="E2:J2"/>
    <mergeCell ref="L2:Q2"/>
  </mergeCells>
  <conditionalFormatting sqref="E297">
    <cfRule type="cellIs" dxfId="132" priority="12" operator="equal">
      <formula>TRUE</formula>
    </cfRule>
  </conditionalFormatting>
  <conditionalFormatting sqref="I297:K297">
    <cfRule type="cellIs" dxfId="131" priority="11" operator="equal">
      <formula>TRUE</formula>
    </cfRule>
  </conditionalFormatting>
  <conditionalFormatting sqref="L297">
    <cfRule type="cellIs" dxfId="130" priority="10" operator="equal">
      <formula>TRUE</formula>
    </cfRule>
  </conditionalFormatting>
  <conditionalFormatting sqref="Y299:Z299">
    <cfRule type="cellIs" dxfId="129" priority="3" operator="equal">
      <formula>TRUE</formula>
    </cfRule>
  </conditionalFormatting>
  <conditionalFormatting sqref="P297:Q297">
    <cfRule type="cellIs" dxfId="128" priority="8" operator="equal">
      <formula>TRUE</formula>
    </cfRule>
  </conditionalFormatting>
  <conditionalFormatting sqref="P299:Q299">
    <cfRule type="cellIs" dxfId="127" priority="5" operator="equal">
      <formula>TRUE</formula>
    </cfRule>
  </conditionalFormatting>
  <conditionalFormatting sqref="Y297:Z297">
    <cfRule type="cellIs" dxfId="126" priority="4" operator="equal">
      <formula>TRUE</formula>
    </cfRule>
  </conditionalFormatting>
  <conditionalFormatting sqref="AB297:AD297">
    <cfRule type="cellIs" dxfId="125" priority="2" operator="equal">
      <formula>TRUE</formula>
    </cfRule>
  </conditionalFormatting>
  <conditionalFormatting sqref="S297">
    <cfRule type="cellIs" dxfId="124" priority="1" operator="equal">
      <formula>TRUE</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O43"/>
  <sheetViews>
    <sheetView zoomScale="90" zoomScaleNormal="90" workbookViewId="0"/>
  </sheetViews>
  <sheetFormatPr defaultColWidth="8.85546875" defaultRowHeight="15" x14ac:dyDescent="0.25"/>
  <cols>
    <col min="1" max="3" width="20.7109375" style="41" customWidth="1"/>
    <col min="4" max="6" width="17" customWidth="1"/>
    <col min="7" max="7" width="14.7109375" customWidth="1"/>
    <col min="8" max="8" width="14" customWidth="1"/>
    <col min="9" max="9" width="16" customWidth="1"/>
    <col min="10" max="10" width="14.28515625" customWidth="1"/>
    <col min="11" max="11" width="19.7109375" customWidth="1"/>
  </cols>
  <sheetData>
    <row r="1" spans="1:15" ht="18.75" x14ac:dyDescent="0.25">
      <c r="A1" s="516" t="s">
        <v>314</v>
      </c>
      <c r="B1" s="343"/>
      <c r="C1" s="343"/>
      <c r="D1" s="308"/>
      <c r="E1" s="308"/>
      <c r="F1" s="308"/>
      <c r="G1" s="308"/>
      <c r="H1" s="308"/>
      <c r="I1" s="308"/>
      <c r="J1" s="308"/>
      <c r="K1" s="308"/>
      <c r="L1" s="308"/>
      <c r="M1" s="308"/>
      <c r="N1" s="308"/>
      <c r="O1" s="308"/>
    </row>
    <row r="2" spans="1:15" ht="15.75" thickBot="1" x14ac:dyDescent="0.3">
      <c r="A2" s="87"/>
      <c r="B2" s="343"/>
      <c r="C2" s="343"/>
      <c r="D2" s="308"/>
      <c r="E2" s="308"/>
      <c r="F2" s="308"/>
      <c r="G2" s="308"/>
      <c r="H2" s="308"/>
      <c r="I2" s="308"/>
      <c r="J2" s="308"/>
      <c r="K2" s="308"/>
      <c r="L2" s="308"/>
      <c r="M2" s="308"/>
      <c r="N2" s="308"/>
      <c r="O2" s="308"/>
    </row>
    <row r="3" spans="1:15" ht="44.25" customHeight="1" thickBot="1" x14ac:dyDescent="0.3">
      <c r="A3" s="587" t="s">
        <v>940</v>
      </c>
      <c r="B3" s="588">
        <f ca="1">ROUND(F32,1)</f>
        <v>1.2</v>
      </c>
      <c r="C3" s="589" t="s">
        <v>315</v>
      </c>
      <c r="D3" s="706" t="s">
        <v>836</v>
      </c>
      <c r="E3" s="706"/>
      <c r="F3" s="706"/>
      <c r="G3" s="706"/>
      <c r="H3" s="706"/>
      <c r="I3" s="706"/>
      <c r="J3" s="521"/>
      <c r="K3" s="521"/>
      <c r="L3" s="521"/>
      <c r="M3" s="521"/>
      <c r="N3" s="521"/>
      <c r="O3" s="521"/>
    </row>
    <row r="4" spans="1:15" ht="40.15" customHeight="1" thickBot="1" x14ac:dyDescent="0.3">
      <c r="A4" s="584" t="s">
        <v>894</v>
      </c>
      <c r="B4" s="585">
        <f ca="1">I32</f>
        <v>2.0302304832713758</v>
      </c>
      <c r="C4" s="586" t="s">
        <v>315</v>
      </c>
      <c r="D4" s="520"/>
      <c r="E4" s="520"/>
      <c r="F4" s="520"/>
      <c r="G4" s="520"/>
      <c r="H4" s="520"/>
      <c r="I4" s="520"/>
      <c r="J4" s="520"/>
      <c r="K4" s="520"/>
      <c r="L4" s="520"/>
      <c r="M4" s="520"/>
      <c r="N4" s="520"/>
      <c r="O4" s="520"/>
    </row>
    <row r="5" spans="1:15" s="308" customFormat="1" ht="17.649999999999999" customHeight="1" x14ac:dyDescent="0.25">
      <c r="A5" s="517"/>
      <c r="B5" s="518"/>
      <c r="C5" s="519"/>
      <c r="D5" s="520"/>
      <c r="E5" s="520"/>
      <c r="F5" s="520"/>
      <c r="G5" s="520"/>
      <c r="H5" s="520"/>
      <c r="I5" s="520"/>
      <c r="J5" s="520"/>
      <c r="K5" s="520"/>
      <c r="L5" s="520"/>
      <c r="M5" s="520"/>
      <c r="N5" s="520"/>
      <c r="O5" s="520"/>
    </row>
    <row r="6" spans="1:15" x14ac:dyDescent="0.25">
      <c r="A6" s="87" t="s">
        <v>303</v>
      </c>
      <c r="B6" s="343"/>
      <c r="C6" s="343"/>
      <c r="D6" s="308"/>
      <c r="E6" s="308"/>
      <c r="F6" s="308"/>
      <c r="G6" s="308"/>
      <c r="H6" s="308"/>
      <c r="I6" s="308"/>
      <c r="J6" s="308"/>
      <c r="K6" s="308"/>
      <c r="L6" s="308"/>
      <c r="M6" s="308"/>
      <c r="N6" s="308"/>
      <c r="O6" s="308"/>
    </row>
    <row r="7" spans="1:15" x14ac:dyDescent="0.25">
      <c r="A7" s="167" t="s">
        <v>895</v>
      </c>
      <c r="B7" s="343"/>
      <c r="C7" s="343"/>
      <c r="D7" s="308"/>
      <c r="E7" s="308"/>
      <c r="F7" s="308"/>
      <c r="G7" s="308"/>
      <c r="H7" s="308"/>
      <c r="I7" s="308"/>
      <c r="J7" s="308"/>
      <c r="K7" s="308"/>
      <c r="L7" s="308"/>
      <c r="M7" s="308"/>
      <c r="N7" s="308"/>
      <c r="O7" s="308"/>
    </row>
    <row r="8" spans="1:15" x14ac:dyDescent="0.25">
      <c r="A8" s="167" t="s">
        <v>941</v>
      </c>
      <c r="B8" s="343"/>
      <c r="C8" s="343"/>
      <c r="D8" s="308"/>
      <c r="E8" s="308"/>
      <c r="F8" s="308"/>
      <c r="G8" s="308"/>
      <c r="H8" s="308"/>
      <c r="I8" s="308"/>
      <c r="J8" s="308"/>
      <c r="K8" s="308"/>
      <c r="L8" s="308"/>
      <c r="M8" s="308"/>
      <c r="N8" s="308"/>
      <c r="O8" s="308"/>
    </row>
    <row r="9" spans="1:15" x14ac:dyDescent="0.25">
      <c r="A9" s="167" t="s">
        <v>942</v>
      </c>
      <c r="B9" s="343"/>
      <c r="C9" s="343"/>
      <c r="D9" s="308"/>
      <c r="E9" s="308"/>
      <c r="F9" s="308"/>
      <c r="G9" s="308"/>
      <c r="H9" s="308"/>
      <c r="I9" s="308"/>
      <c r="J9" s="308"/>
      <c r="K9" s="308"/>
      <c r="L9" s="308"/>
      <c r="M9" s="308"/>
      <c r="N9" s="308"/>
      <c r="O9" s="308"/>
    </row>
    <row r="10" spans="1:15" x14ac:dyDescent="0.25">
      <c r="A10" s="465" t="s">
        <v>943</v>
      </c>
      <c r="B10" s="343"/>
      <c r="C10" s="343"/>
      <c r="D10" s="308"/>
      <c r="E10" s="308"/>
      <c r="F10" s="308"/>
      <c r="G10" s="308"/>
      <c r="H10" s="308"/>
      <c r="I10" s="308"/>
      <c r="J10" s="308"/>
      <c r="K10" s="308"/>
      <c r="L10" s="308"/>
      <c r="M10" s="308"/>
      <c r="N10" s="308"/>
      <c r="O10" s="308"/>
    </row>
    <row r="11" spans="1:15" x14ac:dyDescent="0.25">
      <c r="A11" s="167" t="s">
        <v>896</v>
      </c>
      <c r="B11" s="343"/>
      <c r="C11" s="343"/>
      <c r="D11" s="308"/>
      <c r="E11" s="308"/>
      <c r="F11" s="308"/>
      <c r="G11" s="308"/>
      <c r="H11" s="308"/>
      <c r="I11" s="308"/>
      <c r="J11" s="308"/>
      <c r="K11" s="308"/>
      <c r="L11" s="308"/>
      <c r="M11" s="308"/>
      <c r="N11" s="308"/>
      <c r="O11" s="308"/>
    </row>
    <row r="12" spans="1:15" x14ac:dyDescent="0.25">
      <c r="A12" s="167" t="s">
        <v>944</v>
      </c>
      <c r="B12" s="343"/>
      <c r="C12" s="343"/>
      <c r="D12" s="308"/>
      <c r="E12" s="308"/>
      <c r="F12" s="308"/>
      <c r="G12" s="308"/>
      <c r="H12" s="308"/>
      <c r="I12" s="308"/>
      <c r="J12" s="308"/>
      <c r="K12" s="308"/>
      <c r="L12" s="308"/>
      <c r="M12" s="308"/>
      <c r="N12" s="308"/>
      <c r="O12" s="308"/>
    </row>
    <row r="13" spans="1:15" ht="15.75" thickBot="1" x14ac:dyDescent="0.3">
      <c r="A13" s="343"/>
      <c r="B13" s="343"/>
      <c r="C13" s="343"/>
      <c r="D13" s="308"/>
      <c r="E13" s="308"/>
      <c r="F13" s="308"/>
      <c r="G13" s="308"/>
      <c r="H13" s="308"/>
      <c r="I13" s="308"/>
      <c r="J13" s="308"/>
      <c r="K13" s="308"/>
      <c r="L13" s="308"/>
      <c r="M13" s="308"/>
      <c r="N13" s="308"/>
      <c r="O13" s="308"/>
    </row>
    <row r="14" spans="1:15" ht="60.75" thickBot="1" x14ac:dyDescent="0.3">
      <c r="A14" s="535" t="s">
        <v>312</v>
      </c>
      <c r="B14" s="536" t="s">
        <v>897</v>
      </c>
      <c r="C14" s="536" t="s">
        <v>899</v>
      </c>
      <c r="D14" s="537" t="s">
        <v>316</v>
      </c>
      <c r="E14" s="538" t="s">
        <v>901</v>
      </c>
      <c r="F14" s="538" t="s">
        <v>902</v>
      </c>
      <c r="G14" s="536" t="s">
        <v>898</v>
      </c>
      <c r="H14" s="536" t="s">
        <v>900</v>
      </c>
      <c r="I14" s="539" t="s">
        <v>904</v>
      </c>
      <c r="J14" s="519" t="s">
        <v>303</v>
      </c>
      <c r="M14" s="308"/>
      <c r="N14" s="308"/>
      <c r="O14" s="308"/>
    </row>
    <row r="15" spans="1:15" x14ac:dyDescent="0.25">
      <c r="A15" s="531" t="s">
        <v>35</v>
      </c>
      <c r="B15" s="528">
        <f ca="1">INDIRECT("'Deep dive_"&amp;$A15&amp;"'!C21")</f>
        <v>37.483169629710517</v>
      </c>
      <c r="C15" s="528">
        <f ca="1">INDIRECT("'Deep dive_"&amp;A15&amp;"'!D21")</f>
        <v>53.885000000000005</v>
      </c>
      <c r="D15" s="529">
        <f ca="1">INDIRECT("'Deep dive_"&amp;A15&amp;"'!C31")</f>
        <v>1.437578532774048</v>
      </c>
      <c r="E15" s="530" t="s">
        <v>42</v>
      </c>
      <c r="F15" s="530">
        <f t="shared" ref="F15:F31" ca="1" si="0">IF(E15="Yes",D15,"")</f>
        <v>1.437578532774048</v>
      </c>
      <c r="G15" s="528">
        <f ca="1">INDIRECT("'Deep dive_"&amp;$A15&amp;"'!C24")</f>
        <v>30</v>
      </c>
      <c r="H15" s="528">
        <f ca="1">INDIRECT("'Deep dive_"&amp;$A15&amp;"'!D24")</f>
        <v>48.2</v>
      </c>
      <c r="I15" s="532">
        <f ca="1">INDIRECT("'Deep dive_"&amp;A15&amp;"'!C32")</f>
        <v>1.6066666666666667</v>
      </c>
      <c r="J15" s="308"/>
      <c r="M15" s="308"/>
      <c r="N15" s="308"/>
      <c r="O15" s="308"/>
    </row>
    <row r="16" spans="1:15" x14ac:dyDescent="0.25">
      <c r="A16" s="168" t="s">
        <v>26</v>
      </c>
      <c r="B16" s="522">
        <f t="shared" ref="B16:B17" ca="1" si="1">INDIRECT("'Deep dive_"&amp;$A16&amp;"'!C21")</f>
        <v>6</v>
      </c>
      <c r="C16" s="522">
        <f ca="1">INDIRECT("'Deep dive_"&amp;A16&amp;"'!D21")</f>
        <v>56.415934759999999</v>
      </c>
      <c r="D16" s="330">
        <f ca="1">INDIRECT("'Deep dive_"&amp;A16&amp;"'!C31")</f>
        <v>1.2118505747126436</v>
      </c>
      <c r="E16" s="424" t="s">
        <v>42</v>
      </c>
      <c r="F16" s="424">
        <f t="shared" ca="1" si="0"/>
        <v>1.2118505747126436</v>
      </c>
      <c r="G16" s="522">
        <f ca="1">INDIRECT("'Deep dive_"&amp;$A16&amp;"'!C24")</f>
        <v>23.35</v>
      </c>
      <c r="H16" s="522">
        <f ca="1">INDIRECT("'Deep dive_"&amp;$A16&amp;"'!D24")</f>
        <v>76.938999999999993</v>
      </c>
      <c r="I16" s="533">
        <f ca="1">INDIRECT("'Deep dive_"&amp;A16&amp;"'!C32")</f>
        <v>3.2950321199143464</v>
      </c>
      <c r="J16" s="308" t="s">
        <v>945</v>
      </c>
      <c r="M16" s="308"/>
      <c r="N16" s="308"/>
      <c r="O16" s="308"/>
    </row>
    <row r="17" spans="1:15" x14ac:dyDescent="0.25">
      <c r="A17" s="168" t="s">
        <v>36</v>
      </c>
      <c r="B17" s="522">
        <f t="shared" ca="1" si="1"/>
        <v>0.19000000000000039</v>
      </c>
      <c r="C17" s="522">
        <f ca="1">INDIRECT("'Deep dive_"&amp;A17&amp;"'!D21")</f>
        <v>6.0000000000000053E-3</v>
      </c>
      <c r="D17" s="330"/>
      <c r="E17" s="424"/>
      <c r="F17" s="424" t="str">
        <f t="shared" si="0"/>
        <v/>
      </c>
      <c r="G17" s="522">
        <f ca="1">INDIRECT("'Deep dive_"&amp;$A17&amp;"'!C24")</f>
        <v>6.5</v>
      </c>
      <c r="H17" s="522">
        <f ca="1">INDIRECT("'Deep dive_"&amp;$A17&amp;"'!D24")</f>
        <v>4.2289999999999992</v>
      </c>
      <c r="I17" s="533">
        <f ca="1">INDIRECT("'Deep dive_"&amp;A17&amp;"'!C32")</f>
        <v>0.65061538461538448</v>
      </c>
      <c r="J17" s="308" t="s">
        <v>946</v>
      </c>
      <c r="M17" s="308"/>
      <c r="N17" s="308"/>
      <c r="O17" s="308"/>
    </row>
    <row r="18" spans="1:15" x14ac:dyDescent="0.25">
      <c r="A18" s="168" t="s">
        <v>106</v>
      </c>
      <c r="B18" s="522"/>
      <c r="C18" s="522"/>
      <c r="D18" s="330"/>
      <c r="E18" s="424"/>
      <c r="F18" s="424" t="str">
        <f t="shared" si="0"/>
        <v/>
      </c>
      <c r="G18" s="522"/>
      <c r="H18" s="522"/>
      <c r="I18" s="533"/>
      <c r="J18" s="308"/>
      <c r="M18" s="308"/>
      <c r="N18" s="308"/>
      <c r="O18" s="308"/>
    </row>
    <row r="19" spans="1:15" x14ac:dyDescent="0.25">
      <c r="A19" s="168" t="s">
        <v>28</v>
      </c>
      <c r="B19" s="522"/>
      <c r="C19" s="522"/>
      <c r="D19" s="330"/>
      <c r="E19" s="424"/>
      <c r="F19" s="424" t="str">
        <f t="shared" si="0"/>
        <v/>
      </c>
      <c r="G19" s="522"/>
      <c r="H19" s="522"/>
      <c r="I19" s="533"/>
      <c r="J19" s="308"/>
      <c r="M19" s="308"/>
      <c r="N19" s="308"/>
      <c r="O19" s="308"/>
    </row>
    <row r="20" spans="1:15" x14ac:dyDescent="0.25">
      <c r="A20" s="168" t="s">
        <v>37</v>
      </c>
      <c r="B20" s="522">
        <f t="shared" ref="B20:B25" ca="1" si="2">INDIRECT("'Deep dive_"&amp;$A20&amp;"'!C21")</f>
        <v>14.3</v>
      </c>
      <c r="C20" s="522">
        <f t="shared" ref="C20:C25" ca="1" si="3">INDIRECT("'Deep dive_"&amp;A20&amp;"'!D21")</f>
        <v>2.6543999999999999</v>
      </c>
      <c r="D20" s="330">
        <f t="shared" ref="D20:D25" ca="1" si="4">INDIRECT("'Deep dive_"&amp;A20&amp;"'!C31")</f>
        <v>0.1856223776223776</v>
      </c>
      <c r="E20" s="424"/>
      <c r="F20" s="424" t="str">
        <f t="shared" si="0"/>
        <v/>
      </c>
      <c r="G20" s="522">
        <f t="shared" ref="G20:G25" ca="1" si="5">INDIRECT("'Deep dive_"&amp;$A20&amp;"'!C24")</f>
        <v>4.7</v>
      </c>
      <c r="H20" s="522">
        <f t="shared" ref="H20:H25" ca="1" si="6">INDIRECT("'Deep dive_"&amp;$A20&amp;"'!D24")</f>
        <v>1.5469999999999999</v>
      </c>
      <c r="I20" s="533">
        <f t="shared" ref="I20:I25" ca="1" si="7">INDIRECT("'Deep dive_"&amp;A20&amp;"'!C32")</f>
        <v>0.32914893617021274</v>
      </c>
      <c r="J20" s="308"/>
      <c r="M20" s="308"/>
      <c r="N20" s="308"/>
      <c r="O20" s="308"/>
    </row>
    <row r="21" spans="1:15" x14ac:dyDescent="0.25">
      <c r="A21" s="168" t="s">
        <v>40</v>
      </c>
      <c r="B21" s="522">
        <f t="shared" ca="1" si="2"/>
        <v>2.2679999999999998</v>
      </c>
      <c r="C21" s="522">
        <f t="shared" ca="1" si="3"/>
        <v>2.5889999999999995</v>
      </c>
      <c r="D21" s="330">
        <f t="shared" ca="1" si="4"/>
        <v>1.1415343915343914</v>
      </c>
      <c r="E21" s="424"/>
      <c r="F21" s="424" t="str">
        <f t="shared" si="0"/>
        <v/>
      </c>
      <c r="G21" s="522">
        <f t="shared" ca="1" si="5"/>
        <v>3.6000000000000014</v>
      </c>
      <c r="H21" s="522">
        <f t="shared" ca="1" si="6"/>
        <v>17.443000000000001</v>
      </c>
      <c r="I21" s="533">
        <f t="shared" ca="1" si="7"/>
        <v>4.8452777777777767</v>
      </c>
      <c r="J21" s="308"/>
      <c r="M21" s="308"/>
      <c r="N21" s="308"/>
      <c r="O21" s="308"/>
    </row>
    <row r="22" spans="1:15" x14ac:dyDescent="0.25">
      <c r="A22" s="168" t="s">
        <v>38</v>
      </c>
      <c r="B22" s="522">
        <f t="shared" ca="1" si="2"/>
        <v>32.18</v>
      </c>
      <c r="C22" s="522">
        <f t="shared" ca="1" si="3"/>
        <v>37.75</v>
      </c>
      <c r="D22" s="330">
        <f t="shared" ca="1" si="4"/>
        <v>1.173088875077688</v>
      </c>
      <c r="E22" s="424" t="s">
        <v>42</v>
      </c>
      <c r="F22" s="424">
        <f t="shared" ca="1" si="0"/>
        <v>1.173088875077688</v>
      </c>
      <c r="G22" s="522">
        <f t="shared" ca="1" si="5"/>
        <v>12.61</v>
      </c>
      <c r="H22" s="522">
        <f t="shared" ca="1" si="6"/>
        <v>29.61</v>
      </c>
      <c r="I22" s="533">
        <f t="shared" ca="1" si="7"/>
        <v>2.3481363996827915</v>
      </c>
      <c r="J22" s="308"/>
      <c r="M22" s="308"/>
      <c r="N22" s="308"/>
      <c r="O22" s="308"/>
    </row>
    <row r="23" spans="1:15" x14ac:dyDescent="0.25">
      <c r="A23" s="168" t="s">
        <v>30</v>
      </c>
      <c r="B23" s="522">
        <f t="shared" ca="1" si="2"/>
        <v>47.68</v>
      </c>
      <c r="C23" s="522">
        <f t="shared" ca="1" si="3"/>
        <v>53.167999999999992</v>
      </c>
      <c r="D23" s="330">
        <f t="shared" ca="1" si="4"/>
        <v>1.1151006711409395</v>
      </c>
      <c r="E23" s="424" t="s">
        <v>42</v>
      </c>
      <c r="F23" s="424">
        <f t="shared" ca="1" si="0"/>
        <v>1.1151006711409395</v>
      </c>
      <c r="G23" s="522">
        <f t="shared" ca="1" si="5"/>
        <v>15.79</v>
      </c>
      <c r="H23" s="522">
        <f t="shared" ca="1" si="6"/>
        <v>33.118000000000002</v>
      </c>
      <c r="I23" s="533">
        <f t="shared" ca="1" si="7"/>
        <v>2.0974034198860041</v>
      </c>
      <c r="J23" s="308"/>
      <c r="M23" s="308"/>
      <c r="N23" s="308"/>
      <c r="O23" s="308"/>
    </row>
    <row r="24" spans="1:15" x14ac:dyDescent="0.25">
      <c r="A24" s="168" t="s">
        <v>39</v>
      </c>
      <c r="B24" s="522">
        <f t="shared" ca="1" si="2"/>
        <v>4.91</v>
      </c>
      <c r="C24" s="522">
        <f t="shared" ca="1" si="3"/>
        <v>5.83</v>
      </c>
      <c r="D24" s="330">
        <f t="shared" ca="1" si="4"/>
        <v>1.1873727087576376</v>
      </c>
      <c r="E24" s="329"/>
      <c r="F24" s="329" t="str">
        <f t="shared" si="0"/>
        <v/>
      </c>
      <c r="G24" s="522">
        <f t="shared" ca="1" si="5"/>
        <v>19.61</v>
      </c>
      <c r="H24" s="522">
        <f t="shared" ca="1" si="6"/>
        <v>10.3</v>
      </c>
      <c r="I24" s="533">
        <f t="shared" ca="1" si="7"/>
        <v>0.52524222335543091</v>
      </c>
      <c r="J24" s="308"/>
      <c r="M24" s="308"/>
      <c r="N24" s="308"/>
      <c r="O24" s="308"/>
    </row>
    <row r="25" spans="1:15" x14ac:dyDescent="0.25">
      <c r="A25" s="168" t="s">
        <v>29</v>
      </c>
      <c r="B25" s="522">
        <f t="shared" ca="1" si="2"/>
        <v>70.599999999999994</v>
      </c>
      <c r="C25" s="522">
        <f t="shared" ca="1" si="3"/>
        <v>117.884</v>
      </c>
      <c r="D25" s="330">
        <f t="shared" ca="1" si="4"/>
        <v>1.6697450424929179</v>
      </c>
      <c r="E25" s="424" t="s">
        <v>42</v>
      </c>
      <c r="F25" s="424">
        <f t="shared" ca="1" si="0"/>
        <v>1.6697450424929179</v>
      </c>
      <c r="G25" s="522">
        <f t="shared" ca="1" si="5"/>
        <v>64</v>
      </c>
      <c r="H25" s="522">
        <f t="shared" ca="1" si="6"/>
        <v>30.4</v>
      </c>
      <c r="I25" s="533">
        <f t="shared" ca="1" si="7"/>
        <v>0.47499999999999998</v>
      </c>
      <c r="J25" s="308"/>
      <c r="M25" s="308"/>
      <c r="N25" s="308"/>
      <c r="O25" s="308"/>
    </row>
    <row r="26" spans="1:15" x14ac:dyDescent="0.25">
      <c r="A26" s="168" t="s">
        <v>108</v>
      </c>
      <c r="B26" s="522"/>
      <c r="C26" s="522"/>
      <c r="D26" s="330"/>
      <c r="E26" s="424"/>
      <c r="F26" s="424" t="str">
        <f t="shared" si="0"/>
        <v/>
      </c>
      <c r="G26" s="522"/>
      <c r="H26" s="522"/>
      <c r="I26" s="533">
        <v>0.63300000000000001</v>
      </c>
      <c r="J26" s="308" t="s">
        <v>903</v>
      </c>
      <c r="M26" s="308"/>
      <c r="N26" s="308"/>
      <c r="O26" s="308"/>
    </row>
    <row r="27" spans="1:15" x14ac:dyDescent="0.25">
      <c r="A27" s="168" t="s">
        <v>31</v>
      </c>
      <c r="B27" s="522">
        <f ca="1">INDIRECT("'Deep dive_"&amp;$A27&amp;"'!C21")</f>
        <v>70.599999999999994</v>
      </c>
      <c r="C27" s="522">
        <f ca="1">INDIRECT("'Deep dive_"&amp;A27&amp;"'!D21")</f>
        <v>74.269336279066678</v>
      </c>
      <c r="D27" s="330">
        <f ca="1">INDIRECT("'Deep dive_"&amp;A27&amp;"'!C31")</f>
        <v>1.0519736016864969</v>
      </c>
      <c r="E27" s="424" t="s">
        <v>42</v>
      </c>
      <c r="F27" s="424">
        <f t="shared" ca="1" si="0"/>
        <v>1.0519736016864969</v>
      </c>
      <c r="G27" s="522">
        <f ca="1">INDIRECT("'Deep dive_"&amp;$A27&amp;"'!C24")</f>
        <v>42.4</v>
      </c>
      <c r="H27" s="522">
        <f ca="1">INDIRECT("'Deep dive_"&amp;$A27&amp;"'!D24")</f>
        <v>156.96933627906665</v>
      </c>
      <c r="I27" s="533">
        <v>3.7</v>
      </c>
      <c r="M27" s="308"/>
      <c r="N27" s="308"/>
      <c r="O27" s="308"/>
    </row>
    <row r="28" spans="1:15" x14ac:dyDescent="0.25">
      <c r="A28" s="168" t="s">
        <v>32</v>
      </c>
      <c r="B28" s="522"/>
      <c r="C28" s="522"/>
      <c r="D28" s="330"/>
      <c r="E28" s="424"/>
      <c r="F28" s="424" t="str">
        <f t="shared" si="0"/>
        <v/>
      </c>
      <c r="G28" s="522">
        <f ca="1">INDIRECT("'Deep dive_"&amp;$A28&amp;"'!C24")</f>
        <v>67.204545351986638</v>
      </c>
      <c r="H28" s="522">
        <f ca="1">INDIRECT("'Deep dive_"&amp;$A28&amp;"'!D24")</f>
        <v>40</v>
      </c>
      <c r="I28" s="533">
        <f ca="1">INDIRECT("'Deep dive_"&amp;A28&amp;"'!C32")</f>
        <v>0.59519783655254732</v>
      </c>
      <c r="M28" s="308"/>
      <c r="N28" s="308"/>
      <c r="O28" s="308"/>
    </row>
    <row r="29" spans="1:15" x14ac:dyDescent="0.25">
      <c r="A29" s="168" t="s">
        <v>27</v>
      </c>
      <c r="B29" s="522">
        <f t="shared" ref="B29:B31" ca="1" si="8">INDIRECT("'Deep dive_"&amp;$A29&amp;"'!C21")</f>
        <v>17.600000000000001</v>
      </c>
      <c r="C29" s="522">
        <f t="shared" ref="C29:C31" ca="1" si="9">INDIRECT("'Deep dive_"&amp;A29&amp;"'!D21")</f>
        <v>23.605886792452829</v>
      </c>
      <c r="D29" s="330">
        <f ca="1">INDIRECT("'Deep dive_"&amp;A29&amp;"'!C31")</f>
        <v>1.3412435677530015</v>
      </c>
      <c r="E29" s="424" t="s">
        <v>42</v>
      </c>
      <c r="F29" s="424">
        <f t="shared" ca="1" si="0"/>
        <v>1.3412435677530015</v>
      </c>
      <c r="G29" s="522">
        <f ca="1">INDIRECT("'Deep dive_"&amp;$A29&amp;"'!C24")</f>
        <v>26</v>
      </c>
      <c r="H29" s="522">
        <f ca="1">INDIRECT("'Deep dive_"&amp;$A29&amp;"'!D24")</f>
        <v>52.903113207547165</v>
      </c>
      <c r="I29" s="533">
        <f ca="1">INDIRECT("'Deep dive_"&amp;A29&amp;"'!C32")</f>
        <v>2.0347351233671986</v>
      </c>
      <c r="M29" s="308"/>
      <c r="N29" s="308"/>
      <c r="O29" s="308"/>
    </row>
    <row r="30" spans="1:15" x14ac:dyDescent="0.25">
      <c r="A30" s="168" t="s">
        <v>33</v>
      </c>
      <c r="B30" s="522">
        <f t="shared" ca="1" si="8"/>
        <v>5</v>
      </c>
      <c r="C30" s="522">
        <f t="shared" ca="1" si="9"/>
        <v>2.851</v>
      </c>
      <c r="D30" s="330">
        <f ca="1">INDIRECT("'Deep dive_"&amp;A30&amp;"'!C31")</f>
        <v>0.57020000000000004</v>
      </c>
      <c r="E30" s="424"/>
      <c r="F30" s="424" t="str">
        <f t="shared" si="0"/>
        <v/>
      </c>
      <c r="G30" s="522">
        <f ca="1">INDIRECT("'Deep dive_"&amp;$A30&amp;"'!C24")</f>
        <v>10.49</v>
      </c>
      <c r="H30" s="522">
        <f ca="1">INDIRECT("'Deep dive_"&amp;$A30&amp;"'!D24")</f>
        <v>25.338000000000001</v>
      </c>
      <c r="I30" s="533">
        <f ca="1">INDIRECT("'Deep dive_"&amp;A30&amp;"'!C32")</f>
        <v>2.415443279313632</v>
      </c>
      <c r="M30" s="308"/>
      <c r="N30" s="308"/>
      <c r="O30" s="308"/>
    </row>
    <row r="31" spans="1:15" x14ac:dyDescent="0.25">
      <c r="A31" s="168" t="s">
        <v>34</v>
      </c>
      <c r="B31" s="522">
        <f t="shared" ca="1" si="8"/>
        <v>2</v>
      </c>
      <c r="C31" s="522">
        <f t="shared" ca="1" si="9"/>
        <v>0.34100000000000003</v>
      </c>
      <c r="D31" s="330">
        <f ca="1">INDIRECT("'Deep dive_"&amp;A31&amp;"'!C31")</f>
        <v>0.17050000000000001</v>
      </c>
      <c r="E31" s="424"/>
      <c r="F31" s="424" t="str">
        <f t="shared" si="0"/>
        <v/>
      </c>
      <c r="G31" s="522">
        <f ca="1">INDIRECT("'Deep dive_"&amp;$A31&amp;"'!C24")</f>
        <v>67.25</v>
      </c>
      <c r="H31" s="522">
        <f ca="1">INDIRECT("'Deep dive_"&amp;$A31&amp;"'!D24")</f>
        <v>136.53300000000002</v>
      </c>
      <c r="I31" s="533">
        <f ca="1">INDIRECT("'Deep dive_"&amp;A31&amp;"'!C32")</f>
        <v>2.0302304832713758</v>
      </c>
      <c r="M31" s="308"/>
      <c r="N31" s="308"/>
      <c r="O31" s="308"/>
    </row>
    <row r="32" spans="1:15" ht="15.75" thickBot="1" x14ac:dyDescent="0.3">
      <c r="A32" s="169" t="s">
        <v>317</v>
      </c>
      <c r="B32" s="523"/>
      <c r="C32" s="523"/>
      <c r="D32" s="423">
        <f ca="1">MEDIAN(D15:D31)</f>
        <v>1.1573116333060396</v>
      </c>
      <c r="E32" s="425"/>
      <c r="F32" s="425">
        <f ca="1">MEDIAN(F15:F31)</f>
        <v>1.2118505747126436</v>
      </c>
      <c r="G32" s="524"/>
      <c r="H32" s="524"/>
      <c r="I32" s="534">
        <f ca="1">_xlfn.QUARTILE.INC(I15:I31,2)</f>
        <v>2.0302304832713758</v>
      </c>
      <c r="M32" s="308"/>
      <c r="N32" s="308"/>
      <c r="O32" s="308"/>
    </row>
    <row r="33" spans="2:15" x14ac:dyDescent="0.25">
      <c r="B33" s="336"/>
      <c r="C33" s="336"/>
      <c r="D33" s="336"/>
      <c r="E33" s="336"/>
      <c r="F33" s="336"/>
      <c r="G33" s="466"/>
      <c r="H33" s="332"/>
      <c r="I33" s="332"/>
      <c r="J33" s="308"/>
      <c r="K33" s="308"/>
      <c r="L33" s="308"/>
      <c r="M33" s="308"/>
      <c r="N33" s="308"/>
      <c r="O33" s="308"/>
    </row>
    <row r="34" spans="2:15" x14ac:dyDescent="0.25">
      <c r="B34" s="343"/>
      <c r="C34" s="308"/>
      <c r="D34" s="308"/>
      <c r="E34" s="308"/>
      <c r="F34" s="308"/>
      <c r="G34" s="308"/>
      <c r="H34" s="308"/>
      <c r="I34" s="308"/>
      <c r="J34" s="308"/>
      <c r="K34" s="308"/>
      <c r="L34" s="308"/>
      <c r="M34" s="308"/>
      <c r="N34" s="308"/>
      <c r="O34" s="308"/>
    </row>
    <row r="35" spans="2:15" x14ac:dyDescent="0.25">
      <c r="B35" s="343"/>
      <c r="C35" s="343"/>
      <c r="D35" s="308"/>
      <c r="E35" s="308"/>
      <c r="F35" s="308"/>
      <c r="G35" s="308"/>
      <c r="H35" s="308"/>
      <c r="I35" s="308"/>
      <c r="J35" s="308"/>
      <c r="K35" s="308"/>
      <c r="L35" s="308"/>
      <c r="M35" s="308"/>
      <c r="N35" s="308"/>
      <c r="O35" s="308"/>
    </row>
    <row r="36" spans="2:15" x14ac:dyDescent="0.25">
      <c r="B36" s="343"/>
      <c r="C36" s="343"/>
      <c r="D36" s="308"/>
      <c r="E36" s="308"/>
      <c r="F36" s="308"/>
      <c r="G36" s="308"/>
      <c r="H36" s="308"/>
      <c r="I36" s="308"/>
      <c r="J36" s="308"/>
      <c r="K36" s="308"/>
      <c r="L36" s="308"/>
      <c r="M36" s="308"/>
      <c r="N36" s="308"/>
      <c r="O36" s="308"/>
    </row>
    <row r="37" spans="2:15" x14ac:dyDescent="0.25">
      <c r="B37" s="343"/>
      <c r="C37" s="343"/>
      <c r="D37" s="308"/>
      <c r="E37" s="308"/>
      <c r="F37" s="308"/>
      <c r="G37" s="308"/>
      <c r="H37" s="308"/>
      <c r="I37" s="308"/>
      <c r="J37" s="308"/>
      <c r="K37" s="308"/>
      <c r="L37" s="308"/>
      <c r="M37" s="308"/>
      <c r="N37" s="308"/>
      <c r="O37" s="308"/>
    </row>
    <row r="38" spans="2:15" x14ac:dyDescent="0.25">
      <c r="B38" s="343"/>
      <c r="C38" s="343"/>
      <c r="D38" s="308"/>
      <c r="E38" s="308"/>
      <c r="F38" s="308"/>
      <c r="G38" s="308"/>
      <c r="H38" s="308"/>
      <c r="I38" s="308"/>
      <c r="J38" s="308"/>
      <c r="K38" s="308"/>
      <c r="L38" s="308"/>
      <c r="M38" s="308"/>
      <c r="N38" s="308"/>
      <c r="O38" s="308"/>
    </row>
    <row r="39" spans="2:15" x14ac:dyDescent="0.25">
      <c r="B39" s="343"/>
      <c r="C39" s="343"/>
      <c r="D39" s="308"/>
      <c r="E39" s="308"/>
      <c r="F39" s="308"/>
      <c r="G39" s="308"/>
      <c r="H39" s="308"/>
      <c r="I39" s="308"/>
      <c r="J39" s="308"/>
      <c r="K39" s="308"/>
      <c r="L39" s="308"/>
      <c r="M39" s="308"/>
      <c r="N39" s="308"/>
      <c r="O39" s="308"/>
    </row>
    <row r="40" spans="2:15" x14ac:dyDescent="0.25">
      <c r="B40" s="343"/>
      <c r="C40" s="343"/>
      <c r="D40" s="308"/>
      <c r="E40" s="308"/>
      <c r="F40" s="308"/>
      <c r="G40" s="308"/>
      <c r="H40" s="308"/>
      <c r="I40" s="308"/>
      <c r="J40" s="308"/>
      <c r="K40" s="308"/>
      <c r="L40" s="308"/>
      <c r="M40" s="308"/>
      <c r="N40" s="308"/>
      <c r="O40" s="308"/>
    </row>
    <row r="41" spans="2:15" x14ac:dyDescent="0.25">
      <c r="B41" s="343"/>
      <c r="C41" s="343"/>
      <c r="D41" s="308"/>
      <c r="E41" s="308"/>
      <c r="F41" s="308"/>
      <c r="G41" s="308"/>
      <c r="H41" s="308"/>
      <c r="I41" s="308"/>
      <c r="J41" s="308"/>
      <c r="K41" s="308"/>
      <c r="L41" s="308"/>
      <c r="M41" s="308"/>
      <c r="N41" s="308"/>
      <c r="O41" s="308"/>
    </row>
    <row r="42" spans="2:15" x14ac:dyDescent="0.25">
      <c r="B42" s="343"/>
      <c r="C42" s="343"/>
      <c r="D42" s="308"/>
      <c r="E42" s="308"/>
      <c r="F42" s="308"/>
      <c r="G42" s="308"/>
      <c r="H42" s="308"/>
      <c r="I42" s="308"/>
      <c r="J42" s="308"/>
      <c r="K42" s="308"/>
      <c r="L42" s="308"/>
      <c r="M42" s="308"/>
      <c r="N42" s="308"/>
      <c r="O42" s="308"/>
    </row>
    <row r="43" spans="2:15" x14ac:dyDescent="0.25">
      <c r="B43" s="343"/>
      <c r="C43" s="343"/>
      <c r="D43" s="308"/>
      <c r="E43" s="308"/>
      <c r="F43" s="308"/>
      <c r="G43" s="308"/>
      <c r="H43" s="308"/>
      <c r="I43" s="308"/>
      <c r="J43" s="308"/>
      <c r="K43" s="308"/>
      <c r="L43" s="308"/>
      <c r="M43" s="308"/>
      <c r="N43" s="308"/>
      <c r="O43" s="308"/>
    </row>
  </sheetData>
  <mergeCells count="1">
    <mergeCell ref="D3:I3"/>
  </mergeCells>
  <pageMargins left="0.7" right="0.7" top="0.75" bottom="0.75" header="0.3" footer="0.3"/>
  <pageSetup paperSize="9" scale="5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pageSetUpPr fitToPage="1"/>
  </sheetPr>
  <dimension ref="A1:AL74"/>
  <sheetViews>
    <sheetView topLeftCell="A31" zoomScale="90" zoomScaleNormal="90" workbookViewId="0">
      <selection activeCell="G53" sqref="G53"/>
    </sheetView>
  </sheetViews>
  <sheetFormatPr defaultColWidth="8.85546875" defaultRowHeight="15" x14ac:dyDescent="0.25"/>
  <cols>
    <col min="1" max="1" width="23" customWidth="1"/>
    <col min="2" max="2" width="22.7109375" customWidth="1"/>
    <col min="3" max="10" width="21.28515625" customWidth="1"/>
    <col min="11" max="11" width="18" customWidth="1"/>
    <col min="12" max="12" width="15.7109375" customWidth="1"/>
    <col min="13" max="14" width="15.85546875" customWidth="1"/>
    <col min="15" max="15" width="14.28515625" customWidth="1"/>
    <col min="16" max="16" width="14.7109375" customWidth="1"/>
    <col min="17" max="17" width="79.28515625" customWidth="1"/>
    <col min="18" max="18" width="14.28515625" customWidth="1"/>
    <col min="19" max="19" width="13.28515625" customWidth="1"/>
    <col min="20" max="20" width="14.28515625" customWidth="1"/>
    <col min="21" max="21" width="13.28515625" customWidth="1"/>
    <col min="22" max="22" width="11.28515625" customWidth="1"/>
    <col min="23" max="28" width="13.28515625" customWidth="1"/>
    <col min="29" max="29" width="12.7109375" customWidth="1"/>
  </cols>
  <sheetData>
    <row r="1" spans="1:20" ht="18.75" x14ac:dyDescent="0.3">
      <c r="A1" s="525" t="s">
        <v>783</v>
      </c>
      <c r="B1" s="7"/>
      <c r="C1" s="7"/>
      <c r="R1" s="479" t="s">
        <v>334</v>
      </c>
      <c r="S1" s="308"/>
      <c r="T1" s="308"/>
    </row>
    <row r="2" spans="1:20" x14ac:dyDescent="0.25">
      <c r="A2" s="7"/>
      <c r="B2" s="7"/>
      <c r="C2" s="7"/>
      <c r="R2" s="308"/>
      <c r="S2" s="308">
        <v>5.29</v>
      </c>
      <c r="T2" s="308">
        <v>0</v>
      </c>
    </row>
    <row r="3" spans="1:20" ht="15.75" thickBot="1" x14ac:dyDescent="0.3">
      <c r="A3" s="540" t="s">
        <v>913</v>
      </c>
      <c r="B3" s="40"/>
      <c r="C3" s="308"/>
      <c r="R3" s="308"/>
      <c r="S3" s="308">
        <v>5.29</v>
      </c>
      <c r="T3" s="308">
        <v>180</v>
      </c>
    </row>
    <row r="4" spans="1:20" ht="30.75" thickBot="1" x14ac:dyDescent="0.3">
      <c r="A4" s="613" t="s">
        <v>312</v>
      </c>
      <c r="B4" s="614" t="s">
        <v>905</v>
      </c>
      <c r="C4" s="308"/>
      <c r="R4" s="308"/>
      <c r="S4" s="308"/>
      <c r="T4" s="308"/>
    </row>
    <row r="5" spans="1:20" x14ac:dyDescent="0.25">
      <c r="A5" s="611" t="s">
        <v>35</v>
      </c>
      <c r="B5" s="612">
        <f>IF(P34="N/A",0,P34)</f>
        <v>0</v>
      </c>
      <c r="C5" s="308"/>
      <c r="R5" s="308"/>
      <c r="S5" s="308">
        <v>0</v>
      </c>
      <c r="T5" s="308">
        <v>75.02</v>
      </c>
    </row>
    <row r="6" spans="1:20" x14ac:dyDescent="0.25">
      <c r="A6" s="607" t="s">
        <v>26</v>
      </c>
      <c r="B6" s="608">
        <f ca="1">IF(P35="N/A",0,P35)</f>
        <v>69.245099999999994</v>
      </c>
      <c r="C6" s="308"/>
      <c r="R6" s="308"/>
      <c r="S6" s="308">
        <v>22</v>
      </c>
      <c r="T6" s="308">
        <v>75.02</v>
      </c>
    </row>
    <row r="7" spans="1:20" x14ac:dyDescent="0.25">
      <c r="A7" s="607" t="s">
        <v>36</v>
      </c>
      <c r="B7" s="608">
        <f ca="1">IF(P36="N/A",0,P36)</f>
        <v>2.3943775718742248</v>
      </c>
      <c r="C7" s="308"/>
      <c r="R7" s="308"/>
      <c r="S7" s="308"/>
      <c r="T7" s="308"/>
    </row>
    <row r="8" spans="1:20" x14ac:dyDescent="0.25">
      <c r="A8" s="607" t="s">
        <v>106</v>
      </c>
      <c r="B8" s="608">
        <f t="shared" ref="B8:B11" si="0">IF(P37="N/A",0,P37)</f>
        <v>0</v>
      </c>
      <c r="C8" s="308"/>
      <c r="R8" s="308"/>
      <c r="S8" s="308"/>
      <c r="T8" s="308"/>
    </row>
    <row r="9" spans="1:20" x14ac:dyDescent="0.25">
      <c r="A9" s="607" t="s">
        <v>28</v>
      </c>
      <c r="B9" s="608">
        <f t="shared" si="0"/>
        <v>0</v>
      </c>
      <c r="C9" s="308"/>
      <c r="S9" s="308">
        <v>6.25</v>
      </c>
      <c r="T9" s="308">
        <v>0</v>
      </c>
    </row>
    <row r="10" spans="1:20" x14ac:dyDescent="0.25">
      <c r="A10" s="607" t="s">
        <v>37</v>
      </c>
      <c r="B10" s="608">
        <f t="shared" si="0"/>
        <v>0</v>
      </c>
      <c r="C10" s="308"/>
      <c r="S10" s="308">
        <v>6.25</v>
      </c>
      <c r="T10" s="308">
        <v>180</v>
      </c>
    </row>
    <row r="11" spans="1:20" x14ac:dyDescent="0.25">
      <c r="A11" s="607" t="s">
        <v>40</v>
      </c>
      <c r="B11" s="608">
        <f t="shared" si="0"/>
        <v>0</v>
      </c>
      <c r="C11" s="308"/>
      <c r="S11" s="308"/>
      <c r="T11" s="308"/>
    </row>
    <row r="12" spans="1:20" x14ac:dyDescent="0.25">
      <c r="A12" s="607" t="s">
        <v>38</v>
      </c>
      <c r="B12" s="608">
        <f ca="1">IF(P41="N/A",0,P41)</f>
        <v>4.6390738777083378</v>
      </c>
      <c r="C12" s="308"/>
      <c r="S12" s="308">
        <v>0</v>
      </c>
      <c r="T12" s="308">
        <v>93.33</v>
      </c>
    </row>
    <row r="13" spans="1:20" x14ac:dyDescent="0.25">
      <c r="A13" s="607" t="s">
        <v>30</v>
      </c>
      <c r="B13" s="608">
        <f>IF(P42="N/A",0,P42)</f>
        <v>0</v>
      </c>
      <c r="C13" s="308"/>
      <c r="S13" s="308">
        <v>22</v>
      </c>
      <c r="T13" s="308">
        <v>93.33</v>
      </c>
    </row>
    <row r="14" spans="1:20" x14ac:dyDescent="0.25">
      <c r="A14" s="607" t="s">
        <v>39</v>
      </c>
      <c r="B14" s="608">
        <f>IF(P43="N/A",0,P43)</f>
        <v>0</v>
      </c>
      <c r="C14" s="308"/>
    </row>
    <row r="15" spans="1:20" x14ac:dyDescent="0.25">
      <c r="A15" s="607" t="s">
        <v>29</v>
      </c>
      <c r="B15" s="608">
        <f>IF(P44="N/A",0,P44)</f>
        <v>0</v>
      </c>
      <c r="C15" s="308"/>
    </row>
    <row r="16" spans="1:20" x14ac:dyDescent="0.25">
      <c r="A16" s="607" t="s">
        <v>108</v>
      </c>
      <c r="B16" s="608">
        <f>IF(P45="N/A",0,P45)</f>
        <v>0</v>
      </c>
      <c r="C16" s="308"/>
    </row>
    <row r="17" spans="1:28" x14ac:dyDescent="0.25">
      <c r="A17" s="607" t="s">
        <v>31</v>
      </c>
      <c r="B17" s="608">
        <f t="shared" ref="B17:B20" si="1">IF(P46="N/A",0,P46)</f>
        <v>0</v>
      </c>
      <c r="C17" s="308"/>
      <c r="D17" s="308"/>
      <c r="E17" s="308"/>
      <c r="F17" s="308"/>
      <c r="G17" s="308"/>
      <c r="K17" s="308"/>
      <c r="L17" s="308"/>
      <c r="M17" s="308"/>
      <c r="N17" s="308"/>
      <c r="O17" s="308"/>
      <c r="P17" s="308"/>
      <c r="Q17" s="308"/>
    </row>
    <row r="18" spans="1:28" x14ac:dyDescent="0.25">
      <c r="A18" s="607" t="s">
        <v>32</v>
      </c>
      <c r="B18" s="608">
        <f t="shared" si="1"/>
        <v>0</v>
      </c>
      <c r="C18" s="308"/>
      <c r="D18" s="308"/>
      <c r="E18" s="308"/>
      <c r="F18" s="308"/>
      <c r="G18" s="308"/>
      <c r="K18" s="308"/>
      <c r="L18" s="308"/>
      <c r="M18" s="308"/>
      <c r="N18" s="308"/>
      <c r="O18" s="308"/>
      <c r="P18" s="308"/>
      <c r="Q18" s="308"/>
    </row>
    <row r="19" spans="1:28" x14ac:dyDescent="0.25">
      <c r="A19" s="607" t="s">
        <v>27</v>
      </c>
      <c r="B19" s="608">
        <f t="shared" si="1"/>
        <v>0</v>
      </c>
      <c r="C19" s="308"/>
      <c r="D19" s="308"/>
      <c r="E19" s="308"/>
      <c r="F19" s="308"/>
      <c r="G19" s="308"/>
      <c r="K19" s="308"/>
      <c r="L19" s="308"/>
      <c r="M19" s="308"/>
      <c r="N19" s="308"/>
      <c r="O19" s="308"/>
      <c r="P19" s="308"/>
      <c r="Q19" s="308"/>
    </row>
    <row r="20" spans="1:28" x14ac:dyDescent="0.25">
      <c r="A20" s="607" t="s">
        <v>33</v>
      </c>
      <c r="B20" s="608">
        <f t="shared" si="1"/>
        <v>0</v>
      </c>
      <c r="C20" s="308"/>
      <c r="D20" s="308"/>
      <c r="E20" s="308"/>
      <c r="F20" s="308"/>
      <c r="G20" s="308"/>
      <c r="K20" s="308"/>
      <c r="L20" s="308"/>
      <c r="M20" s="308"/>
      <c r="N20" s="308"/>
      <c r="O20" s="308"/>
      <c r="P20" s="308"/>
      <c r="Q20" s="308"/>
    </row>
    <row r="21" spans="1:28" ht="15.75" thickBot="1" x14ac:dyDescent="0.3">
      <c r="A21" s="609" t="s">
        <v>34</v>
      </c>
      <c r="B21" s="610">
        <f>IF(P50="N/A",0,P50)</f>
        <v>0</v>
      </c>
      <c r="C21" s="308"/>
      <c r="D21" s="308"/>
      <c r="E21" s="308"/>
      <c r="F21" s="308"/>
      <c r="G21" s="308"/>
      <c r="K21" s="308"/>
      <c r="L21" s="308"/>
      <c r="M21" s="308"/>
      <c r="N21" s="308"/>
      <c r="O21" s="308"/>
      <c r="P21" s="308"/>
      <c r="Q21" s="308"/>
    </row>
    <row r="22" spans="1:28" s="308" customFormat="1" x14ac:dyDescent="0.25">
      <c r="A22" s="555"/>
      <c r="B22" s="556"/>
    </row>
    <row r="23" spans="1:28" ht="15" customHeight="1" x14ac:dyDescent="0.25">
      <c r="A23" s="554" t="s">
        <v>784</v>
      </c>
      <c r="M23" s="308"/>
      <c r="N23" s="308"/>
      <c r="O23" s="308"/>
      <c r="P23" s="308"/>
      <c r="Q23" s="308"/>
      <c r="R23" s="308"/>
      <c r="S23" s="308"/>
      <c r="T23" s="308"/>
      <c r="U23" s="308"/>
      <c r="V23" s="308"/>
      <c r="W23" s="308"/>
      <c r="X23" s="308"/>
      <c r="Y23" s="308"/>
      <c r="Z23" s="308"/>
      <c r="AA23" s="308"/>
      <c r="AB23" s="308"/>
    </row>
    <row r="24" spans="1:28" s="308" customFormat="1" ht="147" customHeight="1" x14ac:dyDescent="0.25">
      <c r="A24" s="478"/>
    </row>
    <row r="25" spans="1:28" x14ac:dyDescent="0.25">
      <c r="A25" s="79" t="s">
        <v>782</v>
      </c>
      <c r="B25" s="308"/>
      <c r="C25" s="308"/>
      <c r="D25" s="308"/>
      <c r="E25" s="308"/>
      <c r="F25" s="308"/>
      <c r="G25" s="308"/>
      <c r="K25" s="28"/>
      <c r="L25" s="308"/>
      <c r="M25" s="308"/>
      <c r="N25" s="308"/>
      <c r="O25" s="308"/>
      <c r="P25" s="308"/>
      <c r="Q25" s="308"/>
      <c r="R25" s="308"/>
      <c r="S25" s="308"/>
      <c r="T25" s="308"/>
      <c r="U25" s="308"/>
      <c r="V25" s="308"/>
      <c r="W25" s="83"/>
      <c r="X25" s="83"/>
      <c r="Y25" s="83"/>
      <c r="Z25" s="83"/>
      <c r="AA25" s="308"/>
      <c r="AB25" s="308"/>
    </row>
    <row r="26" spans="1:28" x14ac:dyDescent="0.25">
      <c r="A26" s="308"/>
      <c r="B26" s="308"/>
      <c r="C26" s="308"/>
      <c r="D26" s="308"/>
      <c r="E26" s="308"/>
      <c r="F26" s="308"/>
      <c r="G26" s="308"/>
      <c r="K26" s="308"/>
      <c r="L26" s="308"/>
      <c r="M26" s="308"/>
      <c r="N26" s="308"/>
      <c r="O26" s="308"/>
      <c r="P26" s="308"/>
      <c r="Q26" s="308"/>
      <c r="R26" s="308"/>
      <c r="S26" s="308"/>
      <c r="T26" s="308"/>
      <c r="U26" s="308"/>
      <c r="V26" s="308"/>
      <c r="W26" s="308"/>
      <c r="X26" s="308"/>
    </row>
    <row r="27" spans="1:28" s="308" customFormat="1" x14ac:dyDescent="0.25"/>
    <row r="28" spans="1:28" s="308" customFormat="1" x14ac:dyDescent="0.25"/>
    <row r="29" spans="1:28" s="308" customFormat="1" x14ac:dyDescent="0.25"/>
    <row r="30" spans="1:28" s="308" customFormat="1" x14ac:dyDescent="0.25"/>
    <row r="31" spans="1:28" s="308" customFormat="1" x14ac:dyDescent="0.25"/>
    <row r="32" spans="1:28" s="308" customFormat="1" ht="15.75" thickBot="1" x14ac:dyDescent="0.3">
      <c r="A32" s="540" t="s">
        <v>947</v>
      </c>
    </row>
    <row r="33" spans="1:37" ht="135.75" thickBot="1" x14ac:dyDescent="0.3">
      <c r="A33" s="606" t="s">
        <v>312</v>
      </c>
      <c r="B33" s="537" t="s">
        <v>319</v>
      </c>
      <c r="C33" s="537" t="s">
        <v>320</v>
      </c>
      <c r="D33" s="537" t="s">
        <v>321</v>
      </c>
      <c r="E33" s="537" t="s">
        <v>322</v>
      </c>
      <c r="F33" s="537" t="s">
        <v>323</v>
      </c>
      <c r="G33" s="537" t="s">
        <v>324</v>
      </c>
      <c r="H33" s="537" t="s">
        <v>325</v>
      </c>
      <c r="I33" s="537" t="s">
        <v>326</v>
      </c>
      <c r="J33" s="537" t="s">
        <v>327</v>
      </c>
      <c r="K33" s="537" t="s">
        <v>785</v>
      </c>
      <c r="L33" s="537" t="s">
        <v>328</v>
      </c>
      <c r="M33" s="537" t="s">
        <v>909</v>
      </c>
      <c r="N33" s="537" t="s">
        <v>329</v>
      </c>
      <c r="O33" s="537" t="s">
        <v>330</v>
      </c>
      <c r="P33" s="537" t="s">
        <v>22</v>
      </c>
      <c r="Q33" s="539" t="s">
        <v>837</v>
      </c>
      <c r="R33" s="39"/>
      <c r="S33" s="39"/>
      <c r="T33" s="39"/>
      <c r="U33" s="88"/>
      <c r="V33" s="88"/>
      <c r="W33" s="88"/>
      <c r="X33" s="88"/>
      <c r="Y33" s="88"/>
      <c r="Z33" s="88"/>
      <c r="AA33" s="88"/>
      <c r="AB33" s="88"/>
      <c r="AC33" s="88"/>
      <c r="AD33" s="88"/>
      <c r="AE33" s="88"/>
      <c r="AF33" s="88"/>
      <c r="AG33" s="88"/>
      <c r="AH33" s="88"/>
      <c r="AI33" s="88"/>
      <c r="AJ33" s="88"/>
      <c r="AK33" s="39"/>
    </row>
    <row r="34" spans="1:37" ht="45" x14ac:dyDescent="0.25">
      <c r="A34" s="603" t="s">
        <v>35</v>
      </c>
      <c r="B34" s="590">
        <v>142.80000000000001</v>
      </c>
      <c r="C34" s="591">
        <f>INDEX(Analysis!$C$77:$J$93,MATCH('Leakage assessment'!$A34,Analysis!$B$77:$B$93,0),MATCH('Leakage assessment'!C$33,Analysis!$C$76:$J$76,0))</f>
        <v>17028</v>
      </c>
      <c r="D34" s="529">
        <f>_xlfn.QUARTILE.INC($E$34:$E$50,1)</f>
        <v>5.2858722402539504</v>
      </c>
      <c r="E34" s="529">
        <f>(B34*1000)/C34</f>
        <v>8.3861874559548983</v>
      </c>
      <c r="F34" s="591">
        <f>INDEX(Analysis!$C$77:$J$93,MATCH('Leakage assessment'!$A34,Analysis!$B$77:$B$93,0),MATCH('Leakage assessment'!F$33,Analysis!$C$76:$J$76,0))</f>
        <v>1612.5170000000001</v>
      </c>
      <c r="G34" s="529">
        <f>_xlfn.QUARTILE.INC($H$34:$H$50,1)</f>
        <v>75.024093954280517</v>
      </c>
      <c r="H34" s="529">
        <f>(B34*1000000)/(F34*1000)</f>
        <v>88.557205908526853</v>
      </c>
      <c r="I34" s="529">
        <f>D34*C34/1000</f>
        <v>90.00783250704427</v>
      </c>
      <c r="J34" s="592">
        <f>G34*F34/1000</f>
        <v>120.97762691087456</v>
      </c>
      <c r="K34" s="592">
        <f ca="1">INDIRECT("'Deep dive_"&amp;A34&amp;"'!C24")</f>
        <v>30</v>
      </c>
      <c r="L34" s="593">
        <f t="shared" ref="L34:L50" ca="1" si="2">INDEX($F$57:$F$73,MATCH(A34,$A$57:$A$73,0))</f>
        <v>1.6066666666666667</v>
      </c>
      <c r="M34" s="592" t="str">
        <f>IF(IF(E34&lt;=D34,1,0)*IF(H34&lt;=G34,1,0)=1,"Pass","Fail")</f>
        <v>Fail</v>
      </c>
      <c r="N34" s="592" t="str">
        <f>IF(M34="Pass",AVERAGE(I34:J34),"N/A")</f>
        <v>N/A</v>
      </c>
      <c r="O34" s="592" t="str">
        <f>IF(AVERAGE(I34:J34)-B34&lt;0,"N/A",AVERAGE(I34:J34)-B34)</f>
        <v>N/A</v>
      </c>
      <c r="P34" s="593" t="str">
        <f>IF(O34="N/A","N/A",MIN(O34,K34)*L34)</f>
        <v>N/A</v>
      </c>
      <c r="Q34" s="600" t="s">
        <v>838</v>
      </c>
      <c r="R34" s="39"/>
      <c r="S34" s="39"/>
      <c r="T34" s="39"/>
      <c r="U34" s="89"/>
      <c r="V34" s="90"/>
      <c r="W34" s="90"/>
      <c r="X34" s="90"/>
      <c r="Y34" s="39"/>
      <c r="Z34" s="90"/>
      <c r="AA34" s="90"/>
      <c r="AB34" s="91"/>
      <c r="AC34" s="90"/>
      <c r="AD34" s="90"/>
      <c r="AE34" s="89"/>
      <c r="AF34" s="89"/>
      <c r="AG34" s="92"/>
      <c r="AH34" s="92"/>
      <c r="AI34" s="93"/>
      <c r="AJ34" s="93"/>
      <c r="AK34" s="39"/>
    </row>
    <row r="35" spans="1:37" x14ac:dyDescent="0.25">
      <c r="A35" s="604" t="s">
        <v>26</v>
      </c>
      <c r="B35" s="299">
        <f>INDEX(Analysis!$C$77:$J$93,MATCH('Leakage assessment'!$A35,Analysis!$B$77:$B$93,0),MATCH('Leakage assessment'!B$33,Analysis!$C$76:$J$76,0))</f>
        <v>169.6</v>
      </c>
      <c r="C35" s="480">
        <f>INDEX(Analysis!$C$77:$J$93,MATCH('Leakage assessment'!$A35,Analysis!$B$77:$B$93,0),MATCH('Leakage assessment'!C$33,Analysis!$C$76:$J$76,0))</f>
        <v>40161</v>
      </c>
      <c r="D35" s="330">
        <f t="shared" ref="D35:D49" si="3">_xlfn.QUARTILE.INC($E$34:$E$50,1)</f>
        <v>5.2858722402539504</v>
      </c>
      <c r="E35" s="330">
        <f t="shared" ref="E35:E48" si="4">(B35*1000)/C35</f>
        <v>4.2230024152785042</v>
      </c>
      <c r="F35" s="480">
        <f>INDEX(Analysis!$C$77:$J$93,MATCH('Leakage assessment'!$A35,Analysis!$B$77:$B$93,0),MATCH('Leakage assessment'!F$33,Analysis!$C$76:$J$76,0))</f>
        <v>2416.46</v>
      </c>
      <c r="G35" s="330">
        <f t="shared" ref="G35:G50" si="5">_xlfn.QUARTILE.INC($H$34:$H$50,1)</f>
        <v>75.024093954280517</v>
      </c>
      <c r="H35" s="330">
        <f t="shared" ref="H35:H50" si="6">(B35*1000000)/(F35*1000)</f>
        <v>70.185312399129302</v>
      </c>
      <c r="I35" s="330">
        <f t="shared" ref="I35:I50" si="7">D35*C35/1000</f>
        <v>212.28591504083892</v>
      </c>
      <c r="J35" s="329">
        <f t="shared" ref="J35:J50" si="8">G35*F35/1000</f>
        <v>181.2927220767607</v>
      </c>
      <c r="K35" s="329">
        <f ca="1">INDIRECT("'Deep dive_"&amp;A35&amp;"'!C24")</f>
        <v>23.35</v>
      </c>
      <c r="L35" s="467">
        <f t="shared" ca="1" si="2"/>
        <v>2.9655289079229119</v>
      </c>
      <c r="M35" s="329" t="str">
        <f t="shared" ref="M35:M50" si="9">IF(IF(E35&lt;=D35,1,0)*IF(H35&lt;=G35,1,0)=1,"Pass","Fail")</f>
        <v>Pass</v>
      </c>
      <c r="N35" s="329">
        <f>IF(M35="Pass",AVERAGE(I35:J35),"N/A")</f>
        <v>196.78931855879981</v>
      </c>
      <c r="O35" s="329">
        <f>IF(AVERAGE(I35:J35)-B35&lt;0,"N/A",AVERAGE(I35:J35)-B35)</f>
        <v>27.189318558799812</v>
      </c>
      <c r="P35" s="467">
        <f ca="1">IF(O35="N/A","N/A",MIN(O35,K35)*L35)</f>
        <v>69.245099999999994</v>
      </c>
      <c r="Q35" s="594"/>
      <c r="R35" s="39"/>
      <c r="S35" s="39"/>
      <c r="T35" s="39"/>
      <c r="U35" s="89"/>
      <c r="W35" s="90"/>
      <c r="X35" s="90"/>
      <c r="Y35" s="39"/>
      <c r="Z35" s="90"/>
      <c r="AA35" s="90"/>
      <c r="AB35" s="91"/>
      <c r="AC35" s="90"/>
      <c r="AD35" s="90"/>
      <c r="AE35" s="89"/>
      <c r="AF35" s="89"/>
      <c r="AG35" s="92"/>
      <c r="AH35" s="92"/>
      <c r="AI35" s="93"/>
      <c r="AJ35" s="93"/>
      <c r="AK35" s="39"/>
    </row>
    <row r="36" spans="1:37" x14ac:dyDescent="0.25">
      <c r="A36" s="604" t="s">
        <v>36</v>
      </c>
      <c r="B36" s="299">
        <f>INDEX(Analysis!$C$77:$J$93,MATCH('Leakage assessment'!$A36,Analysis!$B$77:$B$93,0),MATCH('Leakage assessment'!B$33,Analysis!$C$76:$J$76,0))</f>
        <v>36.5</v>
      </c>
      <c r="C36" s="480">
        <f>INDEX(Analysis!$C$77:$J$93,MATCH('Leakage assessment'!$A36,Analysis!$B$77:$B$93,0),MATCH('Leakage assessment'!C$33,Analysis!$C$76:$J$76,0))</f>
        <v>7010</v>
      </c>
      <c r="D36" s="330">
        <f t="shared" si="3"/>
        <v>5.2858722402539504</v>
      </c>
      <c r="E36" s="330">
        <f t="shared" si="4"/>
        <v>5.2068473609129811</v>
      </c>
      <c r="F36" s="480">
        <f>INDEX(Analysis!$C$77:$J$93,MATCH('Leakage assessment'!$A36,Analysis!$B$77:$B$93,0),MATCH('Leakage assessment'!F$33,Analysis!$C$76:$J$76,0))</f>
        <v>577.23299999999995</v>
      </c>
      <c r="G36" s="330">
        <f t="shared" si="5"/>
        <v>75.024093954280517</v>
      </c>
      <c r="H36" s="330">
        <f t="shared" si="6"/>
        <v>63.232698061268152</v>
      </c>
      <c r="I36" s="330">
        <f>D36*C36/1000</f>
        <v>37.053964404180192</v>
      </c>
      <c r="J36" s="329">
        <f t="shared" si="8"/>
        <v>43.3063828255112</v>
      </c>
      <c r="K36" s="329">
        <f ca="1">INDIRECT("'Deep dive_"&amp;A36&amp;"'!C24")</f>
        <v>6.5</v>
      </c>
      <c r="L36" s="467">
        <f t="shared" ca="1" si="2"/>
        <v>0.65061538461538448</v>
      </c>
      <c r="M36" s="329" t="str">
        <f>IF(IF(E36&lt;=D36,1,0)*IF(H36&lt;=G36,1,0)=1,"Pass","Fail")</f>
        <v>Pass</v>
      </c>
      <c r="N36" s="329">
        <f>IF(M36="Pass",AVERAGE(I36:J36),"N/A")</f>
        <v>40.1801736148457</v>
      </c>
      <c r="O36" s="329">
        <f>IF(AVERAGE(I36:J36)-B36&lt;0,"N/A",AVERAGE(I36:J36)-B36)</f>
        <v>3.6801736148456996</v>
      </c>
      <c r="P36" s="467">
        <f ca="1">IF(O36="N/A","N/A",MIN(O36,K36)*L36)</f>
        <v>2.3943775718742248</v>
      </c>
      <c r="Q36" s="594"/>
      <c r="R36" s="39"/>
      <c r="S36" s="39"/>
      <c r="T36" s="39"/>
      <c r="U36" s="89"/>
      <c r="W36" s="90"/>
      <c r="X36" s="90"/>
      <c r="Y36" s="39"/>
      <c r="Z36" s="90"/>
      <c r="AA36" s="90"/>
      <c r="AB36" s="91"/>
      <c r="AC36" s="90"/>
      <c r="AD36" s="90"/>
      <c r="AE36" s="89"/>
      <c r="AF36" s="89"/>
      <c r="AG36" s="92"/>
      <c r="AH36" s="92"/>
      <c r="AI36" s="93"/>
      <c r="AJ36" s="93"/>
      <c r="AK36" s="39"/>
    </row>
    <row r="37" spans="1:37" x14ac:dyDescent="0.25">
      <c r="A37" s="604" t="s">
        <v>106</v>
      </c>
      <c r="B37" s="299">
        <f>INDEX(Analysis!$C$77:$J$93,MATCH('Leakage assessment'!$A37,Analysis!$B$77:$B$93,0),MATCH('Leakage assessment'!B$33,Analysis!$C$76:$J$76,0))</f>
        <v>12.91</v>
      </c>
      <c r="C37" s="480">
        <f>INDEX(Analysis!$C$77:$J$93,MATCH('Leakage assessment'!$A37,Analysis!$B$77:$B$93,0),MATCH('Leakage assessment'!C$33,Analysis!$C$76:$J$76,0))</f>
        <v>2701.5137800000002</v>
      </c>
      <c r="D37" s="330">
        <f t="shared" si="3"/>
        <v>5.2858722402539504</v>
      </c>
      <c r="E37" s="330">
        <f t="shared" si="4"/>
        <v>4.7788022017788849</v>
      </c>
      <c r="F37" s="480">
        <f>INDEX(Analysis!$C$77:$J$93,MATCH('Leakage assessment'!$A37,Analysis!$B$77:$B$93,0),MATCH('Leakage assessment'!F$33,Analysis!$C$76:$J$76,0))</f>
        <v>107.53322751677401</v>
      </c>
      <c r="G37" s="330">
        <f t="shared" si="5"/>
        <v>75.024093954280517</v>
      </c>
      <c r="H37" s="330">
        <f t="shared" si="6"/>
        <v>120.05591479141815</v>
      </c>
      <c r="I37" s="330">
        <f t="shared" si="7"/>
        <v>14.279856696365519</v>
      </c>
      <c r="J37" s="329">
        <f t="shared" si="8"/>
        <v>8.0675829644254762</v>
      </c>
      <c r="K37" s="329"/>
      <c r="L37" s="467">
        <f t="shared" ca="1" si="2"/>
        <v>2.0302304832713758</v>
      </c>
      <c r="M37" s="329" t="str">
        <f t="shared" si="9"/>
        <v>Fail</v>
      </c>
      <c r="N37" s="329" t="str">
        <f t="shared" ref="N37:N50" si="10">IF(M37="Pass",AVERAGE(I37:J37),"N/A")</f>
        <v>N/A</v>
      </c>
      <c r="O37" s="329" t="str">
        <f t="shared" ref="O37:O50" si="11">IF(AVERAGE(I37:J37)-B37&lt;0,"N/A",AVERAGE(I37:J37)-B37)</f>
        <v>N/A</v>
      </c>
      <c r="P37" s="467" t="str">
        <f t="shared" ref="P37:P50" si="12">IF(O37="N/A","N/A",MIN(O37,K37)*L37)</f>
        <v>N/A</v>
      </c>
      <c r="Q37" s="594"/>
      <c r="R37" s="39"/>
      <c r="S37" s="39"/>
      <c r="T37" s="39"/>
      <c r="U37" s="89"/>
      <c r="W37" s="90"/>
      <c r="X37" s="90"/>
      <c r="Y37" s="39"/>
      <c r="Z37" s="90"/>
      <c r="AA37" s="90"/>
      <c r="AB37" s="91"/>
      <c r="AC37" s="90"/>
      <c r="AD37" s="90"/>
      <c r="AE37" s="89"/>
      <c r="AF37" s="89"/>
      <c r="AG37" s="92"/>
      <c r="AH37" s="92"/>
      <c r="AI37" s="93"/>
      <c r="AJ37" s="93"/>
      <c r="AK37" s="39"/>
    </row>
    <row r="38" spans="1:37" x14ac:dyDescent="0.25">
      <c r="A38" s="604" t="s">
        <v>28</v>
      </c>
      <c r="B38" s="299">
        <f>INDEX(Analysis!$C$77:$J$93,MATCH('Leakage assessment'!$A38,Analysis!$B$77:$B$93,0),MATCH('Leakage assessment'!B$33,Analysis!$C$76:$J$76,0))</f>
        <v>175.7</v>
      </c>
      <c r="C38" s="480">
        <f>INDEX(Analysis!$C$77:$J$93,MATCH('Leakage assessment'!$A38,Analysis!$B$77:$B$93,0),MATCH('Leakage assessment'!C$33,Analysis!$C$76:$J$76,0))</f>
        <v>26821</v>
      </c>
      <c r="D38" s="330">
        <f t="shared" si="3"/>
        <v>5.2858722402539504</v>
      </c>
      <c r="E38" s="330">
        <f t="shared" si="4"/>
        <v>6.5508370306849111</v>
      </c>
      <c r="F38" s="480">
        <f>INDEX(Analysis!$C$77:$J$93,MATCH('Leakage assessment'!$A38,Analysis!$B$77:$B$93,0),MATCH('Leakage assessment'!F$33,Analysis!$C$76:$J$76,0))</f>
        <v>2145.3789999999999</v>
      </c>
      <c r="G38" s="330">
        <f t="shared" si="5"/>
        <v>75.024093954280517</v>
      </c>
      <c r="H38" s="330">
        <f>(B38*1000000)/(F38*1000)</f>
        <v>81.896951540963158</v>
      </c>
      <c r="I38" s="330">
        <f t="shared" si="7"/>
        <v>141.7723793558512</v>
      </c>
      <c r="J38" s="329">
        <f t="shared" si="8"/>
        <v>160.95511566354037</v>
      </c>
      <c r="K38" s="329"/>
      <c r="L38" s="467">
        <f t="shared" ca="1" si="2"/>
        <v>2.0302304832713758</v>
      </c>
      <c r="M38" s="329" t="str">
        <f t="shared" si="9"/>
        <v>Fail</v>
      </c>
      <c r="N38" s="329" t="str">
        <f t="shared" si="10"/>
        <v>N/A</v>
      </c>
      <c r="O38" s="329" t="str">
        <f t="shared" si="11"/>
        <v>N/A</v>
      </c>
      <c r="P38" s="467" t="str">
        <f t="shared" si="12"/>
        <v>N/A</v>
      </c>
      <c r="Q38" s="594"/>
      <c r="R38" s="39"/>
      <c r="S38" s="39"/>
      <c r="T38" s="39"/>
      <c r="U38" s="89"/>
      <c r="W38" s="90"/>
      <c r="X38" s="90"/>
      <c r="Y38" s="39"/>
      <c r="Z38" s="90"/>
      <c r="AA38" s="90"/>
      <c r="AB38" s="91"/>
      <c r="AC38" s="90"/>
      <c r="AD38" s="90"/>
      <c r="AE38" s="89"/>
      <c r="AF38" s="89"/>
      <c r="AG38" s="92"/>
      <c r="AH38" s="92"/>
      <c r="AI38" s="93"/>
      <c r="AJ38" s="93"/>
      <c r="AK38" s="39"/>
    </row>
    <row r="39" spans="1:37" x14ac:dyDescent="0.25">
      <c r="A39" s="604" t="s">
        <v>37</v>
      </c>
      <c r="B39" s="299">
        <f>INDEX(Analysis!$C$77:$J$93,MATCH('Leakage assessment'!$A39,Analysis!$B$77:$B$93,0),MATCH('Leakage assessment'!B$33,Analysis!$C$76:$J$76,0))</f>
        <v>27.9</v>
      </c>
      <c r="C39" s="480">
        <f>INDEX(Analysis!$C$77:$J$93,MATCH('Leakage assessment'!$A39,Analysis!$B$77:$B$93,0),MATCH('Leakage assessment'!C$33,Analysis!$C$76:$J$76,0))</f>
        <v>3416</v>
      </c>
      <c r="D39" s="330">
        <f t="shared" si="3"/>
        <v>5.2858722402539504</v>
      </c>
      <c r="E39" s="330">
        <f t="shared" si="4"/>
        <v>8.1674473067915692</v>
      </c>
      <c r="F39" s="480">
        <f>INDEX(Analysis!$C$77:$J$93,MATCH('Leakage assessment'!$A39,Analysis!$B$77:$B$93,0),MATCH('Leakage assessment'!F$33,Analysis!$C$76:$J$76,0))</f>
        <v>334.5</v>
      </c>
      <c r="G39" s="330">
        <f t="shared" si="5"/>
        <v>75.024093954280517</v>
      </c>
      <c r="H39" s="330">
        <f t="shared" si="6"/>
        <v>83.408071748878925</v>
      </c>
      <c r="I39" s="330">
        <f t="shared" si="7"/>
        <v>18.056539572707493</v>
      </c>
      <c r="J39" s="329">
        <f t="shared" si="8"/>
        <v>25.095559427706835</v>
      </c>
      <c r="K39" s="329">
        <f t="shared" ref="K39:K41" ca="1" si="13">INDIRECT("'Deep dive_"&amp;A39&amp;"'!C24")</f>
        <v>4.7</v>
      </c>
      <c r="L39" s="467">
        <f t="shared" ca="1" si="2"/>
        <v>0.32914893617021274</v>
      </c>
      <c r="M39" s="329" t="str">
        <f t="shared" si="9"/>
        <v>Fail</v>
      </c>
      <c r="N39" s="329" t="str">
        <f t="shared" si="10"/>
        <v>N/A</v>
      </c>
      <c r="O39" s="329" t="str">
        <f t="shared" si="11"/>
        <v>N/A</v>
      </c>
      <c r="P39" s="467" t="str">
        <f t="shared" si="12"/>
        <v>N/A</v>
      </c>
      <c r="Q39" s="594"/>
      <c r="R39" s="39"/>
      <c r="S39" s="39"/>
      <c r="T39" s="39"/>
      <c r="U39" s="89"/>
      <c r="W39" s="90"/>
      <c r="X39" s="90"/>
      <c r="Y39" s="39"/>
      <c r="Z39" s="90"/>
      <c r="AA39" s="90"/>
      <c r="AB39" s="91"/>
      <c r="AC39" s="90"/>
      <c r="AD39" s="90"/>
      <c r="AE39" s="89"/>
      <c r="AF39" s="89"/>
      <c r="AG39" s="92"/>
      <c r="AH39" s="92"/>
      <c r="AI39" s="93"/>
      <c r="AJ39" s="93"/>
      <c r="AK39" s="39"/>
    </row>
    <row r="40" spans="1:37" x14ac:dyDescent="0.25">
      <c r="A40" s="604" t="s">
        <v>40</v>
      </c>
      <c r="B40" s="299">
        <f>INDEX(Analysis!$C$77:$J$93,MATCH('Leakage assessment'!$A40,Analysis!$B$77:$B$93,0),MATCH('Leakage assessment'!B$33,Analysis!$C$76:$J$76,0))</f>
        <v>21.1</v>
      </c>
      <c r="C40" s="480">
        <f>INDEX(Analysis!$C$77:$J$93,MATCH('Leakage assessment'!$A40,Analysis!$B$77:$B$93,0),MATCH('Leakage assessment'!C$33,Analysis!$C$76:$J$76,0))</f>
        <v>3544</v>
      </c>
      <c r="D40" s="330">
        <f t="shared" si="3"/>
        <v>5.2858722402539504</v>
      </c>
      <c r="E40" s="330">
        <f t="shared" si="4"/>
        <v>5.9537246049661396</v>
      </c>
      <c r="F40" s="480">
        <f>INDEX(Analysis!$C$77:$J$93,MATCH('Leakage assessment'!$A40,Analysis!$B$77:$B$93,0),MATCH('Leakage assessment'!F$33,Analysis!$C$76:$J$76,0))</f>
        <v>308.04450000000003</v>
      </c>
      <c r="G40" s="330">
        <f t="shared" si="5"/>
        <v>75.024093954280517</v>
      </c>
      <c r="H40" s="330">
        <f t="shared" si="6"/>
        <v>68.496597082564364</v>
      </c>
      <c r="I40" s="330">
        <f t="shared" si="7"/>
        <v>18.733131219459999</v>
      </c>
      <c r="J40" s="329">
        <f t="shared" si="8"/>
        <v>23.110759510099367</v>
      </c>
      <c r="K40" s="329">
        <f t="shared" ca="1" si="13"/>
        <v>3.6000000000000014</v>
      </c>
      <c r="L40" s="467">
        <f t="shared" ca="1" si="2"/>
        <v>4.7707099501174612</v>
      </c>
      <c r="M40" s="329" t="str">
        <f t="shared" si="9"/>
        <v>Fail</v>
      </c>
      <c r="N40" s="329" t="str">
        <f t="shared" si="10"/>
        <v>N/A</v>
      </c>
      <c r="O40" s="329" t="str">
        <f t="shared" si="11"/>
        <v>N/A</v>
      </c>
      <c r="P40" s="467" t="str">
        <f t="shared" si="12"/>
        <v>N/A</v>
      </c>
      <c r="Q40" s="594"/>
      <c r="R40" s="39"/>
      <c r="S40" s="39"/>
      <c r="T40" s="39"/>
      <c r="U40" s="89"/>
      <c r="W40" s="90"/>
      <c r="X40" s="90"/>
      <c r="Y40" s="39"/>
      <c r="Z40" s="90"/>
      <c r="AA40" s="90"/>
      <c r="AB40" s="91"/>
      <c r="AC40" s="90"/>
      <c r="AD40" s="90"/>
      <c r="AE40" s="89"/>
      <c r="AF40" s="89"/>
      <c r="AG40" s="92"/>
      <c r="AH40" s="92"/>
      <c r="AI40" s="93"/>
      <c r="AJ40" s="93"/>
      <c r="AK40" s="39"/>
    </row>
    <row r="41" spans="1:37" x14ac:dyDescent="0.25">
      <c r="A41" s="604" t="s">
        <v>38</v>
      </c>
      <c r="B41" s="299">
        <f>INDEX(Analysis!$C$77:$J$93,MATCH('Leakage assessment'!$A41,Analysis!$B$77:$B$93,0),MATCH('Leakage assessment'!B$33,Analysis!$C$76:$J$76,0))</f>
        <v>79.099999999999994</v>
      </c>
      <c r="C41" s="480">
        <f>INDEX(Analysis!$C$77:$J$93,MATCH('Leakage assessment'!$A41,Analysis!$B$77:$B$93,0),MATCH('Leakage assessment'!C$33,Analysis!$C$76:$J$76,0))</f>
        <v>15382.7868570254</v>
      </c>
      <c r="D41" s="330">
        <f t="shared" si="3"/>
        <v>5.2858722402539504</v>
      </c>
      <c r="E41" s="330">
        <f t="shared" si="4"/>
        <v>5.1421111619884803</v>
      </c>
      <c r="F41" s="480">
        <f>INDEX(Analysis!$C$77:$J$93,MATCH('Leakage assessment'!$A41,Analysis!$B$77:$B$93,0),MATCH('Leakage assessment'!F$33,Analysis!$C$76:$J$76,0))</f>
        <v>1079.0054149933101</v>
      </c>
      <c r="G41" s="330">
        <f t="shared" si="5"/>
        <v>75.024093954280517</v>
      </c>
      <c r="H41" s="330">
        <f t="shared" si="6"/>
        <v>73.308251192131806</v>
      </c>
      <c r="I41" s="330">
        <f>D41*C41/1000</f>
        <v>81.311446025293876</v>
      </c>
      <c r="J41" s="329">
        <f t="shared" si="8"/>
        <v>80.951403631635529</v>
      </c>
      <c r="K41" s="329">
        <f t="shared" ca="1" si="13"/>
        <v>12.61</v>
      </c>
      <c r="L41" s="467">
        <f t="shared" ca="1" si="2"/>
        <v>2.2836552023509604</v>
      </c>
      <c r="M41" s="329" t="str">
        <f t="shared" si="9"/>
        <v>Pass</v>
      </c>
      <c r="N41" s="329">
        <f t="shared" si="10"/>
        <v>81.131424828464702</v>
      </c>
      <c r="O41" s="329">
        <f>IF(AVERAGE(I41:J41)-B41&lt;0,"N/A",AVERAGE(I41:J41)-B41)</f>
        <v>2.0314248284647078</v>
      </c>
      <c r="P41" s="467">
        <f ca="1">IF(O41="N/A","N/A",MIN(O41,K41)*L41)</f>
        <v>4.6390738777083378</v>
      </c>
      <c r="Q41" s="594"/>
      <c r="R41" s="39"/>
      <c r="S41" s="39"/>
      <c r="T41" s="39"/>
      <c r="U41" s="89"/>
      <c r="W41" s="90"/>
      <c r="X41" s="90"/>
      <c r="Y41" s="39"/>
      <c r="Z41" s="90"/>
      <c r="AA41" s="90"/>
      <c r="AB41" s="91"/>
      <c r="AC41" s="90"/>
      <c r="AD41" s="90"/>
      <c r="AE41" s="89"/>
      <c r="AF41" s="89"/>
      <c r="AG41" s="92"/>
      <c r="AH41" s="92"/>
      <c r="AI41" s="93"/>
      <c r="AJ41" s="93"/>
      <c r="AK41" s="39"/>
    </row>
    <row r="42" spans="1:37" x14ac:dyDescent="0.25">
      <c r="A42" s="604" t="s">
        <v>30</v>
      </c>
      <c r="B42" s="299">
        <f>INDEX(Analysis!$C$77:$J$93,MATCH('Leakage assessment'!$A42,Analysis!$B$77:$B$93,0),MATCH('Leakage assessment'!B$33,Analysis!$C$76:$J$76,0))</f>
        <v>89.6</v>
      </c>
      <c r="C42" s="480">
        <f>INDEX(Analysis!$C$77:$J$93,MATCH('Leakage assessment'!$A42,Analysis!$B$77:$B$93,0),MATCH('Leakage assessment'!C$33,Analysis!$C$76:$J$76,0))</f>
        <v>14185</v>
      </c>
      <c r="D42" s="330">
        <f t="shared" si="3"/>
        <v>5.2858722402539504</v>
      </c>
      <c r="E42" s="330">
        <f>(B42*1000)/C42</f>
        <v>6.3165315474092347</v>
      </c>
      <c r="F42" s="480">
        <f>INDEX(Analysis!$C$77:$J$93,MATCH('Leakage assessment'!$A42,Analysis!$B$77:$B$93,0),MATCH('Leakage assessment'!F$33,Analysis!$C$76:$J$76,0))</f>
        <v>1194.2829999999999</v>
      </c>
      <c r="G42" s="330">
        <f t="shared" si="5"/>
        <v>75.024093954280517</v>
      </c>
      <c r="H42" s="330">
        <f t="shared" si="6"/>
        <v>75.024093954280517</v>
      </c>
      <c r="I42" s="330">
        <f t="shared" si="7"/>
        <v>74.980097728002292</v>
      </c>
      <c r="J42" s="329">
        <f t="shared" si="8"/>
        <v>89.59999999999998</v>
      </c>
      <c r="K42" s="329">
        <f ca="1">INDIRECT("'Deep dive_"&amp;A42&amp;"'!C24")</f>
        <v>15.79</v>
      </c>
      <c r="L42" s="467">
        <f t="shared" ca="1" si="2"/>
        <v>1.9481693774612454</v>
      </c>
      <c r="M42" s="329" t="str">
        <f t="shared" si="9"/>
        <v>Fail</v>
      </c>
      <c r="N42" s="329" t="str">
        <f t="shared" si="10"/>
        <v>N/A</v>
      </c>
      <c r="O42" s="329" t="str">
        <f t="shared" si="11"/>
        <v>N/A</v>
      </c>
      <c r="P42" s="467" t="str">
        <f t="shared" si="12"/>
        <v>N/A</v>
      </c>
      <c r="Q42" s="594"/>
      <c r="R42" s="39"/>
      <c r="S42" s="39"/>
      <c r="T42" s="39"/>
      <c r="U42" s="89"/>
      <c r="W42" s="90"/>
      <c r="X42" s="90"/>
      <c r="Y42" s="39"/>
      <c r="Z42" s="90"/>
      <c r="AA42" s="90"/>
      <c r="AB42" s="91"/>
      <c r="AC42" s="90"/>
      <c r="AD42" s="90"/>
      <c r="AE42" s="89"/>
      <c r="AF42" s="89"/>
      <c r="AG42" s="92"/>
      <c r="AH42" s="92"/>
      <c r="AI42" s="93"/>
      <c r="AJ42" s="93"/>
      <c r="AK42" s="39"/>
    </row>
    <row r="43" spans="1:37" x14ac:dyDescent="0.25">
      <c r="A43" s="604" t="s">
        <v>39</v>
      </c>
      <c r="B43" s="299">
        <f>INDEX(Analysis!$C$77:$J$93,MATCH('Leakage assessment'!$A43,Analysis!$B$77:$B$93,0),MATCH('Leakage assessment'!B$33,Analysis!$C$76:$J$76,0))</f>
        <v>68.400000000000006</v>
      </c>
      <c r="C43" s="480">
        <f>INDEX(Analysis!$C$77:$J$93,MATCH('Leakage assessment'!$A43,Analysis!$B$77:$B$93,0),MATCH('Leakage assessment'!C$33,Analysis!$C$76:$J$76,0))</f>
        <v>9016.2000000000007</v>
      </c>
      <c r="D43" s="330">
        <f t="shared" si="3"/>
        <v>5.2858722402539504</v>
      </c>
      <c r="E43" s="330">
        <f t="shared" si="4"/>
        <v>7.5863445797564379</v>
      </c>
      <c r="F43" s="480">
        <f>INDEX(Analysis!$C$77:$J$93,MATCH('Leakage assessment'!$A43,Analysis!$B$77:$B$93,0),MATCH('Leakage assessment'!F$33,Analysis!$C$76:$J$76,0))</f>
        <v>794.79173704289599</v>
      </c>
      <c r="G43" s="330">
        <f t="shared" si="5"/>
        <v>75.024093954280517</v>
      </c>
      <c r="H43" s="330">
        <f t="shared" si="6"/>
        <v>86.060280715158413</v>
      </c>
      <c r="I43" s="330">
        <f>D43*C43/1000</f>
        <v>47.658481292577669</v>
      </c>
      <c r="J43" s="329">
        <f>G43*F43/1000</f>
        <v>59.628529953992043</v>
      </c>
      <c r="K43" s="329">
        <f t="shared" ref="K43:K44" ca="1" si="14">INDIRECT("'Deep dive_"&amp;A43&amp;"'!C24")</f>
        <v>19.61</v>
      </c>
      <c r="L43" s="467">
        <f t="shared" ca="1" si="2"/>
        <v>0.52524222335543091</v>
      </c>
      <c r="M43" s="329" t="str">
        <f t="shared" si="9"/>
        <v>Fail</v>
      </c>
      <c r="N43" s="329" t="str">
        <f t="shared" si="10"/>
        <v>N/A</v>
      </c>
      <c r="O43" s="329" t="str">
        <f t="shared" si="11"/>
        <v>N/A</v>
      </c>
      <c r="P43" s="467" t="str">
        <f t="shared" si="12"/>
        <v>N/A</v>
      </c>
      <c r="Q43" s="594"/>
      <c r="R43" s="39"/>
      <c r="S43" s="39"/>
      <c r="T43" s="39"/>
      <c r="U43" s="89"/>
      <c r="W43" s="90"/>
      <c r="X43" s="90"/>
      <c r="Y43" s="39"/>
      <c r="Z43" s="90"/>
      <c r="AA43" s="90"/>
      <c r="AB43" s="91"/>
      <c r="AC43" s="90"/>
      <c r="AD43" s="90"/>
      <c r="AE43" s="89"/>
      <c r="AF43" s="89"/>
      <c r="AG43" s="92"/>
      <c r="AH43" s="92"/>
      <c r="AI43" s="93"/>
      <c r="AJ43" s="93"/>
      <c r="AK43" s="39"/>
    </row>
    <row r="44" spans="1:37" x14ac:dyDescent="0.25">
      <c r="A44" s="604" t="s">
        <v>29</v>
      </c>
      <c r="B44" s="299">
        <f>INDEX(Analysis!$C$77:$J$93,MATCH('Leakage assessment'!$A44,Analysis!$B$77:$B$93,0),MATCH('Leakage assessment'!B$33,Analysis!$C$76:$J$76,0))</f>
        <v>332.1</v>
      </c>
      <c r="C44" s="480">
        <f>INDEX(Analysis!$C$77:$J$93,MATCH('Leakage assessment'!$A44,Analysis!$B$77:$B$93,0),MATCH('Leakage assessment'!C$33,Analysis!$C$76:$J$76,0))</f>
        <v>47373.408021003001</v>
      </c>
      <c r="D44" s="330">
        <f t="shared" si="3"/>
        <v>5.2858722402539504</v>
      </c>
      <c r="E44" s="330">
        <f t="shared" si="4"/>
        <v>7.0102619565128919</v>
      </c>
      <c r="F44" s="480">
        <f>INDEX(Analysis!$C$77:$J$93,MATCH('Leakage assessment'!$A44,Analysis!$B$77:$B$93,0),MATCH('Leakage assessment'!F$33,Analysis!$C$76:$J$76,0))</f>
        <v>3768.2953310395701</v>
      </c>
      <c r="G44" s="330">
        <f t="shared" si="5"/>
        <v>75.024093954280517</v>
      </c>
      <c r="H44" s="330">
        <f>(B44*1000000)/(F44*1000)</f>
        <v>88.130035155281377</v>
      </c>
      <c r="I44" s="330">
        <f t="shared" si="7"/>
        <v>250.40978238444359</v>
      </c>
      <c r="J44" s="329">
        <f t="shared" si="8"/>
        <v>282.71294296338931</v>
      </c>
      <c r="K44" s="329">
        <f t="shared" ca="1" si="14"/>
        <v>64</v>
      </c>
      <c r="L44" s="467">
        <f t="shared" ca="1" si="2"/>
        <v>0.47499999999999998</v>
      </c>
      <c r="M44" s="329" t="str">
        <f t="shared" si="9"/>
        <v>Fail</v>
      </c>
      <c r="N44" s="329" t="str">
        <f t="shared" si="10"/>
        <v>N/A</v>
      </c>
      <c r="O44" s="329" t="str">
        <f t="shared" si="11"/>
        <v>N/A</v>
      </c>
      <c r="P44" s="467" t="str">
        <f t="shared" si="12"/>
        <v>N/A</v>
      </c>
      <c r="Q44" s="594"/>
      <c r="R44" s="39"/>
      <c r="S44" s="39"/>
      <c r="T44" s="39"/>
      <c r="U44" s="89"/>
      <c r="W44" s="90"/>
      <c r="X44" s="90"/>
      <c r="Y44" s="39"/>
      <c r="Z44" s="90"/>
      <c r="AA44" s="90"/>
      <c r="AB44" s="91"/>
      <c r="AC44" s="90"/>
      <c r="AD44" s="90"/>
      <c r="AE44" s="89"/>
      <c r="AF44" s="89"/>
      <c r="AG44" s="92"/>
      <c r="AH44" s="92"/>
      <c r="AI44" s="93"/>
      <c r="AJ44" s="93"/>
      <c r="AK44" s="39"/>
    </row>
    <row r="45" spans="1:37" x14ac:dyDescent="0.25">
      <c r="A45" s="604" t="s">
        <v>108</v>
      </c>
      <c r="B45" s="299">
        <f>INDEX(Analysis!$C$77:$J$93,MATCH('Leakage assessment'!$A45,Analysis!$B$77:$B$93,0),MATCH('Leakage assessment'!B$33,Analysis!$C$76:$J$76,0))</f>
        <v>101.5</v>
      </c>
      <c r="C45" s="480">
        <f>INDEX(Analysis!$C$77:$J$93,MATCH('Leakage assessment'!$A45,Analysis!$B$77:$B$93,0),MATCH('Leakage assessment'!C$33,Analysis!$C$76:$J$76,0))</f>
        <v>18592</v>
      </c>
      <c r="D45" s="330">
        <f t="shared" si="3"/>
        <v>5.2858722402539504</v>
      </c>
      <c r="E45" s="330">
        <f t="shared" si="4"/>
        <v>5.4593373493975905</v>
      </c>
      <c r="F45" s="480">
        <f>INDEX(Analysis!$C$77:$J$93,MATCH('Leakage assessment'!$A45,Analysis!$B$77:$B$93,0),MATCH('Leakage assessment'!F$33,Analysis!$C$76:$J$76,0))</f>
        <v>1109.943</v>
      </c>
      <c r="G45" s="330">
        <f t="shared" si="5"/>
        <v>75.024093954280517</v>
      </c>
      <c r="H45" s="330">
        <f t="shared" si="6"/>
        <v>91.446137324168902</v>
      </c>
      <c r="I45" s="330">
        <f t="shared" si="7"/>
        <v>98.274936690801454</v>
      </c>
      <c r="J45" s="329">
        <f t="shared" si="8"/>
        <v>83.272467915895973</v>
      </c>
      <c r="K45" s="329"/>
      <c r="L45" s="467">
        <f t="shared" ca="1" si="2"/>
        <v>0.63300000000000001</v>
      </c>
      <c r="M45" s="329" t="str">
        <f t="shared" si="9"/>
        <v>Fail</v>
      </c>
      <c r="N45" s="329" t="str">
        <f t="shared" si="10"/>
        <v>N/A</v>
      </c>
      <c r="O45" s="329" t="str">
        <f t="shared" si="11"/>
        <v>N/A</v>
      </c>
      <c r="P45" s="467" t="str">
        <f t="shared" si="12"/>
        <v>N/A</v>
      </c>
      <c r="Q45" s="594"/>
      <c r="R45" s="39"/>
      <c r="S45" s="39"/>
      <c r="T45" s="39"/>
      <c r="U45" s="89"/>
      <c r="W45" s="90"/>
      <c r="X45" s="90"/>
      <c r="Y45" s="39"/>
      <c r="Z45" s="90"/>
      <c r="AA45" s="90"/>
      <c r="AB45" s="91"/>
      <c r="AC45" s="90"/>
      <c r="AD45" s="90"/>
      <c r="AE45" s="89"/>
      <c r="AF45" s="89"/>
      <c r="AG45" s="92"/>
      <c r="AH45" s="92"/>
      <c r="AI45" s="93"/>
      <c r="AJ45" s="93"/>
      <c r="AK45" s="39"/>
    </row>
    <row r="46" spans="1:37" ht="45" x14ac:dyDescent="0.25">
      <c r="A46" s="604" t="s">
        <v>31</v>
      </c>
      <c r="B46" s="299">
        <v>535.5</v>
      </c>
      <c r="C46" s="480">
        <f>INDEX(Analysis!$C$77:$J$93,MATCH('Leakage assessment'!$A46,Analysis!$B$77:$B$93,0),MATCH('Leakage assessment'!C$33,Analysis!$C$76:$J$76,0))</f>
        <v>32467.154538499301</v>
      </c>
      <c r="D46" s="330">
        <f t="shared" si="3"/>
        <v>5.2858722402539504</v>
      </c>
      <c r="E46" s="330">
        <f t="shared" si="4"/>
        <v>16.493591988944033</v>
      </c>
      <c r="F46" s="480">
        <f>INDEX(Analysis!$C$77:$J$93,MATCH('Leakage assessment'!$A46,Analysis!$B$77:$B$93,0),MATCH('Leakage assessment'!F$33,Analysis!$C$76:$J$76,0))</f>
        <v>4262.5682979499497</v>
      </c>
      <c r="G46" s="330">
        <f t="shared" si="5"/>
        <v>75.024093954280517</v>
      </c>
      <c r="H46" s="330">
        <f t="shared" si="6"/>
        <v>125.62848559108009</v>
      </c>
      <c r="I46" s="330">
        <f t="shared" si="7"/>
        <v>171.61723089508851</v>
      </c>
      <c r="J46" s="329">
        <f t="shared" si="8"/>
        <v>319.79532447193463</v>
      </c>
      <c r="K46" s="329">
        <f t="shared" ref="K46:K50" ca="1" si="15">INDIRECT("'Deep dive_"&amp;A46&amp;"'!C24")</f>
        <v>42.4</v>
      </c>
      <c r="L46" s="467">
        <f t="shared" ca="1" si="2"/>
        <v>3.33</v>
      </c>
      <c r="M46" s="329" t="str">
        <f t="shared" si="9"/>
        <v>Fail</v>
      </c>
      <c r="N46" s="329" t="str">
        <f t="shared" si="10"/>
        <v>N/A</v>
      </c>
      <c r="O46" s="329" t="str">
        <f t="shared" si="11"/>
        <v>N/A</v>
      </c>
      <c r="P46" s="467" t="str">
        <f t="shared" si="12"/>
        <v>N/A</v>
      </c>
      <c r="Q46" s="601" t="s">
        <v>839</v>
      </c>
      <c r="R46" s="39"/>
      <c r="S46" s="39"/>
      <c r="T46" s="39"/>
      <c r="U46" s="89"/>
      <c r="W46" s="90"/>
      <c r="X46" s="90"/>
      <c r="Y46" s="39"/>
      <c r="Z46" s="90"/>
      <c r="AA46" s="90"/>
      <c r="AB46" s="91"/>
      <c r="AC46" s="90"/>
      <c r="AD46" s="90"/>
      <c r="AE46" s="89"/>
      <c r="AF46" s="89"/>
      <c r="AG46" s="92"/>
      <c r="AH46" s="92"/>
      <c r="AI46" s="93"/>
      <c r="AJ46" s="93"/>
      <c r="AK46" s="39"/>
    </row>
    <row r="47" spans="1:37" x14ac:dyDescent="0.25">
      <c r="A47" s="604" t="s">
        <v>32</v>
      </c>
      <c r="B47" s="299">
        <f>INDEX(Analysis!$C$77:$J$93,MATCH('Leakage assessment'!$A47,Analysis!$B$77:$B$93,0),MATCH('Leakage assessment'!B$33,Analysis!$C$76:$J$76,0))</f>
        <v>386.9</v>
      </c>
      <c r="C47" s="480">
        <f>INDEX(Analysis!$C$77:$J$93,MATCH('Leakage assessment'!$A47,Analysis!$B$77:$B$93,0),MATCH('Leakage assessment'!C$33,Analysis!$C$76:$J$76,0))</f>
        <v>42842.292057958002</v>
      </c>
      <c r="D47" s="330">
        <f t="shared" si="3"/>
        <v>5.2858722402539504</v>
      </c>
      <c r="E47" s="330">
        <f>(B47*1000)/C47</f>
        <v>9.030796005885799</v>
      </c>
      <c r="F47" s="480">
        <f>INDEX(Analysis!$C$77:$J$93,MATCH('Leakage assessment'!$A47,Analysis!$B$77:$B$93,0),MATCH('Leakage assessment'!F$33,Analysis!$C$76:$J$76,0))</f>
        <v>3475.50235997355</v>
      </c>
      <c r="G47" s="330">
        <f t="shared" si="5"/>
        <v>75.024093954280517</v>
      </c>
      <c r="H47" s="330">
        <f t="shared" si="6"/>
        <v>111.32203633518594</v>
      </c>
      <c r="I47" s="330">
        <f t="shared" si="7"/>
        <v>226.4588822980125</v>
      </c>
      <c r="J47" s="329">
        <f t="shared" si="8"/>
        <v>260.7464155929793</v>
      </c>
      <c r="K47" s="329">
        <f t="shared" ca="1" si="15"/>
        <v>67.204545351986638</v>
      </c>
      <c r="L47" s="467">
        <f t="shared" ca="1" si="2"/>
        <v>0.59519783655254732</v>
      </c>
      <c r="M47" s="329" t="str">
        <f t="shared" si="9"/>
        <v>Fail</v>
      </c>
      <c r="N47" s="329" t="str">
        <f t="shared" si="10"/>
        <v>N/A</v>
      </c>
      <c r="O47" s="329" t="str">
        <f t="shared" si="11"/>
        <v>N/A</v>
      </c>
      <c r="P47" s="467" t="str">
        <f t="shared" si="12"/>
        <v>N/A</v>
      </c>
      <c r="Q47" s="594"/>
      <c r="R47" s="39"/>
      <c r="S47" s="39"/>
      <c r="T47" s="39"/>
      <c r="U47" s="89"/>
      <c r="V47" s="90"/>
      <c r="W47" s="90"/>
      <c r="X47" s="90"/>
      <c r="Y47" s="39"/>
      <c r="Z47" s="90"/>
      <c r="AA47" s="90"/>
      <c r="AB47" s="91"/>
      <c r="AC47" s="90"/>
      <c r="AD47" s="90"/>
      <c r="AE47" s="89"/>
      <c r="AF47" s="89"/>
      <c r="AG47" s="92"/>
      <c r="AH47" s="92"/>
      <c r="AI47" s="93"/>
      <c r="AJ47" s="93"/>
      <c r="AK47" s="39"/>
    </row>
    <row r="48" spans="1:37" x14ac:dyDescent="0.25">
      <c r="A48" s="604" t="s">
        <v>27</v>
      </c>
      <c r="B48" s="299">
        <f>INDEX(Analysis!$C$77:$J$93,MATCH('Leakage assessment'!$A48,Analysis!$B$77:$B$93,0),MATCH('Leakage assessment'!B$33,Analysis!$C$76:$J$76,0))</f>
        <v>148.19999999999999</v>
      </c>
      <c r="C48" s="480">
        <f>INDEX(Analysis!$C$77:$J$93,MATCH('Leakage assessment'!$A48,Analysis!$B$77:$B$93,0),MATCH('Leakage assessment'!C$33,Analysis!$C$76:$J$76,0))</f>
        <v>28037</v>
      </c>
      <c r="D48" s="330">
        <f t="shared" si="3"/>
        <v>5.2858722402539504</v>
      </c>
      <c r="E48" s="330">
        <f t="shared" si="4"/>
        <v>5.2858722402539504</v>
      </c>
      <c r="F48" s="480">
        <f>INDEX(Analysis!$C$77:$J$93,MATCH('Leakage assessment'!$A48,Analysis!$B$77:$B$93,0),MATCH('Leakage assessment'!F$33,Analysis!$C$76:$J$76,0))</f>
        <v>1492.5239999999999</v>
      </c>
      <c r="G48" s="330">
        <f t="shared" si="5"/>
        <v>75.024093954280517</v>
      </c>
      <c r="H48" s="330">
        <f t="shared" si="6"/>
        <v>99.294885710380541</v>
      </c>
      <c r="I48" s="330">
        <f t="shared" si="7"/>
        <v>148.19999999999999</v>
      </c>
      <c r="J48" s="329">
        <f t="shared" si="8"/>
        <v>111.97526080501856</v>
      </c>
      <c r="K48" s="329">
        <f t="shared" ca="1" si="15"/>
        <v>26</v>
      </c>
      <c r="L48" s="467">
        <f t="shared" ca="1" si="2"/>
        <v>2.0347351233671986</v>
      </c>
      <c r="M48" s="329" t="str">
        <f t="shared" si="9"/>
        <v>Fail</v>
      </c>
      <c r="N48" s="329" t="str">
        <f t="shared" si="10"/>
        <v>N/A</v>
      </c>
      <c r="O48" s="329" t="str">
        <f t="shared" si="11"/>
        <v>N/A</v>
      </c>
      <c r="P48" s="467" t="str">
        <f t="shared" si="12"/>
        <v>N/A</v>
      </c>
      <c r="Q48" s="594"/>
      <c r="R48" s="39"/>
      <c r="S48" s="39"/>
      <c r="T48" s="39"/>
      <c r="U48" s="89"/>
      <c r="V48" s="90"/>
      <c r="W48" s="90"/>
      <c r="X48" s="90"/>
      <c r="Y48" s="39"/>
      <c r="Z48" s="90"/>
      <c r="AA48" s="90"/>
      <c r="AB48" s="91"/>
      <c r="AC48" s="90"/>
      <c r="AD48" s="90"/>
      <c r="AE48" s="89"/>
      <c r="AF48" s="89"/>
      <c r="AG48" s="92"/>
      <c r="AH48" s="92"/>
      <c r="AI48" s="93"/>
      <c r="AJ48" s="93"/>
      <c r="AK48" s="39"/>
    </row>
    <row r="49" spans="1:38" x14ac:dyDescent="0.25">
      <c r="A49" s="604" t="s">
        <v>33</v>
      </c>
      <c r="B49" s="299">
        <f>INDEX(Analysis!$C$77:$J$93,MATCH('Leakage assessment'!$A49,Analysis!$B$77:$B$93,0),MATCH('Leakage assessment'!B$33,Analysis!$C$76:$J$76,0))</f>
        <v>68.8</v>
      </c>
      <c r="C49" s="480">
        <f>INDEX(Analysis!$C$77:$J$93,MATCH('Leakage assessment'!$A49,Analysis!$B$77:$B$93,0),MATCH('Leakage assessment'!C$33,Analysis!$C$76:$J$76,0))</f>
        <v>12250.016100000001</v>
      </c>
      <c r="D49" s="330">
        <f t="shared" si="3"/>
        <v>5.2858722402539504</v>
      </c>
      <c r="E49" s="330">
        <f>(B49*1000)/C49</f>
        <v>5.6163191491642204</v>
      </c>
      <c r="F49" s="480">
        <f>INDEX(Analysis!$C$77:$J$93,MATCH('Leakage assessment'!$A49,Analysis!$B$77:$B$93,0),MATCH('Leakage assessment'!F$33,Analysis!$C$76:$J$76,0))</f>
        <v>660.20299999999997</v>
      </c>
      <c r="G49" s="330">
        <f t="shared" si="5"/>
        <v>75.024093954280517</v>
      </c>
      <c r="H49" s="330">
        <f t="shared" si="6"/>
        <v>104.21037165841416</v>
      </c>
      <c r="I49" s="330">
        <f t="shared" si="7"/>
        <v>64.752020045653964</v>
      </c>
      <c r="J49" s="329">
        <f t="shared" si="8"/>
        <v>49.531131900897861</v>
      </c>
      <c r="K49" s="329">
        <f t="shared" ca="1" si="15"/>
        <v>10.49</v>
      </c>
      <c r="L49" s="467">
        <f t="shared" ca="1" si="2"/>
        <v>2.415443279313632</v>
      </c>
      <c r="M49" s="329" t="str">
        <f t="shared" si="9"/>
        <v>Fail</v>
      </c>
      <c r="N49" s="329" t="str">
        <f t="shared" si="10"/>
        <v>N/A</v>
      </c>
      <c r="O49" s="329" t="str">
        <f t="shared" si="11"/>
        <v>N/A</v>
      </c>
      <c r="P49" s="467" t="str">
        <f t="shared" si="12"/>
        <v>N/A</v>
      </c>
      <c r="Q49" s="594"/>
      <c r="R49" s="39"/>
      <c r="S49" s="39"/>
      <c r="T49" s="39"/>
      <c r="U49" s="89"/>
      <c r="V49" s="90"/>
      <c r="W49" s="90"/>
      <c r="X49" s="90"/>
      <c r="Y49" s="39"/>
      <c r="Z49" s="90"/>
      <c r="AA49" s="90"/>
      <c r="AB49" s="91"/>
      <c r="AC49" s="90"/>
      <c r="AD49" s="90"/>
      <c r="AE49" s="89"/>
      <c r="AF49" s="89"/>
      <c r="AG49" s="92"/>
      <c r="AH49" s="92"/>
      <c r="AI49" s="93"/>
      <c r="AJ49" s="93"/>
      <c r="AK49" s="39"/>
    </row>
    <row r="50" spans="1:38" ht="45.75" thickBot="1" x14ac:dyDescent="0.3">
      <c r="A50" s="605" t="s">
        <v>34</v>
      </c>
      <c r="B50" s="595">
        <v>229.97</v>
      </c>
      <c r="C50" s="596">
        <f>INDEX(Analysis!$C$77:$J$93,MATCH('Leakage assessment'!$A50,Analysis!$B$77:$B$93,0),MATCH('Leakage assessment'!C$33,Analysis!$C$76:$J$76,0))</f>
        <v>32436</v>
      </c>
      <c r="D50" s="597">
        <f>_xlfn.QUARTILE.INC($E$34:$E$50,1)</f>
        <v>5.2858722402539504</v>
      </c>
      <c r="E50" s="597">
        <f>(B50*1000)/C50</f>
        <v>7.089961770871871</v>
      </c>
      <c r="F50" s="596">
        <f>INDEX(Analysis!$C$77:$J$93,MATCH('Leakage assessment'!$A50,Analysis!$B$77:$B$93,0),MATCH('Leakage assessment'!F$33,Analysis!$C$76:$J$76,0))</f>
        <v>2429.2194492581002</v>
      </c>
      <c r="G50" s="597">
        <f t="shared" si="5"/>
        <v>75.024093954280517</v>
      </c>
      <c r="H50" s="597">
        <f t="shared" si="6"/>
        <v>94.668268883749619</v>
      </c>
      <c r="I50" s="597">
        <f t="shared" si="7"/>
        <v>171.45255198487712</v>
      </c>
      <c r="J50" s="598">
        <f t="shared" si="8"/>
        <v>182.24998819670529</v>
      </c>
      <c r="K50" s="598">
        <f t="shared" ca="1" si="15"/>
        <v>67.25</v>
      </c>
      <c r="L50" s="599">
        <f t="shared" ca="1" si="2"/>
        <v>2.0302304832713758</v>
      </c>
      <c r="M50" s="598" t="str">
        <f t="shared" si="9"/>
        <v>Fail</v>
      </c>
      <c r="N50" s="598" t="str">
        <f t="shared" si="10"/>
        <v>N/A</v>
      </c>
      <c r="O50" s="598" t="str">
        <f t="shared" si="11"/>
        <v>N/A</v>
      </c>
      <c r="P50" s="599" t="str">
        <f t="shared" si="12"/>
        <v>N/A</v>
      </c>
      <c r="Q50" s="602" t="s">
        <v>840</v>
      </c>
      <c r="R50" s="39"/>
      <c r="S50" s="39"/>
      <c r="T50" s="39"/>
      <c r="U50" s="89"/>
      <c r="V50" s="90"/>
      <c r="W50" s="90"/>
      <c r="X50" s="90"/>
      <c r="Y50" s="39"/>
      <c r="Z50" s="90"/>
      <c r="AA50" s="90"/>
      <c r="AB50" s="91"/>
      <c r="AC50" s="90"/>
      <c r="AD50" s="90"/>
      <c r="AE50" s="89"/>
      <c r="AF50" s="89"/>
      <c r="AG50" s="92"/>
      <c r="AH50" s="92"/>
      <c r="AI50" s="93"/>
      <c r="AJ50" s="93"/>
      <c r="AK50" s="39"/>
    </row>
    <row r="51" spans="1:38" x14ac:dyDescent="0.25">
      <c r="A51" s="526" t="s">
        <v>331</v>
      </c>
      <c r="B51" s="308"/>
      <c r="C51" s="308"/>
      <c r="D51" s="308"/>
      <c r="E51" s="308"/>
      <c r="F51" s="308"/>
      <c r="G51" s="308"/>
      <c r="H51" s="308"/>
      <c r="I51" s="308"/>
      <c r="J51" s="308"/>
      <c r="K51" s="308"/>
      <c r="L51" s="308"/>
      <c r="M51" s="308"/>
      <c r="N51" s="308"/>
      <c r="O51" s="308"/>
      <c r="P51" s="308"/>
      <c r="Q51" s="308"/>
      <c r="R51" s="39"/>
      <c r="S51" s="39"/>
      <c r="T51" s="39"/>
      <c r="U51" s="39"/>
      <c r="V51" s="39"/>
      <c r="W51" s="39"/>
      <c r="X51" s="39"/>
      <c r="Y51" s="39"/>
      <c r="Z51" s="39"/>
      <c r="AA51" s="39"/>
      <c r="AB51" s="39"/>
      <c r="AC51" s="39"/>
      <c r="AD51" s="39"/>
      <c r="AE51" s="39"/>
      <c r="AF51" s="39"/>
      <c r="AG51" s="39"/>
      <c r="AH51" s="39"/>
      <c r="AI51" s="39"/>
      <c r="AJ51" s="39"/>
      <c r="AK51" s="39"/>
      <c r="AL51" s="308"/>
    </row>
    <row r="52" spans="1:38" x14ac:dyDescent="0.25">
      <c r="A52" s="479" t="s">
        <v>332</v>
      </c>
      <c r="B52" s="308"/>
      <c r="C52" s="308"/>
      <c r="D52" s="308"/>
      <c r="E52" s="308"/>
      <c r="F52" s="301"/>
      <c r="G52" s="308"/>
      <c r="H52" s="308"/>
      <c r="I52" s="308"/>
      <c r="J52" s="308"/>
      <c r="K52" s="308"/>
      <c r="L52" s="308"/>
      <c r="M52" s="308"/>
      <c r="N52" s="308"/>
      <c r="O52" s="308"/>
      <c r="P52" s="308"/>
      <c r="Q52" s="308"/>
      <c r="R52" s="39"/>
      <c r="S52" s="39"/>
      <c r="T52" s="39"/>
      <c r="U52" s="39"/>
      <c r="V52" s="39"/>
      <c r="W52" s="39"/>
      <c r="X52" s="39"/>
      <c r="Y52" s="39"/>
      <c r="Z52" s="39"/>
      <c r="AA52" s="39"/>
      <c r="AB52" s="39"/>
      <c r="AC52" s="39"/>
      <c r="AD52" s="39"/>
      <c r="AE52" s="39"/>
      <c r="AF52" s="39"/>
      <c r="AG52" s="39"/>
      <c r="AH52" s="39"/>
      <c r="AI52" s="39"/>
      <c r="AJ52" s="39"/>
      <c r="AK52" s="39"/>
      <c r="AL52" s="308"/>
    </row>
    <row r="53" spans="1:38" x14ac:dyDescent="0.25">
      <c r="A53" s="479" t="s">
        <v>333</v>
      </c>
      <c r="B53" s="308"/>
      <c r="C53" s="308"/>
      <c r="D53" s="308"/>
      <c r="E53" s="308"/>
      <c r="F53" s="308"/>
      <c r="G53" s="308"/>
      <c r="H53" s="308"/>
      <c r="I53" s="308"/>
      <c r="J53" s="308"/>
      <c r="K53" s="308"/>
      <c r="L53" s="308"/>
      <c r="M53" s="308"/>
      <c r="N53" s="308"/>
      <c r="O53" s="308"/>
      <c r="P53" s="308"/>
      <c r="Q53" s="308"/>
      <c r="R53" s="39"/>
      <c r="S53" s="39"/>
      <c r="T53" s="39"/>
      <c r="U53" s="39"/>
      <c r="V53" s="39"/>
      <c r="W53" s="39"/>
      <c r="X53" s="39"/>
      <c r="Y53" s="39"/>
      <c r="Z53" s="39"/>
      <c r="AA53" s="39"/>
      <c r="AB53" s="39"/>
      <c r="AC53" s="39"/>
      <c r="AD53" s="39"/>
      <c r="AE53" s="39"/>
      <c r="AF53" s="39"/>
      <c r="AG53" s="39"/>
      <c r="AH53" s="39"/>
      <c r="AI53" s="39"/>
      <c r="AJ53" s="39"/>
      <c r="AK53" s="39"/>
      <c r="AL53" s="308"/>
    </row>
    <row r="54" spans="1:38" s="308" customFormat="1" x14ac:dyDescent="0.25">
      <c r="A54" s="479"/>
      <c r="R54" s="39"/>
      <c r="S54" s="39"/>
      <c r="T54" s="39"/>
      <c r="U54" s="39"/>
      <c r="V54" s="39"/>
      <c r="W54" s="39"/>
      <c r="X54" s="39"/>
      <c r="Y54" s="39"/>
      <c r="Z54" s="39"/>
      <c r="AA54" s="39"/>
      <c r="AB54" s="39"/>
      <c r="AC54" s="39"/>
      <c r="AD54" s="39"/>
      <c r="AE54" s="39"/>
      <c r="AF54" s="39"/>
      <c r="AG54" s="39"/>
      <c r="AH54" s="39"/>
      <c r="AI54" s="39"/>
      <c r="AJ54" s="39"/>
      <c r="AK54" s="39"/>
    </row>
    <row r="55" spans="1:38" ht="15.75" thickBot="1" x14ac:dyDescent="0.3">
      <c r="A55" s="540" t="s">
        <v>904</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row>
    <row r="56" spans="1:38" ht="60" x14ac:dyDescent="0.25">
      <c r="A56" s="551" t="s">
        <v>312</v>
      </c>
      <c r="B56" s="552" t="s">
        <v>904</v>
      </c>
      <c r="C56" s="552" t="s">
        <v>336</v>
      </c>
      <c r="D56" s="552" t="s">
        <v>337</v>
      </c>
      <c r="E56" s="552" t="s">
        <v>910</v>
      </c>
      <c r="F56" s="552" t="s">
        <v>906</v>
      </c>
      <c r="G56" s="553" t="s">
        <v>907</v>
      </c>
      <c r="H56" s="308"/>
      <c r="I56" s="308"/>
      <c r="J56" s="308"/>
      <c r="K56" s="308"/>
      <c r="L56" s="308"/>
      <c r="M56" s="308"/>
      <c r="N56" s="308"/>
      <c r="O56" s="308"/>
      <c r="P56" s="308"/>
      <c r="Q56" s="308"/>
      <c r="R56" s="308"/>
      <c r="S56" s="308"/>
      <c r="T56" s="308"/>
      <c r="U56" s="308"/>
      <c r="V56" s="308"/>
      <c r="W56" s="308"/>
      <c r="X56" s="308"/>
      <c r="Y56" s="308"/>
      <c r="Z56" s="308"/>
      <c r="AA56" s="308"/>
      <c r="AB56" s="308"/>
    </row>
    <row r="57" spans="1:38" x14ac:dyDescent="0.25">
      <c r="A57" s="541" t="s">
        <v>35</v>
      </c>
      <c r="B57" s="84">
        <f ca="1">INDEX('Unit costs'!$A$14:$I$32,MATCH('Leakage assessment'!$A57,'Unit costs'!$A$14:$A$32,0),MATCH('Leakage assessment'!B$56,'Unit costs'!$A$14:$I$14,0))</f>
        <v>1.6066666666666667</v>
      </c>
      <c r="C57" s="84">
        <f ca="1">'Unit costs'!$I$32</f>
        <v>2.0302304832713758</v>
      </c>
      <c r="D57" s="542" t="str">
        <f ca="1">IF(B57&gt;C57,"Yes","No")</f>
        <v>No</v>
      </c>
      <c r="E57" s="543">
        <f>INDEX(Analysis!$P$5:$P$21,MATCH('Leakage assessment'!A57,Analysis!$B$5:$B$21,0))</f>
        <v>0</v>
      </c>
      <c r="F57" s="544">
        <f ca="1">IF(B57=0,C57,IF(D57="Yes",B57*(1-E57),B57))</f>
        <v>1.6066666666666667</v>
      </c>
      <c r="G57" s="545">
        <f t="shared" ref="G57:G73" ca="1" si="16">B57*(1-E57)</f>
        <v>1.6066666666666667</v>
      </c>
      <c r="H57" s="308"/>
      <c r="I57" s="308"/>
      <c r="J57" s="308"/>
      <c r="K57" s="308"/>
      <c r="L57" s="308"/>
      <c r="M57" s="308"/>
      <c r="N57" s="308"/>
      <c r="O57" s="308"/>
      <c r="P57" s="308"/>
      <c r="Q57" s="308"/>
      <c r="R57" s="308"/>
      <c r="S57" s="308"/>
      <c r="T57" s="308"/>
      <c r="U57" s="308"/>
      <c r="V57" s="308"/>
      <c r="W57" s="308"/>
      <c r="X57" s="308"/>
      <c r="Y57" s="308"/>
      <c r="Z57" s="308"/>
      <c r="AA57" s="308"/>
      <c r="AB57" s="308"/>
    </row>
    <row r="58" spans="1:38" x14ac:dyDescent="0.25">
      <c r="A58" s="541" t="s">
        <v>26</v>
      </c>
      <c r="B58" s="84">
        <f ca="1">INDEX('Unit costs'!$A$14:$I$31,MATCH('Leakage assessment'!$A58,'Unit costs'!$A$14:$A$31,0),MATCH('Leakage assessment'!B$56,'Unit costs'!$A$14:$I$14,0))</f>
        <v>3.2950321199143464</v>
      </c>
      <c r="C58" s="84">
        <f ca="1">'Unit costs'!$I$32</f>
        <v>2.0302304832713758</v>
      </c>
      <c r="D58" s="542" t="str">
        <f ca="1">IF(B58&gt;C58,"Yes","No")</f>
        <v>Yes</v>
      </c>
      <c r="E58" s="543">
        <f>INDEX(Analysis!$P$5:$P$21,MATCH('Leakage assessment'!A58,Analysis!$B$5:$B$21,0))</f>
        <v>0.1</v>
      </c>
      <c r="F58" s="544">
        <f t="shared" ref="F58:F73" ca="1" si="17">IF(B58=0,C58,IF(D58="Yes",B58*(1-E58),B58))</f>
        <v>2.9655289079229119</v>
      </c>
      <c r="G58" s="545">
        <f t="shared" ca="1" si="16"/>
        <v>2.9655289079229119</v>
      </c>
      <c r="H58" s="308"/>
      <c r="I58" s="308"/>
      <c r="J58" s="308"/>
      <c r="K58" s="308"/>
      <c r="L58" s="308"/>
      <c r="M58" s="308"/>
      <c r="N58" s="308"/>
      <c r="O58" s="308"/>
      <c r="P58" s="308"/>
      <c r="Q58" s="308"/>
      <c r="R58" s="308"/>
      <c r="S58" s="308"/>
      <c r="T58" s="308"/>
      <c r="U58" s="308"/>
      <c r="V58" s="308"/>
      <c r="W58" s="308"/>
      <c r="X58" s="308"/>
      <c r="Y58" s="308"/>
      <c r="Z58" s="308"/>
      <c r="AA58" s="308"/>
      <c r="AB58" s="308"/>
    </row>
    <row r="59" spans="1:38" x14ac:dyDescent="0.25">
      <c r="A59" s="541" t="s">
        <v>36</v>
      </c>
      <c r="B59" s="84">
        <f ca="1">INDEX('Unit costs'!$A$14:$I$31,MATCH('Leakage assessment'!$A59,'Unit costs'!$A$14:$A$31,0),MATCH('Leakage assessment'!B$56,'Unit costs'!$A$14:$I$14,0))</f>
        <v>0.65061538461538448</v>
      </c>
      <c r="C59" s="84">
        <f ca="1">'Unit costs'!$I$32</f>
        <v>2.0302304832713758</v>
      </c>
      <c r="D59" s="542" t="str">
        <f t="shared" ref="D59:D73" ca="1" si="18">IF(B59&gt;C59,"Yes","No")</f>
        <v>No</v>
      </c>
      <c r="E59" s="543">
        <f>INDEX(Analysis!$P$5:$P$21,MATCH('Leakage assessment'!A59,Analysis!$B$5:$B$21,0))</f>
        <v>0.1</v>
      </c>
      <c r="F59" s="544">
        <f t="shared" ca="1" si="17"/>
        <v>0.65061538461538448</v>
      </c>
      <c r="G59" s="545">
        <f t="shared" ca="1" si="16"/>
        <v>0.58555384615384609</v>
      </c>
      <c r="H59" s="308"/>
      <c r="I59" s="308"/>
      <c r="J59" s="308"/>
      <c r="K59" s="308"/>
      <c r="L59" s="308"/>
      <c r="M59" s="308"/>
      <c r="N59" s="308"/>
      <c r="O59" s="308"/>
      <c r="P59" s="308"/>
      <c r="Q59" s="308"/>
      <c r="R59" s="308"/>
      <c r="S59" s="308"/>
      <c r="T59" s="308"/>
      <c r="U59" s="308"/>
      <c r="V59" s="308"/>
      <c r="W59" s="308"/>
      <c r="X59" s="308"/>
      <c r="Y59" s="308"/>
      <c r="Z59" s="308"/>
      <c r="AA59" s="308"/>
      <c r="AB59" s="308"/>
    </row>
    <row r="60" spans="1:38" s="308" customFormat="1" x14ac:dyDescent="0.25">
      <c r="A60" s="541" t="s">
        <v>106</v>
      </c>
      <c r="B60" s="84">
        <f>INDEX('Unit costs'!$A$14:$I$31,MATCH('Leakage assessment'!$A60,'Unit costs'!$A$14:$A$31,0),MATCH('Leakage assessment'!B$56,'Unit costs'!$A$14:$I$14,0))</f>
        <v>0</v>
      </c>
      <c r="C60" s="84">
        <f ca="1">'Unit costs'!$I$32</f>
        <v>2.0302304832713758</v>
      </c>
      <c r="D60" s="542" t="str">
        <f t="shared" ca="1" si="18"/>
        <v>No</v>
      </c>
      <c r="E60" s="543">
        <f>INDEX(Analysis!$P$5:$P$21,MATCH('Leakage assessment'!A60,Analysis!$B$5:$B$21,0))</f>
        <v>0</v>
      </c>
      <c r="F60" s="544">
        <f t="shared" ca="1" si="17"/>
        <v>2.0302304832713758</v>
      </c>
      <c r="G60" s="545">
        <f t="shared" si="16"/>
        <v>0</v>
      </c>
    </row>
    <row r="61" spans="1:38" s="308" customFormat="1" x14ac:dyDescent="0.25">
      <c r="A61" s="541" t="s">
        <v>28</v>
      </c>
      <c r="B61" s="84">
        <f>INDEX('Unit costs'!$A$14:$I$31,MATCH('Leakage assessment'!$A61,'Unit costs'!$A$14:$A$31,0),MATCH('Leakage assessment'!B$56,'Unit costs'!$A$14:$I$14,0))</f>
        <v>0</v>
      </c>
      <c r="C61" s="84">
        <f ca="1">'Unit costs'!$I$32</f>
        <v>2.0302304832713758</v>
      </c>
      <c r="D61" s="542" t="str">
        <f t="shared" ca="1" si="18"/>
        <v>No</v>
      </c>
      <c r="E61" s="543">
        <f>INDEX(Analysis!$P$5:$P$21,MATCH('Leakage assessment'!A61,Analysis!$B$5:$B$21,0))</f>
        <v>0</v>
      </c>
      <c r="F61" s="544">
        <f t="shared" ca="1" si="17"/>
        <v>2.0302304832713758</v>
      </c>
      <c r="G61" s="545">
        <f t="shared" si="16"/>
        <v>0</v>
      </c>
    </row>
    <row r="62" spans="1:38" x14ac:dyDescent="0.25">
      <c r="A62" s="541" t="s">
        <v>37</v>
      </c>
      <c r="B62" s="84">
        <f ca="1">INDEX('Unit costs'!$A$14:$I$31,MATCH('Leakage assessment'!$A62,'Unit costs'!$A$14:$A$31,0),MATCH('Leakage assessment'!B$56,'Unit costs'!$A$14:$I$14,0))</f>
        <v>0.32914893617021274</v>
      </c>
      <c r="C62" s="84">
        <f ca="1">'Unit costs'!$I$32</f>
        <v>2.0302304832713758</v>
      </c>
      <c r="D62" s="542" t="str">
        <f t="shared" ca="1" si="18"/>
        <v>No</v>
      </c>
      <c r="E62" s="543">
        <f>INDEX(Analysis!$P$5:$P$21,MATCH('Leakage assessment'!A62,Analysis!$B$5:$B$21,0))</f>
        <v>0</v>
      </c>
      <c r="F62" s="544">
        <f t="shared" ca="1" si="17"/>
        <v>0.32914893617021274</v>
      </c>
      <c r="G62" s="545">
        <f t="shared" ca="1" si="16"/>
        <v>0.32914893617021274</v>
      </c>
      <c r="H62" s="308"/>
      <c r="I62" s="308"/>
      <c r="J62" s="308"/>
      <c r="K62" s="308"/>
      <c r="L62" s="308"/>
      <c r="M62" s="308"/>
      <c r="N62" s="308"/>
      <c r="O62" s="308"/>
      <c r="P62" s="308"/>
      <c r="Q62" s="308"/>
      <c r="R62" s="308"/>
      <c r="S62" s="308"/>
      <c r="T62" s="308"/>
      <c r="U62" s="308"/>
      <c r="V62" s="308"/>
      <c r="W62" s="308"/>
      <c r="X62" s="308"/>
      <c r="Y62" s="308"/>
      <c r="Z62" s="308"/>
      <c r="AA62" s="308"/>
      <c r="AB62" s="308"/>
    </row>
    <row r="63" spans="1:38" x14ac:dyDescent="0.25">
      <c r="A63" s="541" t="s">
        <v>40</v>
      </c>
      <c r="B63" s="84">
        <f ca="1">INDEX('Unit costs'!$A$14:$I$31,MATCH('Leakage assessment'!$A63,'Unit costs'!$A$14:$A$31,0),MATCH('Leakage assessment'!B$56,'Unit costs'!$A$14:$I$14,0))</f>
        <v>4.8452777777777767</v>
      </c>
      <c r="C63" s="84">
        <f ca="1">'Unit costs'!$I$32</f>
        <v>2.0302304832713758</v>
      </c>
      <c r="D63" s="542" t="str">
        <f t="shared" ca="1" si="18"/>
        <v>Yes</v>
      </c>
      <c r="E63" s="543">
        <f>INDEX(Analysis!$P$5:$P$21,MATCH('Leakage assessment'!A63,Analysis!$B$5:$B$21,0))</f>
        <v>1.5389794162537131E-2</v>
      </c>
      <c r="F63" s="544">
        <f t="shared" ca="1" si="17"/>
        <v>4.7707099501174612</v>
      </c>
      <c r="G63" s="545">
        <f t="shared" ca="1" si="16"/>
        <v>4.7707099501174612</v>
      </c>
      <c r="H63" s="308"/>
      <c r="I63" s="308"/>
      <c r="J63" s="308"/>
      <c r="K63" s="308"/>
      <c r="L63" s="308"/>
      <c r="M63" s="308"/>
      <c r="N63" s="308"/>
      <c r="O63" s="308"/>
      <c r="P63" s="308"/>
      <c r="Q63" s="308"/>
      <c r="R63" s="308"/>
      <c r="S63" s="308"/>
      <c r="T63" s="308"/>
      <c r="U63" s="308"/>
      <c r="V63" s="308"/>
      <c r="W63" s="308"/>
      <c r="X63" s="308"/>
      <c r="Y63" s="308"/>
      <c r="Z63" s="308"/>
      <c r="AA63" s="308"/>
      <c r="AB63" s="308"/>
    </row>
    <row r="64" spans="1:38" x14ac:dyDescent="0.25">
      <c r="A64" s="541" t="s">
        <v>38</v>
      </c>
      <c r="B64" s="84">
        <f ca="1">INDEX('Unit costs'!$A$14:$I$31,MATCH('Leakage assessment'!$A64,'Unit costs'!$A$14:$A$31,0),MATCH('Leakage assessment'!B$56,'Unit costs'!$A$14:$I$14,0))</f>
        <v>2.3481363996827915</v>
      </c>
      <c r="C64" s="84">
        <f ca="1">'Unit costs'!$I$32</f>
        <v>2.0302304832713758</v>
      </c>
      <c r="D64" s="542" t="str">
        <f t="shared" ca="1" si="18"/>
        <v>Yes</v>
      </c>
      <c r="E64" s="543">
        <f>INDEX(Analysis!$P$5:$P$21,MATCH('Leakage assessment'!A64,Analysis!$B$5:$B$21,0))</f>
        <v>2.7460584206497517E-2</v>
      </c>
      <c r="F64" s="544">
        <f t="shared" ca="1" si="17"/>
        <v>2.2836552023509604</v>
      </c>
      <c r="G64" s="545">
        <f t="shared" ca="1" si="16"/>
        <v>2.2836552023509604</v>
      </c>
      <c r="H64" s="308"/>
      <c r="I64" s="308"/>
      <c r="J64" s="308"/>
      <c r="K64" s="308"/>
      <c r="L64" s="308"/>
      <c r="M64" s="308"/>
      <c r="N64" s="308"/>
      <c r="O64" s="308"/>
      <c r="P64" s="308"/>
      <c r="Q64" s="308"/>
      <c r="R64" s="308"/>
      <c r="S64" s="308"/>
      <c r="T64" s="308"/>
      <c r="U64" s="308"/>
      <c r="V64" s="308"/>
      <c r="W64" s="308"/>
      <c r="X64" s="308"/>
      <c r="Y64" s="308"/>
      <c r="Z64" s="308"/>
      <c r="AA64" s="308"/>
      <c r="AB64" s="308"/>
    </row>
    <row r="65" spans="1:28" x14ac:dyDescent="0.25">
      <c r="A65" s="541" t="s">
        <v>30</v>
      </c>
      <c r="B65" s="84">
        <f ca="1">INDEX('Unit costs'!$A$14:$I$31,MATCH('Leakage assessment'!$A65,'Unit costs'!$A$14:$A$31,0),MATCH('Leakage assessment'!B$56,'Unit costs'!$A$14:$I$14,0))</f>
        <v>2.0974034198860041</v>
      </c>
      <c r="C65" s="84">
        <f ca="1">'Unit costs'!$I$32</f>
        <v>2.0302304832713758</v>
      </c>
      <c r="D65" s="542" t="str">
        <f t="shared" ca="1" si="18"/>
        <v>Yes</v>
      </c>
      <c r="E65" s="543">
        <f>INDEX(Analysis!$P$5:$P$21,MATCH('Leakage assessment'!A65,Analysis!$B$5:$B$21,0))</f>
        <v>7.1151806567031253E-2</v>
      </c>
      <c r="F65" s="544">
        <f t="shared" ca="1" si="17"/>
        <v>1.9481693774612454</v>
      </c>
      <c r="G65" s="545">
        <f t="shared" ca="1" si="16"/>
        <v>1.9481693774612454</v>
      </c>
      <c r="H65" s="308"/>
      <c r="I65" s="308"/>
      <c r="J65" s="308"/>
      <c r="K65" s="308"/>
      <c r="L65" s="308"/>
      <c r="M65" s="308"/>
      <c r="N65" s="308"/>
      <c r="O65" s="308"/>
      <c r="P65" s="308"/>
      <c r="Q65" s="308"/>
      <c r="R65" s="308"/>
      <c r="S65" s="308"/>
      <c r="T65" s="308"/>
      <c r="U65" s="308"/>
      <c r="V65" s="308"/>
      <c r="W65" s="308"/>
      <c r="X65" s="308"/>
      <c r="Y65" s="308"/>
      <c r="Z65" s="308"/>
      <c r="AA65" s="308"/>
      <c r="AB65" s="308"/>
    </row>
    <row r="66" spans="1:28" x14ac:dyDescent="0.25">
      <c r="A66" s="541" t="s">
        <v>39</v>
      </c>
      <c r="B66" s="84">
        <f ca="1">INDEX('Unit costs'!$A$14:$I$31,MATCH('Leakage assessment'!$A66,'Unit costs'!$A$14:$A$31,0),MATCH('Leakage assessment'!B$56,'Unit costs'!$A$14:$I$14,0))</f>
        <v>0.52524222335543091</v>
      </c>
      <c r="C66" s="84">
        <f ca="1">'Unit costs'!$I$32</f>
        <v>2.0302304832713758</v>
      </c>
      <c r="D66" s="542" t="str">
        <f t="shared" ca="1" si="18"/>
        <v>No</v>
      </c>
      <c r="E66" s="543">
        <f>INDEX(Analysis!$P$5:$P$21,MATCH('Leakage assessment'!A66,Analysis!$B$5:$B$21,0))</f>
        <v>5.0631445131408964E-2</v>
      </c>
      <c r="F66" s="544">
        <f t="shared" ca="1" si="17"/>
        <v>0.52524222335543091</v>
      </c>
      <c r="G66" s="545">
        <f t="shared" ca="1" si="16"/>
        <v>0.49864845054291118</v>
      </c>
    </row>
    <row r="67" spans="1:28" x14ac:dyDescent="0.25">
      <c r="A67" s="541" t="s">
        <v>29</v>
      </c>
      <c r="B67" s="84">
        <f ca="1">INDEX('Unit costs'!$A$14:$I$31,MATCH('Leakage assessment'!$A67,'Unit costs'!$A$14:$A$31,0),MATCH('Leakage assessment'!B$56,'Unit costs'!$A$14:$I$14,0))</f>
        <v>0.47499999999999998</v>
      </c>
      <c r="C67" s="84">
        <f ca="1">'Unit costs'!$I$32</f>
        <v>2.0302304832713758</v>
      </c>
      <c r="D67" s="542" t="str">
        <f t="shared" ca="1" si="18"/>
        <v>No</v>
      </c>
      <c r="E67" s="543">
        <f>INDEX(Analysis!$P$5:$P$21,MATCH('Leakage assessment'!A67,Analysis!$B$5:$B$21,0))</f>
        <v>0</v>
      </c>
      <c r="F67" s="544">
        <f t="shared" ca="1" si="17"/>
        <v>0.47499999999999998</v>
      </c>
      <c r="G67" s="545">
        <f t="shared" ca="1" si="16"/>
        <v>0.47499999999999998</v>
      </c>
    </row>
    <row r="68" spans="1:28" x14ac:dyDescent="0.25">
      <c r="A68" s="541" t="s">
        <v>108</v>
      </c>
      <c r="B68" s="84">
        <f>INDEX('Unit costs'!$A$14:$I$31,MATCH('Leakage assessment'!$A68,'Unit costs'!$A$14:$A$31,0),MATCH('Leakage assessment'!B$56,'Unit costs'!$A$14:$I$14,0))</f>
        <v>0.63300000000000001</v>
      </c>
      <c r="C68" s="84">
        <f ca="1">'Unit costs'!$I$32</f>
        <v>2.0302304832713758</v>
      </c>
      <c r="D68" s="542" t="str">
        <f t="shared" ca="1" si="18"/>
        <v>No</v>
      </c>
      <c r="E68" s="543">
        <f>INDEX(Analysis!$P$5:$P$21,MATCH('Leakage assessment'!A68,Analysis!$B$5:$B$21,0))</f>
        <v>0</v>
      </c>
      <c r="F68" s="544">
        <f t="shared" ca="1" si="17"/>
        <v>0.63300000000000001</v>
      </c>
      <c r="G68" s="545">
        <f t="shared" si="16"/>
        <v>0.63300000000000001</v>
      </c>
    </row>
    <row r="69" spans="1:28" x14ac:dyDescent="0.25">
      <c r="A69" s="541" t="s">
        <v>32</v>
      </c>
      <c r="B69" s="84">
        <f ca="1">INDEX('Unit costs'!$A$14:$I$31,MATCH('Leakage assessment'!$A69,'Unit costs'!$A$14:$A$31,0),MATCH('Leakage assessment'!B$56,'Unit costs'!$A$14:$I$14,0))</f>
        <v>0.59519783655254732</v>
      </c>
      <c r="C69" s="84">
        <f ca="1">'Unit costs'!$I$32</f>
        <v>2.0302304832713758</v>
      </c>
      <c r="D69" s="542" t="str">
        <f t="shared" ca="1" si="18"/>
        <v>No</v>
      </c>
      <c r="E69" s="543">
        <f>INDEX(Analysis!$P$5:$P$21,MATCH('Leakage assessment'!A69,Analysis!$B$5:$B$21,0))</f>
        <v>0</v>
      </c>
      <c r="F69" s="544">
        <f t="shared" ca="1" si="17"/>
        <v>0.59519783655254732</v>
      </c>
      <c r="G69" s="545">
        <f t="shared" ca="1" si="16"/>
        <v>0.59519783655254732</v>
      </c>
    </row>
    <row r="70" spans="1:28" x14ac:dyDescent="0.25">
      <c r="A70" s="541" t="s">
        <v>27</v>
      </c>
      <c r="B70" s="84">
        <f ca="1">INDEX('Unit costs'!$A$14:$I$31,MATCH('Leakage assessment'!$A70,'Unit costs'!$A$14:$A$31,0),MATCH('Leakage assessment'!B$56,'Unit costs'!$A$14:$I$14,0))</f>
        <v>2.0347351233671986</v>
      </c>
      <c r="C70" s="84">
        <f ca="1">'Unit costs'!$I$32</f>
        <v>2.0302304832713758</v>
      </c>
      <c r="D70" s="542" t="str">
        <f t="shared" ca="1" si="18"/>
        <v>Yes</v>
      </c>
      <c r="E70" s="543">
        <f>INDEX(Analysis!$P$5:$P$21,MATCH('Leakage assessment'!A70,Analysis!$B$5:$B$21,0))</f>
        <v>0</v>
      </c>
      <c r="F70" s="544">
        <f t="shared" ca="1" si="17"/>
        <v>2.0347351233671986</v>
      </c>
      <c r="G70" s="545">
        <f t="shared" ca="1" si="16"/>
        <v>2.0347351233671986</v>
      </c>
    </row>
    <row r="71" spans="1:28" x14ac:dyDescent="0.25">
      <c r="A71" s="541" t="s">
        <v>33</v>
      </c>
      <c r="B71" s="84">
        <f ca="1">INDEX('Unit costs'!$A$14:$I$31,MATCH('Leakage assessment'!$A71,'Unit costs'!$A$14:$A$31,0),MATCH('Leakage assessment'!B$56,'Unit costs'!$A$14:$I$14,0))</f>
        <v>2.415443279313632</v>
      </c>
      <c r="C71" s="84">
        <f ca="1">'Unit costs'!$I$32</f>
        <v>2.0302304832713758</v>
      </c>
      <c r="D71" s="542" t="str">
        <f t="shared" ca="1" si="18"/>
        <v>Yes</v>
      </c>
      <c r="E71" s="543">
        <f>INDEX(Analysis!$P$5:$P$21,MATCH('Leakage assessment'!A71,Analysis!$B$5:$B$21,0))</f>
        <v>0</v>
      </c>
      <c r="F71" s="544">
        <f t="shared" ca="1" si="17"/>
        <v>2.415443279313632</v>
      </c>
      <c r="G71" s="545">
        <f t="shared" ca="1" si="16"/>
        <v>2.415443279313632</v>
      </c>
    </row>
    <row r="72" spans="1:28" x14ac:dyDescent="0.25">
      <c r="A72" s="541" t="s">
        <v>34</v>
      </c>
      <c r="B72" s="84">
        <f ca="1">INDEX('Unit costs'!$A$14:$I$31,MATCH('Leakage assessment'!$A72,'Unit costs'!$A$14:$A$31,0),MATCH('Leakage assessment'!B$56,'Unit costs'!$A$14:$I$14,0))</f>
        <v>2.0302304832713758</v>
      </c>
      <c r="C72" s="84">
        <f ca="1">'Unit costs'!$I$32</f>
        <v>2.0302304832713758</v>
      </c>
      <c r="D72" s="542" t="str">
        <f t="shared" ca="1" si="18"/>
        <v>No</v>
      </c>
      <c r="E72" s="543">
        <f>INDEX(Analysis!$P$5:$P$21,MATCH('Leakage assessment'!A72,Analysis!$B$5:$B$21,0))</f>
        <v>0</v>
      </c>
      <c r="F72" s="544">
        <f t="shared" ca="1" si="17"/>
        <v>2.0302304832713758</v>
      </c>
      <c r="G72" s="545">
        <f t="shared" ca="1" si="16"/>
        <v>2.0302304832713758</v>
      </c>
    </row>
    <row r="73" spans="1:28" ht="15.75" thickBot="1" x14ac:dyDescent="0.3">
      <c r="A73" s="546" t="s">
        <v>31</v>
      </c>
      <c r="B73" s="527">
        <f>INDEX('Unit costs'!$A$14:$I$31,MATCH('Leakage assessment'!$A73,'Unit costs'!$A$14:$A$31,0),MATCH('Leakage assessment'!B$56,'Unit costs'!$A$14:$I$14,0))</f>
        <v>3.7</v>
      </c>
      <c r="C73" s="527">
        <f ca="1">'Unit costs'!$I$32</f>
        <v>2.0302304832713758</v>
      </c>
      <c r="D73" s="547" t="str">
        <f t="shared" ca="1" si="18"/>
        <v>Yes</v>
      </c>
      <c r="E73" s="548">
        <f>INDEX(Analysis!$P$5:$P$21,MATCH('Leakage assessment'!A73,Analysis!$B$5:$B$21,0))</f>
        <v>0.1</v>
      </c>
      <c r="F73" s="549">
        <f t="shared" ca="1" si="17"/>
        <v>3.33</v>
      </c>
      <c r="G73" s="550">
        <f t="shared" si="16"/>
        <v>3.33</v>
      </c>
    </row>
    <row r="74" spans="1:28" x14ac:dyDescent="0.25">
      <c r="A74" s="308"/>
      <c r="B74" s="308"/>
      <c r="C74" s="308"/>
      <c r="D74" s="308"/>
      <c r="E74" s="308"/>
      <c r="F74" s="308"/>
      <c r="G74" s="308"/>
      <c r="H74" s="308"/>
      <c r="I74" s="308"/>
      <c r="J74" s="308"/>
      <c r="K74" s="308"/>
      <c r="L74" s="308"/>
      <c r="M74" s="28"/>
      <c r="N74" s="28"/>
    </row>
  </sheetData>
  <conditionalFormatting sqref="M34:M50">
    <cfRule type="cellIs" dxfId="123" priority="21" operator="equal">
      <formula>"Y"</formula>
    </cfRule>
    <cfRule type="cellIs" dxfId="122" priority="22" operator="equal">
      <formula>"N"</formula>
    </cfRule>
  </conditionalFormatting>
  <conditionalFormatting sqref="Z34:AA50">
    <cfRule type="colorScale" priority="269">
      <colorScale>
        <cfvo type="min"/>
        <cfvo type="percentile" val="50"/>
        <cfvo type="max"/>
        <color rgb="FFF8696B"/>
        <color rgb="FFFFEB84"/>
        <color rgb="FF63BE7B"/>
      </colorScale>
    </cfRule>
  </conditionalFormatting>
  <conditionalFormatting sqref="Z34:Z50">
    <cfRule type="colorScale" priority="270">
      <colorScale>
        <cfvo type="min"/>
        <cfvo type="percentile" val="50"/>
        <cfvo type="max"/>
        <color rgb="FF63BE7B"/>
        <color rgb="FFFFEB84"/>
        <color rgb="FFF8696B"/>
      </colorScale>
    </cfRule>
  </conditionalFormatting>
  <conditionalFormatting sqref="AA34:AA50">
    <cfRule type="colorScale" priority="271">
      <colorScale>
        <cfvo type="min"/>
        <cfvo type="percentile" val="50"/>
        <cfvo type="max"/>
        <color rgb="FF63BE7B"/>
        <color rgb="FFFFEB84"/>
        <color rgb="FFF8696B"/>
      </colorScale>
    </cfRule>
  </conditionalFormatting>
  <conditionalFormatting sqref="AC34:AC50">
    <cfRule type="colorScale" priority="272">
      <colorScale>
        <cfvo type="min"/>
        <cfvo type="percentile" val="50"/>
        <cfvo type="max"/>
        <color rgb="FF63BE7B"/>
        <color rgb="FFFFEB84"/>
        <color rgb="FFF8696B"/>
      </colorScale>
    </cfRule>
  </conditionalFormatting>
  <pageMargins left="0.25" right="0.25" top="0.75" bottom="0.75" header="0.3" footer="0.3"/>
  <pageSetup paperSize="8"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A196"/>
  <sheetViews>
    <sheetView tabSelected="1" topLeftCell="S3" zoomScaleNormal="100" workbookViewId="0">
      <selection activeCell="T4" sqref="T4:T21"/>
    </sheetView>
  </sheetViews>
  <sheetFormatPr defaultColWidth="9.28515625" defaultRowHeight="12.75" x14ac:dyDescent="0.2"/>
  <cols>
    <col min="1" max="1" width="2.7109375" style="7" customWidth="1"/>
    <col min="2" max="2" width="9.28515625" style="7"/>
    <col min="3" max="6" width="9" style="7" customWidth="1"/>
    <col min="7" max="8" width="12.28515625" style="7" customWidth="1"/>
    <col min="9" max="9" width="12" style="7" customWidth="1"/>
    <col min="10" max="10" width="11.28515625" style="7" customWidth="1"/>
    <col min="11" max="11" width="14.28515625" style="7" customWidth="1"/>
    <col min="12" max="12" width="14" style="7" customWidth="1"/>
    <col min="13" max="13" width="12.28515625" style="7" customWidth="1"/>
    <col min="14" max="14" width="12" style="7" customWidth="1"/>
    <col min="15" max="15" width="29.85546875" style="7" bestFit="1" customWidth="1"/>
    <col min="16" max="18" width="12" style="7" customWidth="1"/>
    <col min="19" max="19" width="14.28515625" style="7" customWidth="1"/>
    <col min="20" max="20" width="158.7109375" style="7" customWidth="1"/>
    <col min="21" max="21" width="116.7109375" style="7" customWidth="1"/>
    <col min="22" max="22" width="30.28515625" style="7" customWidth="1"/>
    <col min="23" max="23" width="9.28515625" style="7" customWidth="1"/>
    <col min="24" max="24" width="11" style="7" customWidth="1"/>
    <col min="25" max="25" width="11" style="260" customWidth="1"/>
    <col min="26" max="26" width="11.28515625" style="101" customWidth="1"/>
    <col min="27" max="27" width="11" style="7" customWidth="1"/>
    <col min="28" max="28" width="12.28515625" style="7" customWidth="1"/>
    <col min="29" max="29" width="35.28515625" style="7" bestFit="1" customWidth="1"/>
    <col min="30" max="30" width="87.85546875" style="7" customWidth="1"/>
    <col min="31" max="16384" width="9.28515625" style="7"/>
  </cols>
  <sheetData>
    <row r="1" spans="1:26" s="193" customFormat="1" ht="18.75" x14ac:dyDescent="0.3">
      <c r="A1" s="197" t="s">
        <v>351</v>
      </c>
      <c r="V1" s="495"/>
      <c r="W1" s="259"/>
      <c r="X1" s="263"/>
    </row>
    <row r="2" spans="1:26" ht="36.75" customHeight="1" thickBot="1" x14ac:dyDescent="0.25">
      <c r="B2" s="198" t="s">
        <v>352</v>
      </c>
      <c r="C2" s="198"/>
      <c r="D2" s="198"/>
      <c r="E2" s="198"/>
      <c r="F2" s="198"/>
      <c r="G2" s="198"/>
      <c r="H2" s="198"/>
      <c r="I2" s="198"/>
      <c r="J2" s="198"/>
      <c r="K2" s="198"/>
      <c r="L2" s="198"/>
      <c r="V2" s="97"/>
      <c r="W2" s="260"/>
      <c r="X2" s="101"/>
      <c r="Y2" s="185"/>
      <c r="Z2" s="7"/>
    </row>
    <row r="3" spans="1:26" x14ac:dyDescent="0.2">
      <c r="B3" s="283" t="s">
        <v>353</v>
      </c>
      <c r="C3" s="284"/>
      <c r="D3" s="284"/>
      <c r="E3" s="284"/>
      <c r="F3" s="284"/>
      <c r="G3" s="284"/>
      <c r="H3" s="284"/>
      <c r="I3" s="284"/>
      <c r="J3" s="285"/>
      <c r="K3" s="284"/>
      <c r="L3" s="284"/>
      <c r="M3" s="286" t="s">
        <v>354</v>
      </c>
      <c r="N3" s="287">
        <v>5.0000000000000001E-3</v>
      </c>
      <c r="O3" s="285"/>
      <c r="P3" s="287"/>
      <c r="Q3" s="287"/>
      <c r="R3" s="287"/>
      <c r="S3" s="287"/>
      <c r="T3" s="287"/>
      <c r="U3" s="496"/>
      <c r="V3" s="97"/>
    </row>
    <row r="4" spans="1:26" ht="89.25" x14ac:dyDescent="0.2">
      <c r="B4" s="288" t="s">
        <v>312</v>
      </c>
      <c r="C4" s="494" t="s">
        <v>73</v>
      </c>
      <c r="D4" s="494" t="s">
        <v>74</v>
      </c>
      <c r="E4" s="494" t="s">
        <v>75</v>
      </c>
      <c r="F4" s="494" t="s">
        <v>76</v>
      </c>
      <c r="G4" s="494" t="s">
        <v>24</v>
      </c>
      <c r="H4" s="279" t="s">
        <v>348</v>
      </c>
      <c r="I4" s="279" t="s">
        <v>355</v>
      </c>
      <c r="J4" s="278" t="s">
        <v>356</v>
      </c>
      <c r="K4" s="278" t="s">
        <v>739</v>
      </c>
      <c r="L4" s="278" t="s">
        <v>740</v>
      </c>
      <c r="M4" s="278" t="s">
        <v>357</v>
      </c>
      <c r="N4" s="278" t="s">
        <v>358</v>
      </c>
      <c r="O4" s="200" t="s">
        <v>359</v>
      </c>
      <c r="P4" s="278" t="s">
        <v>360</v>
      </c>
      <c r="Q4" s="278" t="s">
        <v>361</v>
      </c>
      <c r="R4" s="278" t="s">
        <v>362</v>
      </c>
      <c r="S4" s="278" t="s">
        <v>363</v>
      </c>
      <c r="T4" s="278" t="s">
        <v>364</v>
      </c>
      <c r="U4" s="289"/>
      <c r="V4" s="97"/>
      <c r="Y4" s="7"/>
      <c r="Z4" s="7"/>
    </row>
    <row r="5" spans="1:26" ht="86.65" customHeight="1" x14ac:dyDescent="0.2">
      <c r="B5" s="290" t="s">
        <v>26</v>
      </c>
      <c r="C5" s="264">
        <f t="shared" ref="C5:G14" si="0">C101+C125+C150+C175</f>
        <v>68.271709374141054</v>
      </c>
      <c r="D5" s="264">
        <f t="shared" si="0"/>
        <v>58.99024011606032</v>
      </c>
      <c r="E5" s="264">
        <f t="shared" si="0"/>
        <v>59.510292906425832</v>
      </c>
      <c r="F5" s="264">
        <f t="shared" si="0"/>
        <v>60.266693020237902</v>
      </c>
      <c r="G5" s="264">
        <f t="shared" si="0"/>
        <v>57.513085503443484</v>
      </c>
      <c r="H5" s="267">
        <f t="shared" ref="H5:H21" si="1">SUM(C5:G5)</f>
        <v>304.55202092030862</v>
      </c>
      <c r="I5" s="443">
        <v>352.92299999999994</v>
      </c>
      <c r="J5" s="268">
        <f>SUM(C5:G5)+I5</f>
        <v>657.47502092030857</v>
      </c>
      <c r="K5" s="442">
        <f ca="1">-55.901-1.093-'Deep dive_ANH'!C62</f>
        <v>-178.78306523999998</v>
      </c>
      <c r="L5" s="280">
        <f ca="1">J5+K5</f>
        <v>478.69195568030858</v>
      </c>
      <c r="M5" s="264">
        <f>SUMIFS(Data_Final!$S:$S,Data_Final!$B:$B,$B5,Data_Final!$C:$C,"&gt;2019-20")</f>
        <v>2746.2455923882922</v>
      </c>
      <c r="N5" s="282">
        <f t="shared" ref="N5:N21" si="2">J5/M5</f>
        <v>0.23940867588194495</v>
      </c>
      <c r="O5" s="109" t="s">
        <v>365</v>
      </c>
      <c r="P5" s="282">
        <v>0.1</v>
      </c>
      <c r="Q5" s="264">
        <f>IF(O5="Shallow dive",J5*(1-P5),0)</f>
        <v>0</v>
      </c>
      <c r="R5" s="264">
        <f ca="1">INDIRECT("'Deep dive_"&amp;B5&amp;"'!C17")</f>
        <v>354.54837465668732</v>
      </c>
      <c r="S5" s="264">
        <f ca="1">IF(Q5=0,R5,Q5)</f>
        <v>354.54837465668732</v>
      </c>
      <c r="T5" s="615" t="s">
        <v>892</v>
      </c>
      <c r="U5" s="289"/>
      <c r="V5" s="97"/>
      <c r="Y5" s="7"/>
      <c r="Z5" s="7"/>
    </row>
    <row r="6" spans="1:26" x14ac:dyDescent="0.2">
      <c r="B6" s="290" t="s">
        <v>106</v>
      </c>
      <c r="C6" s="264">
        <f t="shared" si="0"/>
        <v>0</v>
      </c>
      <c r="D6" s="264">
        <f t="shared" si="0"/>
        <v>0</v>
      </c>
      <c r="E6" s="264">
        <f t="shared" si="0"/>
        <v>0</v>
      </c>
      <c r="F6" s="264">
        <f t="shared" si="0"/>
        <v>0</v>
      </c>
      <c r="G6" s="264">
        <f t="shared" si="0"/>
        <v>0</v>
      </c>
      <c r="H6" s="267">
        <f t="shared" si="1"/>
        <v>0</v>
      </c>
      <c r="I6" s="443">
        <v>0</v>
      </c>
      <c r="J6" s="268">
        <f t="shared" ref="J6:J21" si="3">SUM(C6:G6)+I6</f>
        <v>0</v>
      </c>
      <c r="K6" s="280"/>
      <c r="L6" s="280">
        <f t="shared" ref="L6:L21" si="4">J6+K6</f>
        <v>0</v>
      </c>
      <c r="M6" s="264">
        <f>SUMIFS(Data_Final!$S:$S,Data_Final!$B:$B,$B6,Data_Final!$C:$C,"&gt;2019-20")</f>
        <v>132.69400000000002</v>
      </c>
      <c r="N6" s="282">
        <f t="shared" si="2"/>
        <v>0</v>
      </c>
      <c r="O6" s="109" t="s">
        <v>366</v>
      </c>
      <c r="P6" s="282">
        <v>0</v>
      </c>
      <c r="Q6" s="264">
        <f>H6*(1-P6)</f>
        <v>0</v>
      </c>
      <c r="R6" s="264">
        <f>INDEX('Leakage assessment'!$A$4:$B$21,MATCH(Analysis!$B6,'Leakage assessment'!$A$4:$A$21,0),2)</f>
        <v>0</v>
      </c>
      <c r="S6" s="264">
        <f>Q6+R6</f>
        <v>0</v>
      </c>
      <c r="T6" s="615" t="s">
        <v>841</v>
      </c>
      <c r="U6" s="289"/>
      <c r="V6" s="97"/>
      <c r="Y6" s="7"/>
      <c r="Z6" s="7"/>
    </row>
    <row r="7" spans="1:26" ht="24" x14ac:dyDescent="0.2">
      <c r="B7" s="290" t="s">
        <v>28</v>
      </c>
      <c r="C7" s="264">
        <f t="shared" si="0"/>
        <v>0</v>
      </c>
      <c r="D7" s="264">
        <f t="shared" si="0"/>
        <v>0</v>
      </c>
      <c r="E7" s="264">
        <f t="shared" si="0"/>
        <v>0</v>
      </c>
      <c r="F7" s="264">
        <f t="shared" si="0"/>
        <v>0</v>
      </c>
      <c r="G7" s="264">
        <f t="shared" si="0"/>
        <v>0</v>
      </c>
      <c r="H7" s="267">
        <f t="shared" si="1"/>
        <v>0</v>
      </c>
      <c r="I7" s="443">
        <v>0</v>
      </c>
      <c r="J7" s="268">
        <f t="shared" si="3"/>
        <v>0</v>
      </c>
      <c r="K7" s="280"/>
      <c r="L7" s="280">
        <f t="shared" si="4"/>
        <v>0</v>
      </c>
      <c r="M7" s="264">
        <f>SUMIFS(Data_Final!$S:$S,Data_Final!$B:$B,$B7,Data_Final!$C:$C,"&gt;2019-20")</f>
        <v>1726.2559999999999</v>
      </c>
      <c r="N7" s="282">
        <f t="shared" si="2"/>
        <v>0</v>
      </c>
      <c r="O7" s="109" t="s">
        <v>366</v>
      </c>
      <c r="P7" s="282">
        <v>0</v>
      </c>
      <c r="Q7" s="264">
        <f>H7*(1-P7)</f>
        <v>0</v>
      </c>
      <c r="R7" s="264">
        <f>INDEX('Leakage assessment'!$A$4:$B$21,MATCH(Analysis!$B7,'Leakage assessment'!$A$4:$A$21,0),2)</f>
        <v>0</v>
      </c>
      <c r="S7" s="264">
        <f>Q7+R7</f>
        <v>0</v>
      </c>
      <c r="T7" s="615" t="s">
        <v>842</v>
      </c>
      <c r="U7" s="289"/>
      <c r="V7" s="97"/>
      <c r="Y7" s="7"/>
      <c r="Z7" s="7"/>
    </row>
    <row r="8" spans="1:26" ht="14.25" x14ac:dyDescent="0.3">
      <c r="B8" s="290" t="s">
        <v>32</v>
      </c>
      <c r="C8" s="264">
        <f t="shared" si="0"/>
        <v>27.472002773143355</v>
      </c>
      <c r="D8" s="264">
        <f t="shared" si="0"/>
        <v>22.514211610266607</v>
      </c>
      <c r="E8" s="264">
        <f t="shared" si="0"/>
        <v>0.72031850146823895</v>
      </c>
      <c r="F8" s="264">
        <f t="shared" si="0"/>
        <v>0.246318501468239</v>
      </c>
      <c r="G8" s="264">
        <f t="shared" si="0"/>
        <v>0.25331850146823898</v>
      </c>
      <c r="H8" s="267">
        <f t="shared" si="1"/>
        <v>51.206169887814674</v>
      </c>
      <c r="I8" s="443">
        <v>0</v>
      </c>
      <c r="J8" s="268">
        <f t="shared" si="3"/>
        <v>51.206169887814674</v>
      </c>
      <c r="K8" s="280"/>
      <c r="L8" s="280">
        <f t="shared" si="4"/>
        <v>51.206169887814674</v>
      </c>
      <c r="M8" s="264">
        <f>SUMIFS(Data_Final!$S:$S,Data_Final!$B:$B,$B8,Data_Final!$C:$C,"&gt;2019-20")</f>
        <v>2477.5035104607214</v>
      </c>
      <c r="N8" s="282">
        <f t="shared" si="2"/>
        <v>2.0668455028058579E-2</v>
      </c>
      <c r="O8" s="109" t="s">
        <v>365</v>
      </c>
      <c r="P8" s="282">
        <v>0</v>
      </c>
      <c r="Q8" s="264">
        <f>IF(O8="Shallow dive",J8*(1-P8),0)</f>
        <v>0</v>
      </c>
      <c r="R8" s="264">
        <f ca="1">INDIRECT("'Deep dive_"&amp;B8&amp;"'!C17")</f>
        <v>9.5</v>
      </c>
      <c r="S8" s="264">
        <f t="shared" ref="S8:S21" ca="1" si="5">IF(Q8=0,R8,Q8)</f>
        <v>9.5</v>
      </c>
      <c r="T8" s="503"/>
      <c r="U8" s="289"/>
      <c r="V8" s="97"/>
      <c r="Y8" s="7"/>
      <c r="Z8" s="7"/>
    </row>
    <row r="9" spans="1:26" ht="14.25" x14ac:dyDescent="0.3">
      <c r="B9" s="290" t="s">
        <v>30</v>
      </c>
      <c r="C9" s="264">
        <f t="shared" si="0"/>
        <v>30.157</v>
      </c>
      <c r="D9" s="264">
        <f t="shared" si="0"/>
        <v>28.913999999999998</v>
      </c>
      <c r="E9" s="264">
        <f t="shared" si="0"/>
        <v>35.033999999999999</v>
      </c>
      <c r="F9" s="264">
        <f t="shared" si="0"/>
        <v>55.731000000000009</v>
      </c>
      <c r="G9" s="264">
        <f t="shared" si="0"/>
        <v>77.295000000000002</v>
      </c>
      <c r="H9" s="267">
        <f t="shared" si="1"/>
        <v>227.13100000000003</v>
      </c>
      <c r="I9" s="443">
        <v>0</v>
      </c>
      <c r="J9" s="268">
        <f t="shared" si="3"/>
        <v>227.13100000000003</v>
      </c>
      <c r="K9" s="280"/>
      <c r="L9" s="280">
        <f t="shared" si="4"/>
        <v>227.13100000000003</v>
      </c>
      <c r="M9" s="264">
        <f>SUMIFS(Data_Final!$S:$S,Data_Final!$B:$B,$B9,Data_Final!$C:$C,"&gt;2019-20")</f>
        <v>1118.0650000000001</v>
      </c>
      <c r="N9" s="282">
        <f t="shared" si="2"/>
        <v>0.20314650758229622</v>
      </c>
      <c r="O9" s="109" t="s">
        <v>365</v>
      </c>
      <c r="P9" s="282">
        <v>7.1151806567031253E-2</v>
      </c>
      <c r="Q9" s="264">
        <f>IF(O9="Shallow dive",J9*(1-P9),0)</f>
        <v>0</v>
      </c>
      <c r="R9" s="264">
        <f ca="1">INDIRECT("'Deep dive_"&amp;B9&amp;"'!C17")</f>
        <v>175.25223973720054</v>
      </c>
      <c r="S9" s="264">
        <f t="shared" ca="1" si="5"/>
        <v>175.25223973720054</v>
      </c>
      <c r="T9" s="503"/>
      <c r="U9" s="289"/>
      <c r="V9" s="97"/>
      <c r="Y9" s="7"/>
      <c r="Z9" s="7"/>
    </row>
    <row r="10" spans="1:26" x14ac:dyDescent="0.2">
      <c r="B10" s="290" t="s">
        <v>29</v>
      </c>
      <c r="C10" s="264">
        <f t="shared" si="0"/>
        <v>20.29213</v>
      </c>
      <c r="D10" s="264">
        <f t="shared" si="0"/>
        <v>25.941130000000001</v>
      </c>
      <c r="E10" s="264">
        <f t="shared" si="0"/>
        <v>28.737130000000004</v>
      </c>
      <c r="F10" s="264">
        <f t="shared" si="0"/>
        <v>35.700129999999994</v>
      </c>
      <c r="G10" s="264">
        <f t="shared" si="0"/>
        <v>42.525129999999997</v>
      </c>
      <c r="H10" s="267">
        <f t="shared" si="1"/>
        <v>153.19565</v>
      </c>
      <c r="I10" s="443">
        <v>-1.6</v>
      </c>
      <c r="J10" s="268">
        <f>SUM(C10:G10)+I10</f>
        <v>151.59565000000001</v>
      </c>
      <c r="K10" s="280"/>
      <c r="L10" s="280">
        <f t="shared" si="4"/>
        <v>151.59565000000001</v>
      </c>
      <c r="M10" s="264">
        <f>SUMIFS(Data_Final!$S:$S,Data_Final!$B:$B,$B10,Data_Final!$C:$C,"&gt;2019-20")</f>
        <v>3115.8041903943272</v>
      </c>
      <c r="N10" s="282">
        <f t="shared" si="2"/>
        <v>4.8653779485678943E-2</v>
      </c>
      <c r="O10" s="109" t="s">
        <v>365</v>
      </c>
      <c r="P10" s="282">
        <v>0</v>
      </c>
      <c r="Q10" s="264">
        <f>IF(O10="Shallow dive",J10*(1-P10),0)</f>
        <v>0</v>
      </c>
      <c r="R10" s="264">
        <f ca="1">INDIRECT("'Deep dive_"&amp;B10&amp;"'!C17")</f>
        <v>88.031999999999982</v>
      </c>
      <c r="S10" s="264">
        <f t="shared" ca="1" si="5"/>
        <v>88.031999999999982</v>
      </c>
      <c r="T10" s="615" t="s">
        <v>843</v>
      </c>
      <c r="U10" s="289"/>
      <c r="V10" s="97"/>
      <c r="Y10" s="7"/>
      <c r="Z10" s="7"/>
    </row>
    <row r="11" spans="1:26" ht="42" customHeight="1" x14ac:dyDescent="0.2">
      <c r="B11" s="290" t="s">
        <v>108</v>
      </c>
      <c r="C11" s="264">
        <f t="shared" si="0"/>
        <v>0.94000000000000006</v>
      </c>
      <c r="D11" s="264">
        <f t="shared" si="0"/>
        <v>0.94000000000000006</v>
      </c>
      <c r="E11" s="264">
        <f t="shared" si="0"/>
        <v>0.68400000000000005</v>
      </c>
      <c r="F11" s="264">
        <f t="shared" si="0"/>
        <v>0.68400000000000005</v>
      </c>
      <c r="G11" s="264">
        <f t="shared" si="0"/>
        <v>0.68400000000000005</v>
      </c>
      <c r="H11" s="267">
        <f t="shared" si="1"/>
        <v>3.9320000000000004</v>
      </c>
      <c r="I11" s="443">
        <v>11.198</v>
      </c>
      <c r="J11" s="268">
        <f t="shared" si="3"/>
        <v>15.13</v>
      </c>
      <c r="K11" s="280"/>
      <c r="L11" s="280">
        <f t="shared" si="4"/>
        <v>15.13</v>
      </c>
      <c r="M11" s="264">
        <f>SUMIFS(Data_Final!$S:$S,Data_Final!$B:$B,$B11,Data_Final!$C:$C,"&gt;2019-20")</f>
        <v>894.25199999999995</v>
      </c>
      <c r="N11" s="282">
        <f t="shared" si="2"/>
        <v>1.6919168198673305E-2</v>
      </c>
      <c r="O11" s="109" t="s">
        <v>366</v>
      </c>
      <c r="P11" s="282">
        <v>0</v>
      </c>
      <c r="Q11" s="264">
        <f>H11*(1-P11)</f>
        <v>3.9320000000000004</v>
      </c>
      <c r="R11" s="264">
        <f>INDEX('Leakage assessment'!$A$4:$B$21,MATCH(Analysis!$B11,'Leakage assessment'!$A$4:$A$21,0),2)</f>
        <v>0</v>
      </c>
      <c r="S11" s="264">
        <f>Q11+R11</f>
        <v>3.9320000000000004</v>
      </c>
      <c r="T11" s="615" t="s">
        <v>844</v>
      </c>
      <c r="U11" s="289"/>
      <c r="V11" s="97"/>
      <c r="Y11" s="7"/>
      <c r="Z11" s="7"/>
    </row>
    <row r="12" spans="1:26" ht="14.25" x14ac:dyDescent="0.3">
      <c r="B12" s="290" t="s">
        <v>31</v>
      </c>
      <c r="C12" s="264">
        <f t="shared" si="0"/>
        <v>32.751394303300003</v>
      </c>
      <c r="D12" s="264">
        <f t="shared" si="0"/>
        <v>45.556460228399999</v>
      </c>
      <c r="E12" s="264">
        <f t="shared" si="0"/>
        <v>62.162455883</v>
      </c>
      <c r="F12" s="264">
        <f t="shared" si="0"/>
        <v>56.4812648037</v>
      </c>
      <c r="G12" s="264">
        <f t="shared" si="0"/>
        <v>53.428433618799993</v>
      </c>
      <c r="H12" s="267">
        <f t="shared" si="1"/>
        <v>250.38000883720002</v>
      </c>
      <c r="I12" s="443">
        <v>0</v>
      </c>
      <c r="J12" s="268">
        <f t="shared" si="3"/>
        <v>250.38000883720002</v>
      </c>
      <c r="K12" s="280"/>
      <c r="L12" s="280">
        <f t="shared" si="4"/>
        <v>250.38000883720002</v>
      </c>
      <c r="M12" s="264">
        <f>SUMIFS(Data_Final!$S:$S,Data_Final!$B:$B,$B12,Data_Final!$C:$C,"&gt;2019-20")</f>
        <v>5221.0529360146866</v>
      </c>
      <c r="N12" s="282">
        <f t="shared" si="2"/>
        <v>4.7955845670532328E-2</v>
      </c>
      <c r="O12" s="109" t="s">
        <v>365</v>
      </c>
      <c r="P12" s="282">
        <v>0.1</v>
      </c>
      <c r="Q12" s="264">
        <f t="shared" ref="Q12:Q21" si="6">IF(O12="Shallow dive",J12*(1-P12),0)</f>
        <v>0</v>
      </c>
      <c r="R12" s="264">
        <f ca="1">INDIRECT("'Deep dive_"&amp;B12&amp;"'!C17")</f>
        <v>79.141336279066678</v>
      </c>
      <c r="S12" s="264">
        <f t="shared" ca="1" si="5"/>
        <v>79.141336279066678</v>
      </c>
      <c r="T12" s="503"/>
      <c r="U12" s="289"/>
      <c r="V12" s="97"/>
      <c r="Y12" s="7"/>
      <c r="Z12" s="7"/>
    </row>
    <row r="13" spans="1:26" ht="36" x14ac:dyDescent="0.2">
      <c r="B13" s="290" t="s">
        <v>27</v>
      </c>
      <c r="C13" s="264">
        <f t="shared" si="0"/>
        <v>2.0510000000000002</v>
      </c>
      <c r="D13" s="264">
        <f t="shared" si="0"/>
        <v>8.6120000000000001</v>
      </c>
      <c r="E13" s="264">
        <f t="shared" si="0"/>
        <v>8.6929999999999996</v>
      </c>
      <c r="F13" s="264">
        <f t="shared" si="0"/>
        <v>6.1319999999999997</v>
      </c>
      <c r="G13" s="264">
        <f t="shared" si="0"/>
        <v>2.355</v>
      </c>
      <c r="H13" s="267">
        <f t="shared" si="1"/>
        <v>27.843</v>
      </c>
      <c r="I13" s="443">
        <v>66.655000000000001</v>
      </c>
      <c r="J13" s="268">
        <f t="shared" si="3"/>
        <v>94.498000000000005</v>
      </c>
      <c r="K13" s="280"/>
      <c r="L13" s="280">
        <f t="shared" si="4"/>
        <v>94.498000000000005</v>
      </c>
      <c r="M13" s="264">
        <f>SUMIFS(Data_Final!$S:$S,Data_Final!$B:$B,$B13,Data_Final!$C:$C,"&gt;2019-20")</f>
        <v>1665.97</v>
      </c>
      <c r="N13" s="282">
        <f t="shared" si="2"/>
        <v>5.6722510009183838E-2</v>
      </c>
      <c r="O13" s="109" t="s">
        <v>365</v>
      </c>
      <c r="P13" s="282">
        <v>0</v>
      </c>
      <c r="Q13" s="264">
        <f t="shared" si="6"/>
        <v>0</v>
      </c>
      <c r="R13" s="264">
        <f t="shared" ref="R13:R21" ca="1" si="7">INDIRECT("'Deep dive_"&amp;B13&amp;"'!C17")</f>
        <v>32.823999999999998</v>
      </c>
      <c r="S13" s="264">
        <f t="shared" ca="1" si="5"/>
        <v>32.823999999999998</v>
      </c>
      <c r="T13" s="615" t="s">
        <v>845</v>
      </c>
      <c r="U13" s="289"/>
      <c r="V13" s="97"/>
      <c r="Y13" s="7"/>
      <c r="Z13" s="7"/>
    </row>
    <row r="14" spans="1:26" ht="14.25" x14ac:dyDescent="0.3">
      <c r="B14" s="290" t="s">
        <v>33</v>
      </c>
      <c r="C14" s="264">
        <f t="shared" si="0"/>
        <v>4.9098076923076954</v>
      </c>
      <c r="D14" s="264">
        <f t="shared" si="0"/>
        <v>5.2698076923076957</v>
      </c>
      <c r="E14" s="264">
        <f t="shared" si="0"/>
        <v>5.639807692307695</v>
      </c>
      <c r="F14" s="264">
        <f t="shared" si="0"/>
        <v>5.9998076923076953</v>
      </c>
      <c r="G14" s="264">
        <f t="shared" si="0"/>
        <v>6.3698076923076954</v>
      </c>
      <c r="H14" s="267">
        <f t="shared" si="1"/>
        <v>28.189038461538477</v>
      </c>
      <c r="I14" s="443">
        <v>0</v>
      </c>
      <c r="J14" s="268">
        <f t="shared" si="3"/>
        <v>28.189038461538477</v>
      </c>
      <c r="K14" s="280"/>
      <c r="L14" s="280">
        <f t="shared" si="4"/>
        <v>28.189038461538477</v>
      </c>
      <c r="M14" s="264">
        <f>SUMIFS(Data_Final!$S:$S,Data_Final!$B:$B,$B14,Data_Final!$C:$C,"&gt;2019-20")</f>
        <v>650.05295780984898</v>
      </c>
      <c r="N14" s="282">
        <f t="shared" si="2"/>
        <v>4.3364218442313786E-2</v>
      </c>
      <c r="O14" s="109" t="s">
        <v>365</v>
      </c>
      <c r="P14" s="282">
        <v>0</v>
      </c>
      <c r="Q14" s="264">
        <f t="shared" si="6"/>
        <v>0</v>
      </c>
      <c r="R14" s="264">
        <f t="shared" ca="1" si="7"/>
        <v>2.851</v>
      </c>
      <c r="S14" s="264">
        <f t="shared" ca="1" si="5"/>
        <v>2.851</v>
      </c>
      <c r="T14" s="503"/>
      <c r="U14" s="289"/>
      <c r="V14" s="97"/>
      <c r="Y14" s="7"/>
      <c r="Z14" s="7"/>
    </row>
    <row r="15" spans="1:26" ht="24" x14ac:dyDescent="0.2">
      <c r="B15" s="290" t="s">
        <v>34</v>
      </c>
      <c r="C15" s="264">
        <f t="shared" ref="C15:G21" si="8">C111+C135+C160+C185</f>
        <v>0.112</v>
      </c>
      <c r="D15" s="264">
        <f t="shared" si="8"/>
        <v>9.7000000000000003E-2</v>
      </c>
      <c r="E15" s="264">
        <f t="shared" si="8"/>
        <v>6.3E-2</v>
      </c>
      <c r="F15" s="264">
        <f t="shared" si="8"/>
        <v>4.7E-2</v>
      </c>
      <c r="G15" s="264">
        <f t="shared" si="8"/>
        <v>2.1999999999999999E-2</v>
      </c>
      <c r="H15" s="267">
        <f t="shared" si="1"/>
        <v>0.34100000000000003</v>
      </c>
      <c r="I15" s="443">
        <v>136.53300000000002</v>
      </c>
      <c r="J15" s="268">
        <f t="shared" si="3"/>
        <v>136.87400000000002</v>
      </c>
      <c r="K15" s="280"/>
      <c r="L15" s="280">
        <f t="shared" si="4"/>
        <v>136.87400000000002</v>
      </c>
      <c r="M15" s="264">
        <f>SUMIFS(Data_Final!$S:$S,Data_Final!$B:$B,$B15,Data_Final!$C:$C,"&gt;2019-20")</f>
        <v>1886.865</v>
      </c>
      <c r="N15" s="282">
        <f t="shared" si="2"/>
        <v>7.2540430820434973E-2</v>
      </c>
      <c r="O15" s="109" t="s">
        <v>365</v>
      </c>
      <c r="P15" s="282">
        <v>0</v>
      </c>
      <c r="Q15" s="264">
        <f t="shared" si="6"/>
        <v>0</v>
      </c>
      <c r="R15" s="264">
        <f t="shared" ca="1" si="7"/>
        <v>0</v>
      </c>
      <c r="S15" s="264">
        <f t="shared" ca="1" si="5"/>
        <v>0</v>
      </c>
      <c r="T15" s="615" t="s">
        <v>884</v>
      </c>
      <c r="U15" s="289"/>
      <c r="V15" s="97"/>
      <c r="Y15" s="7"/>
      <c r="Z15" s="7"/>
    </row>
    <row r="16" spans="1:26" ht="24" x14ac:dyDescent="0.2">
      <c r="B16" s="290" t="s">
        <v>35</v>
      </c>
      <c r="C16" s="264">
        <f t="shared" si="8"/>
        <v>32.141650283866596</v>
      </c>
      <c r="D16" s="264">
        <f t="shared" si="8"/>
        <v>34.6261477510483</v>
      </c>
      <c r="E16" s="264">
        <f t="shared" si="8"/>
        <v>26.71974623682167</v>
      </c>
      <c r="F16" s="264">
        <f t="shared" si="8"/>
        <v>25.676490678185811</v>
      </c>
      <c r="G16" s="264">
        <f t="shared" si="8"/>
        <v>19.417000000000002</v>
      </c>
      <c r="H16" s="267">
        <f t="shared" si="1"/>
        <v>138.58103494992238</v>
      </c>
      <c r="I16" s="443">
        <v>-12.366</v>
      </c>
      <c r="J16" s="268">
        <f t="shared" si="3"/>
        <v>126.21503494992238</v>
      </c>
      <c r="K16" s="280"/>
      <c r="L16" s="280">
        <f t="shared" si="4"/>
        <v>126.21503494992238</v>
      </c>
      <c r="M16" s="264">
        <f>SUMIFS(Data_Final!$S:$S,Data_Final!$B:$B,$B16,Data_Final!$C:$C,"&gt;2019-20")</f>
        <v>1366.0244931943021</v>
      </c>
      <c r="N16" s="282">
        <f t="shared" si="2"/>
        <v>9.2395879853356094E-2</v>
      </c>
      <c r="O16" s="109" t="s">
        <v>365</v>
      </c>
      <c r="P16" s="282">
        <v>0</v>
      </c>
      <c r="Q16" s="264">
        <f t="shared" si="6"/>
        <v>0</v>
      </c>
      <c r="R16" s="264">
        <f t="shared" ca="1" si="7"/>
        <v>62.718958555652613</v>
      </c>
      <c r="S16" s="264">
        <f t="shared" ca="1" si="5"/>
        <v>62.718958555652613</v>
      </c>
      <c r="T16" s="615" t="s">
        <v>893</v>
      </c>
      <c r="U16" s="289"/>
      <c r="V16" s="97"/>
      <c r="Y16" s="7"/>
      <c r="Z16" s="7"/>
    </row>
    <row r="17" spans="2:27" ht="14.25" x14ac:dyDescent="0.3">
      <c r="B17" s="290" t="s">
        <v>36</v>
      </c>
      <c r="C17" s="264">
        <f t="shared" si="8"/>
        <v>0.84399999999999997</v>
      </c>
      <c r="D17" s="264">
        <f t="shared" si="8"/>
        <v>0.84499999999999997</v>
      </c>
      <c r="E17" s="264">
        <f t="shared" si="8"/>
        <v>0.84699999999999998</v>
      </c>
      <c r="F17" s="264">
        <f t="shared" si="8"/>
        <v>0.84899999999999998</v>
      </c>
      <c r="G17" s="264">
        <f t="shared" si="8"/>
        <v>0.85</v>
      </c>
      <c r="H17" s="267">
        <f t="shared" si="1"/>
        <v>4.2349999999999994</v>
      </c>
      <c r="I17" s="443">
        <v>0</v>
      </c>
      <c r="J17" s="268">
        <f t="shared" si="3"/>
        <v>4.2349999999999994</v>
      </c>
      <c r="K17" s="280"/>
      <c r="L17" s="280">
        <f t="shared" si="4"/>
        <v>4.2349999999999994</v>
      </c>
      <c r="M17" s="264">
        <f>SUMIFS(Data_Final!$S:$S,Data_Final!$B:$B,$B17,Data_Final!$C:$C,"&gt;2019-20")</f>
        <v>448.798</v>
      </c>
      <c r="N17" s="282">
        <f t="shared" si="2"/>
        <v>9.4363165611254934E-3</v>
      </c>
      <c r="O17" s="109" t="s">
        <v>365</v>
      </c>
      <c r="P17" s="282">
        <v>0.1</v>
      </c>
      <c r="Q17" s="264">
        <f t="shared" si="6"/>
        <v>0</v>
      </c>
      <c r="R17" s="264">
        <f t="shared" ca="1" si="7"/>
        <v>2.4003775718742246</v>
      </c>
      <c r="S17" s="264">
        <f t="shared" ca="1" si="5"/>
        <v>2.4003775718742246</v>
      </c>
      <c r="T17" s="503"/>
      <c r="U17" s="289"/>
      <c r="V17" s="97"/>
      <c r="Y17" s="7"/>
      <c r="Z17" s="7"/>
    </row>
    <row r="18" spans="2:27" ht="24" x14ac:dyDescent="0.2">
      <c r="B18" s="290" t="s">
        <v>37</v>
      </c>
      <c r="C18" s="264">
        <f t="shared" si="8"/>
        <v>1.1599999999999999</v>
      </c>
      <c r="D18" s="264">
        <f t="shared" si="8"/>
        <v>0.38700000000000001</v>
      </c>
      <c r="E18" s="264">
        <f t="shared" si="8"/>
        <v>1.4450000000000001</v>
      </c>
      <c r="F18" s="264">
        <f t="shared" si="8"/>
        <v>1.2090000000000001</v>
      </c>
      <c r="G18" s="264">
        <f t="shared" si="8"/>
        <v>0</v>
      </c>
      <c r="H18" s="267">
        <f t="shared" si="1"/>
        <v>4.2010000000000005</v>
      </c>
      <c r="I18" s="443">
        <v>0</v>
      </c>
      <c r="J18" s="268">
        <f t="shared" si="3"/>
        <v>4.2010000000000005</v>
      </c>
      <c r="K18" s="280"/>
      <c r="L18" s="280">
        <f t="shared" si="4"/>
        <v>4.2010000000000005</v>
      </c>
      <c r="M18" s="264">
        <f>SUMIFS(Data_Final!$S:$S,Data_Final!$B:$B,$B18,Data_Final!$C:$C,"&gt;2019-20")</f>
        <v>228.13</v>
      </c>
      <c r="N18" s="282">
        <f t="shared" si="2"/>
        <v>1.841493885065533E-2</v>
      </c>
      <c r="O18" s="109" t="s">
        <v>365</v>
      </c>
      <c r="P18" s="282">
        <v>0</v>
      </c>
      <c r="Q18" s="264">
        <f t="shared" si="6"/>
        <v>0</v>
      </c>
      <c r="R18" s="264">
        <f t="shared" ca="1" si="7"/>
        <v>2.6543999999999999</v>
      </c>
      <c r="S18" s="264">
        <f t="shared" ca="1" si="5"/>
        <v>2.6543999999999999</v>
      </c>
      <c r="T18" s="615" t="s">
        <v>846</v>
      </c>
      <c r="U18" s="289"/>
      <c r="V18" s="97"/>
      <c r="Y18" s="7"/>
      <c r="Z18" s="7"/>
    </row>
    <row r="19" spans="2:27" ht="24" x14ac:dyDescent="0.2">
      <c r="B19" s="290" t="s">
        <v>40</v>
      </c>
      <c r="C19" s="264">
        <f t="shared" si="8"/>
        <v>0.53900000000000003</v>
      </c>
      <c r="D19" s="264">
        <f t="shared" si="8"/>
        <v>0.52900000000000003</v>
      </c>
      <c r="E19" s="264">
        <f t="shared" si="8"/>
        <v>0.51800000000000002</v>
      </c>
      <c r="F19" s="264">
        <f t="shared" si="8"/>
        <v>0.50700000000000001</v>
      </c>
      <c r="G19" s="264">
        <f t="shared" si="8"/>
        <v>0.496</v>
      </c>
      <c r="H19" s="267">
        <f t="shared" si="1"/>
        <v>2.589</v>
      </c>
      <c r="I19" s="443">
        <v>17.443000000000001</v>
      </c>
      <c r="J19" s="268">
        <f t="shared" si="3"/>
        <v>20.032</v>
      </c>
      <c r="K19" s="280"/>
      <c r="L19" s="280">
        <f t="shared" si="4"/>
        <v>20.032</v>
      </c>
      <c r="M19" s="264">
        <f>SUMIFS(Data_Final!$S:$S,Data_Final!$B:$B,$B19,Data_Final!$C:$C,"&gt;2019-20")</f>
        <v>254.16900000000001</v>
      </c>
      <c r="N19" s="282">
        <f t="shared" si="2"/>
        <v>7.88137026938769E-2</v>
      </c>
      <c r="O19" s="109" t="s">
        <v>365</v>
      </c>
      <c r="P19" s="282">
        <v>1.5389794162537131E-2</v>
      </c>
      <c r="Q19" s="264">
        <f t="shared" si="6"/>
        <v>0</v>
      </c>
      <c r="R19" s="264">
        <f t="shared" ca="1" si="7"/>
        <v>2.5889999999999995</v>
      </c>
      <c r="S19" s="264">
        <f t="shared" ca="1" si="5"/>
        <v>2.5889999999999995</v>
      </c>
      <c r="T19" s="615" t="s">
        <v>847</v>
      </c>
      <c r="U19" s="289"/>
      <c r="V19" s="97"/>
      <c r="Y19" s="7"/>
      <c r="Z19" s="7"/>
    </row>
    <row r="20" spans="2:27" ht="48" x14ac:dyDescent="0.2">
      <c r="B20" s="290" t="s">
        <v>38</v>
      </c>
      <c r="C20" s="264">
        <f t="shared" si="8"/>
        <v>14.44493831147876</v>
      </c>
      <c r="D20" s="264">
        <f t="shared" si="8"/>
        <v>36.327759155514116</v>
      </c>
      <c r="E20" s="264">
        <f t="shared" si="8"/>
        <v>39.671275609282155</v>
      </c>
      <c r="F20" s="264">
        <f t="shared" si="8"/>
        <v>19.530337222765027</v>
      </c>
      <c r="G20" s="264">
        <f t="shared" si="8"/>
        <v>24.246281815430585</v>
      </c>
      <c r="H20" s="267">
        <f t="shared" si="1"/>
        <v>134.22059211447063</v>
      </c>
      <c r="I20" s="443">
        <v>0</v>
      </c>
      <c r="J20" s="268">
        <f t="shared" si="3"/>
        <v>134.22059211447063</v>
      </c>
      <c r="K20" s="280">
        <v>-58.27</v>
      </c>
      <c r="L20" s="280">
        <f t="shared" si="4"/>
        <v>75.950592114470624</v>
      </c>
      <c r="M20" s="264">
        <f>SUMIFS(Data_Final!$S:$S,Data_Final!$B:$B,$B20,Data_Final!$C:$C,"&gt;2019-20")</f>
        <v>960.67399999999998</v>
      </c>
      <c r="N20" s="282">
        <f t="shared" si="2"/>
        <v>0.13971502519530105</v>
      </c>
      <c r="O20" s="109" t="s">
        <v>365</v>
      </c>
      <c r="P20" s="282">
        <v>2.7460584206497517E-2</v>
      </c>
      <c r="Q20" s="264">
        <f t="shared" si="6"/>
        <v>0</v>
      </c>
      <c r="R20" s="264">
        <f t="shared" ca="1" si="7"/>
        <v>48.972573877708335</v>
      </c>
      <c r="S20" s="264">
        <f t="shared" ca="1" si="5"/>
        <v>48.972573877708335</v>
      </c>
      <c r="T20" s="615" t="s">
        <v>848</v>
      </c>
      <c r="U20" s="289"/>
      <c r="V20" s="97"/>
      <c r="Y20" s="7"/>
      <c r="Z20" s="7"/>
    </row>
    <row r="21" spans="2:27" ht="14.25" x14ac:dyDescent="0.3">
      <c r="B21" s="290" t="s">
        <v>39</v>
      </c>
      <c r="C21" s="264">
        <f t="shared" si="8"/>
        <v>2.67271888820374</v>
      </c>
      <c r="D21" s="264">
        <f t="shared" si="8"/>
        <v>3.475771210537637</v>
      </c>
      <c r="E21" s="264">
        <f t="shared" si="8"/>
        <v>3.7399112554568381</v>
      </c>
      <c r="F21" s="264">
        <f t="shared" si="8"/>
        <v>3.6300023624586442</v>
      </c>
      <c r="G21" s="264">
        <f t="shared" si="8"/>
        <v>2.6144695756464529</v>
      </c>
      <c r="H21" s="267">
        <f t="shared" si="1"/>
        <v>16.132873292303312</v>
      </c>
      <c r="I21" s="443">
        <v>0</v>
      </c>
      <c r="J21" s="268">
        <f t="shared" si="3"/>
        <v>16.132873292303312</v>
      </c>
      <c r="K21" s="280"/>
      <c r="L21" s="280">
        <f t="shared" si="4"/>
        <v>16.132873292303312</v>
      </c>
      <c r="M21" s="264">
        <f>SUMIFS(Data_Final!$S:$S,Data_Final!$B:$B,$B21,Data_Final!$C:$C,"&gt;2019-20")</f>
        <v>535.84507126152766</v>
      </c>
      <c r="N21" s="282">
        <f t="shared" si="2"/>
        <v>3.0107346614800547E-2</v>
      </c>
      <c r="O21" s="109" t="s">
        <v>365</v>
      </c>
      <c r="P21" s="282">
        <v>5.0631445131408964E-2</v>
      </c>
      <c r="Q21" s="264">
        <f t="shared" si="6"/>
        <v>0</v>
      </c>
      <c r="R21" s="264">
        <f t="shared" ca="1" si="7"/>
        <v>5.8599766351691125</v>
      </c>
      <c r="S21" s="264">
        <f t="shared" ca="1" si="5"/>
        <v>5.8599766351691125</v>
      </c>
      <c r="T21" s="503"/>
      <c r="U21" s="289"/>
      <c r="V21" s="97"/>
      <c r="Y21" s="7"/>
      <c r="Z21" s="7"/>
    </row>
    <row r="22" spans="2:27" x14ac:dyDescent="0.2">
      <c r="B22" s="291" t="s">
        <v>313</v>
      </c>
      <c r="C22" s="268">
        <f t="shared" ref="C22:M22" si="9">SUM(C5:C21)</f>
        <v>238.75935162644117</v>
      </c>
      <c r="D22" s="268">
        <f t="shared" si="9"/>
        <v>273.02552776413467</v>
      </c>
      <c r="E22" s="268">
        <f t="shared" si="9"/>
        <v>274.18493808476245</v>
      </c>
      <c r="F22" s="268">
        <f t="shared" si="9"/>
        <v>272.69004428112333</v>
      </c>
      <c r="G22" s="268">
        <f t="shared" si="9"/>
        <v>288.06952670709637</v>
      </c>
      <c r="H22" s="267">
        <f t="shared" si="9"/>
        <v>1346.7293884635578</v>
      </c>
      <c r="I22" s="267">
        <f t="shared" si="9"/>
        <v>570.78599999999994</v>
      </c>
      <c r="J22" s="268">
        <f t="shared" si="9"/>
        <v>1917.5153884635581</v>
      </c>
      <c r="K22" s="267"/>
      <c r="L22" s="268">
        <f t="shared" ca="1" si="9"/>
        <v>1680.4623232235583</v>
      </c>
      <c r="M22" s="268">
        <f t="shared" si="9"/>
        <v>25428.40175152371</v>
      </c>
      <c r="N22" s="281"/>
      <c r="O22" s="281"/>
      <c r="P22" s="281"/>
      <c r="Q22" s="268">
        <f>SUM(Q5:Q21)</f>
        <v>3.9320000000000004</v>
      </c>
      <c r="R22" s="268">
        <f ca="1">SUM(R5:R21)</f>
        <v>867.34423731335869</v>
      </c>
      <c r="S22" s="268">
        <f ca="1">SUM(S5:S21)</f>
        <v>871.27623731335871</v>
      </c>
      <c r="T22" s="281"/>
      <c r="U22" s="289"/>
      <c r="V22" s="97"/>
      <c r="Y22" s="7"/>
      <c r="Z22" s="7"/>
    </row>
    <row r="23" spans="2:27" ht="13.5" thickBot="1" x14ac:dyDescent="0.25">
      <c r="B23" s="292"/>
      <c r="C23" s="293"/>
      <c r="D23" s="293"/>
      <c r="E23" s="293"/>
      <c r="F23" s="293"/>
      <c r="G23" s="293"/>
      <c r="H23" s="293"/>
      <c r="I23" s="293"/>
      <c r="J23" s="293"/>
      <c r="K23" s="293"/>
      <c r="L23" s="293"/>
      <c r="M23" s="293"/>
      <c r="N23" s="293"/>
      <c r="O23" s="293"/>
      <c r="P23" s="293"/>
      <c r="Q23" s="293"/>
      <c r="R23" s="293"/>
      <c r="S23" s="293"/>
      <c r="T23" s="293"/>
      <c r="U23" s="294"/>
      <c r="V23" s="97"/>
      <c r="Y23" s="7"/>
      <c r="Z23" s="260"/>
      <c r="AA23" s="101"/>
    </row>
    <row r="24" spans="2:27" x14ac:dyDescent="0.2">
      <c r="B24" s="7" t="s">
        <v>367</v>
      </c>
      <c r="D24" s="7" t="s">
        <v>368</v>
      </c>
      <c r="H24" s="260"/>
      <c r="I24" s="101"/>
      <c r="V24" s="97"/>
      <c r="Y24" s="7"/>
      <c r="Z24" s="7"/>
    </row>
    <row r="25" spans="2:27" ht="25.5" x14ac:dyDescent="0.2">
      <c r="B25" s="344" t="s">
        <v>312</v>
      </c>
      <c r="C25" s="344" t="s">
        <v>73</v>
      </c>
      <c r="D25" s="344" t="s">
        <v>74</v>
      </c>
      <c r="E25" s="344" t="s">
        <v>75</v>
      </c>
      <c r="F25" s="344" t="s">
        <v>76</v>
      </c>
      <c r="G25" s="344" t="s">
        <v>24</v>
      </c>
      <c r="H25" s="261" t="s">
        <v>369</v>
      </c>
      <c r="V25" s="97"/>
      <c r="Y25" s="7"/>
      <c r="Z25" s="7"/>
    </row>
    <row r="26" spans="2:27" x14ac:dyDescent="0.2">
      <c r="B26" s="201" t="s">
        <v>26</v>
      </c>
      <c r="C26" s="108">
        <f>SUMIFS(Data_Final!$Y:$Y,Data_Final!$B:$B,$B26,Data_Final!$C:$C,C$25)</f>
        <v>0</v>
      </c>
      <c r="D26" s="108">
        <f>SUMIFS(Data_Final!$Y:$Y,Data_Final!$B:$B,$B26,Data_Final!$C:$C,D$25)</f>
        <v>0</v>
      </c>
      <c r="E26" s="108">
        <f>SUMIFS(Data_Final!$Y:$Y,Data_Final!$B:$B,$B26,Data_Final!$C:$C,E$25)</f>
        <v>0</v>
      </c>
      <c r="F26" s="108">
        <f>SUMIFS(Data_Final!$Y:$Y,Data_Final!$B:$B,$B26,Data_Final!$C:$C,F$25)</f>
        <v>0</v>
      </c>
      <c r="G26" s="108">
        <f>SUMIFS(Data_Final!$Y:$Y,Data_Final!$B:$B,$B26,Data_Final!$C:$C,G$25)</f>
        <v>6</v>
      </c>
      <c r="H26" s="110">
        <f t="shared" ref="H26:H42" si="10">SUM(C26:G26)</f>
        <v>6</v>
      </c>
      <c r="I26" s="101"/>
      <c r="V26" s="97"/>
      <c r="Y26" s="7"/>
      <c r="Z26" s="7"/>
    </row>
    <row r="27" spans="2:27" x14ac:dyDescent="0.2">
      <c r="B27" s="201" t="s">
        <v>106</v>
      </c>
      <c r="C27" s="108">
        <f>SUMIFS(Data_Final!$Y:$Y,Data_Final!$B:$B,$B27,Data_Final!$C:$C,C$25)</f>
        <v>0</v>
      </c>
      <c r="D27" s="108">
        <f>SUMIFS(Data_Final!$Y:$Y,Data_Final!$B:$B,$B27,Data_Final!$C:$C,D$25)</f>
        <v>0</v>
      </c>
      <c r="E27" s="108">
        <f>SUMIFS(Data_Final!$Y:$Y,Data_Final!$B:$B,$B27,Data_Final!$C:$C,E$25)</f>
        <v>0</v>
      </c>
      <c r="F27" s="108">
        <f>SUMIFS(Data_Final!$Y:$Y,Data_Final!$B:$B,$B27,Data_Final!$C:$C,F$25)</f>
        <v>0</v>
      </c>
      <c r="G27" s="108">
        <f>SUMIFS(Data_Final!$Y:$Y,Data_Final!$B:$B,$B27,Data_Final!$C:$C,G$25)</f>
        <v>0</v>
      </c>
      <c r="H27" s="110">
        <f t="shared" si="10"/>
        <v>0</v>
      </c>
      <c r="I27" s="101"/>
      <c r="V27" s="97"/>
      <c r="Y27" s="7"/>
      <c r="Z27" s="7"/>
    </row>
    <row r="28" spans="2:27" x14ac:dyDescent="0.2">
      <c r="B28" s="201" t="s">
        <v>28</v>
      </c>
      <c r="C28" s="108">
        <f>SUMIFS(Data_Final!$Y:$Y,Data_Final!$B:$B,$B28,Data_Final!$C:$C,C$25)</f>
        <v>0</v>
      </c>
      <c r="D28" s="108">
        <f>SUMIFS(Data_Final!$Y:$Y,Data_Final!$B:$B,$B28,Data_Final!$C:$C,D$25)</f>
        <v>0</v>
      </c>
      <c r="E28" s="108">
        <f>SUMIFS(Data_Final!$Y:$Y,Data_Final!$B:$B,$B28,Data_Final!$C:$C,E$25)</f>
        <v>0</v>
      </c>
      <c r="F28" s="108">
        <f>SUMIFS(Data_Final!$Y:$Y,Data_Final!$B:$B,$B28,Data_Final!$C:$C,F$25)</f>
        <v>0</v>
      </c>
      <c r="G28" s="108">
        <f>SUMIFS(Data_Final!$Y:$Y,Data_Final!$B:$B,$B28,Data_Final!$C:$C,G$25)</f>
        <v>0</v>
      </c>
      <c r="H28" s="110">
        <f t="shared" si="10"/>
        <v>0</v>
      </c>
      <c r="I28" s="101"/>
      <c r="Q28" s="146"/>
      <c r="R28" s="146"/>
      <c r="Y28" s="7"/>
      <c r="Z28" s="7"/>
    </row>
    <row r="29" spans="2:27" x14ac:dyDescent="0.2">
      <c r="B29" s="201" t="s">
        <v>32</v>
      </c>
      <c r="C29" s="108">
        <f>SUMIFS(Data_Final!$Y:$Y,Data_Final!$B:$B,$B29,Data_Final!$C:$C,C$25)</f>
        <v>0</v>
      </c>
      <c r="D29" s="108">
        <f>SUMIFS(Data_Final!$Y:$Y,Data_Final!$B:$B,$B29,Data_Final!$C:$C,D$25)</f>
        <v>0</v>
      </c>
      <c r="E29" s="108">
        <f>SUMIFS(Data_Final!$Y:$Y,Data_Final!$B:$B,$B29,Data_Final!$C:$C,E$25)</f>
        <v>0</v>
      </c>
      <c r="F29" s="108">
        <f>SUMIFS(Data_Final!$Y:$Y,Data_Final!$B:$B,$B29,Data_Final!$C:$C,F$25)</f>
        <v>0</v>
      </c>
      <c r="G29" s="108">
        <f>SUMIFS(Data_Final!$Y:$Y,Data_Final!$B:$B,$B29,Data_Final!$C:$C,G$25)</f>
        <v>0</v>
      </c>
      <c r="H29" s="110">
        <f t="shared" si="10"/>
        <v>0</v>
      </c>
      <c r="I29" s="101"/>
      <c r="Y29" s="7"/>
      <c r="Z29" s="7"/>
    </row>
    <row r="30" spans="2:27" x14ac:dyDescent="0.2">
      <c r="B30" s="201" t="s">
        <v>30</v>
      </c>
      <c r="C30" s="108">
        <f>SUMIFS(Data_Final!$Y:$Y,Data_Final!$B:$B,$B30,Data_Final!$C:$C,C$25)</f>
        <v>0</v>
      </c>
      <c r="D30" s="108">
        <f>SUMIFS(Data_Final!$Y:$Y,Data_Final!$B:$B,$B30,Data_Final!$C:$C,D$25)</f>
        <v>23</v>
      </c>
      <c r="E30" s="108">
        <f>SUMIFS(Data_Final!$Y:$Y,Data_Final!$B:$B,$B30,Data_Final!$C:$C,E$25)</f>
        <v>33.68</v>
      </c>
      <c r="F30" s="108">
        <f>SUMIFS(Data_Final!$Y:$Y,Data_Final!$B:$B,$B30,Data_Final!$C:$C,F$25)</f>
        <v>15</v>
      </c>
      <c r="G30" s="108">
        <f>SUMIFS(Data_Final!$Y:$Y,Data_Final!$B:$B,$B30,Data_Final!$C:$C,G$25)</f>
        <v>12.12</v>
      </c>
      <c r="H30" s="110">
        <f t="shared" si="10"/>
        <v>83.800000000000011</v>
      </c>
      <c r="I30" s="101"/>
      <c r="Y30" s="7"/>
      <c r="Z30" s="7"/>
    </row>
    <row r="31" spans="2:27" x14ac:dyDescent="0.2">
      <c r="B31" s="201" t="s">
        <v>29</v>
      </c>
      <c r="C31" s="108">
        <f>SUMIFS(Data_Final!$Y:$Y,Data_Final!$B:$B,$B31,Data_Final!$C:$C,C$25)</f>
        <v>0</v>
      </c>
      <c r="D31" s="108">
        <f>SUMIFS(Data_Final!$Y:$Y,Data_Final!$B:$B,$B31,Data_Final!$C:$C,D$25)</f>
        <v>0</v>
      </c>
      <c r="E31" s="108">
        <f>SUMIFS(Data_Final!$Y:$Y,Data_Final!$B:$B,$B31,Data_Final!$C:$C,E$25)</f>
        <v>0</v>
      </c>
      <c r="F31" s="108">
        <f>SUMIFS(Data_Final!$Y:$Y,Data_Final!$B:$B,$B31,Data_Final!$C:$C,F$25)</f>
        <v>0</v>
      </c>
      <c r="G31" s="108">
        <f>SUMIFS(Data_Final!$Y:$Y,Data_Final!$B:$B,$B31,Data_Final!$C:$C,G$25)</f>
        <v>0</v>
      </c>
      <c r="H31" s="110">
        <f t="shared" si="10"/>
        <v>0</v>
      </c>
      <c r="I31" s="101"/>
      <c r="Y31" s="7"/>
      <c r="Z31" s="7"/>
    </row>
    <row r="32" spans="2:27" x14ac:dyDescent="0.2">
      <c r="B32" s="201" t="s">
        <v>108</v>
      </c>
      <c r="C32" s="108">
        <f>SUMIFS(Data_Final!$Y:$Y,Data_Final!$B:$B,$B32,Data_Final!$C:$C,C$25)</f>
        <v>0</v>
      </c>
      <c r="D32" s="108">
        <f>SUMIFS(Data_Final!$Y:$Y,Data_Final!$B:$B,$B32,Data_Final!$C:$C,D$25)</f>
        <v>0</v>
      </c>
      <c r="E32" s="108">
        <f>SUMIFS(Data_Final!$Y:$Y,Data_Final!$B:$B,$B32,Data_Final!$C:$C,E$25)</f>
        <v>0</v>
      </c>
      <c r="F32" s="108">
        <f>SUMIFS(Data_Final!$Y:$Y,Data_Final!$B:$B,$B32,Data_Final!$C:$C,F$25)</f>
        <v>0</v>
      </c>
      <c r="G32" s="108">
        <f>SUMIFS(Data_Final!$Y:$Y,Data_Final!$B:$B,$B32,Data_Final!$C:$C,G$25)</f>
        <v>0</v>
      </c>
      <c r="H32" s="110">
        <f t="shared" si="10"/>
        <v>0</v>
      </c>
      <c r="I32" s="101"/>
      <c r="Y32" s="7"/>
      <c r="Z32" s="7"/>
    </row>
    <row r="33" spans="2:26" x14ac:dyDescent="0.2">
      <c r="B33" s="201" t="s">
        <v>31</v>
      </c>
      <c r="C33" s="108">
        <f>SUMIFS(Data_Final!$Y:$Y,Data_Final!$B:$B,$B33,Data_Final!$C:$C,C$25)</f>
        <v>21</v>
      </c>
      <c r="D33" s="108">
        <f>SUMIFS(Data_Final!$Y:$Y,Data_Final!$B:$B,$B33,Data_Final!$C:$C,D$25)</f>
        <v>0</v>
      </c>
      <c r="E33" s="108">
        <f>SUMIFS(Data_Final!$Y:$Y,Data_Final!$B:$B,$B33,Data_Final!$C:$C,E$25)</f>
        <v>0</v>
      </c>
      <c r="F33" s="108">
        <f>SUMIFS(Data_Final!$Y:$Y,Data_Final!$B:$B,$B33,Data_Final!$C:$C,F$25)</f>
        <v>0</v>
      </c>
      <c r="G33" s="108">
        <f>SUMIFS(Data_Final!$Y:$Y,Data_Final!$B:$B,$B33,Data_Final!$C:$C,G$25)</f>
        <v>17.600000000000001</v>
      </c>
      <c r="H33" s="110">
        <f t="shared" si="10"/>
        <v>38.6</v>
      </c>
      <c r="I33" s="101"/>
      <c r="Y33" s="7"/>
      <c r="Z33" s="7"/>
    </row>
    <row r="34" spans="2:26" x14ac:dyDescent="0.2">
      <c r="B34" s="201" t="s">
        <v>27</v>
      </c>
      <c r="C34" s="108">
        <f>SUMIFS(Data_Final!$Y:$Y,Data_Final!$B:$B,$B34,Data_Final!$C:$C,C$25)</f>
        <v>0</v>
      </c>
      <c r="D34" s="108">
        <f>SUMIFS(Data_Final!$Y:$Y,Data_Final!$B:$B,$B34,Data_Final!$C:$C,D$25)</f>
        <v>0</v>
      </c>
      <c r="E34" s="108">
        <f>SUMIFS(Data_Final!$Y:$Y,Data_Final!$B:$B,$B34,Data_Final!$C:$C,E$25)</f>
        <v>3.98</v>
      </c>
      <c r="F34" s="108">
        <f>SUMIFS(Data_Final!$Y:$Y,Data_Final!$B:$B,$B34,Data_Final!$C:$C,F$25)</f>
        <v>0.56000000000000005</v>
      </c>
      <c r="G34" s="108">
        <f>SUMIFS(Data_Final!$Y:$Y,Data_Final!$B:$B,$B34,Data_Final!$C:$C,G$25)</f>
        <v>0.56000000000000005</v>
      </c>
      <c r="H34" s="110">
        <f t="shared" si="10"/>
        <v>5.0999999999999996</v>
      </c>
      <c r="I34" s="101"/>
      <c r="Y34" s="7"/>
      <c r="Z34" s="7"/>
    </row>
    <row r="35" spans="2:26" x14ac:dyDescent="0.2">
      <c r="B35" s="201" t="s">
        <v>33</v>
      </c>
      <c r="C35" s="108">
        <f>SUMIFS(Data_Final!$Y:$Y,Data_Final!$B:$B,$B35,Data_Final!$C:$C,C$25)</f>
        <v>0</v>
      </c>
      <c r="D35" s="108">
        <f>SUMIFS(Data_Final!$Y:$Y,Data_Final!$B:$B,$B35,Data_Final!$C:$C,D$25)</f>
        <v>0</v>
      </c>
      <c r="E35" s="108">
        <f>SUMIFS(Data_Final!$Y:$Y,Data_Final!$B:$B,$B35,Data_Final!$C:$C,E$25)</f>
        <v>0</v>
      </c>
      <c r="F35" s="108">
        <f>SUMIFS(Data_Final!$Y:$Y,Data_Final!$B:$B,$B35,Data_Final!$C:$C,F$25)</f>
        <v>0</v>
      </c>
      <c r="G35" s="108">
        <f>SUMIFS(Data_Final!$Y:$Y,Data_Final!$B:$B,$B35,Data_Final!$C:$C,G$25)</f>
        <v>0</v>
      </c>
      <c r="H35" s="110">
        <f t="shared" si="10"/>
        <v>0</v>
      </c>
      <c r="I35" s="101"/>
      <c r="Y35" s="7"/>
      <c r="Z35" s="7"/>
    </row>
    <row r="36" spans="2:26" x14ac:dyDescent="0.2">
      <c r="B36" s="201" t="s">
        <v>34</v>
      </c>
      <c r="C36" s="108">
        <f>SUMIFS(Data_Final!$Y:$Y,Data_Final!$B:$B,$B36,Data_Final!$C:$C,C$25)</f>
        <v>0</v>
      </c>
      <c r="D36" s="108">
        <f>SUMIFS(Data_Final!$Y:$Y,Data_Final!$B:$B,$B36,Data_Final!$C:$C,D$25)</f>
        <v>0</v>
      </c>
      <c r="E36" s="108">
        <f>SUMIFS(Data_Final!$Y:$Y,Data_Final!$B:$B,$B36,Data_Final!$C:$C,E$25)</f>
        <v>2</v>
      </c>
      <c r="F36" s="108">
        <f>SUMIFS(Data_Final!$Y:$Y,Data_Final!$B:$B,$B36,Data_Final!$C:$C,F$25)</f>
        <v>0</v>
      </c>
      <c r="G36" s="108">
        <f>SUMIFS(Data_Final!$Y:$Y,Data_Final!$B:$B,$B36,Data_Final!$C:$C,G$25)</f>
        <v>0</v>
      </c>
      <c r="H36" s="110">
        <f t="shared" si="10"/>
        <v>2</v>
      </c>
      <c r="I36" s="101"/>
      <c r="Y36" s="7"/>
      <c r="Z36" s="7"/>
    </row>
    <row r="37" spans="2:26" x14ac:dyDescent="0.2">
      <c r="B37" s="201" t="s">
        <v>35</v>
      </c>
      <c r="C37" s="108">
        <f>SUMIFS(Data_Final!$Y:$Y,Data_Final!$B:$B,$B37,Data_Final!$C:$C,C$25)</f>
        <v>2.0699999999999998</v>
      </c>
      <c r="D37" s="108">
        <f>SUMIFS(Data_Final!$Y:$Y,Data_Final!$B:$B,$B37,Data_Final!$C:$C,D$25)</f>
        <v>0.14000000000000001</v>
      </c>
      <c r="E37" s="108">
        <f>SUMIFS(Data_Final!$Y:$Y,Data_Final!$B:$B,$B37,Data_Final!$C:$C,E$25)</f>
        <v>1.32</v>
      </c>
      <c r="F37" s="108">
        <f>SUMIFS(Data_Final!$Y:$Y,Data_Final!$B:$B,$B37,Data_Final!$C:$C,F$25)</f>
        <v>5</v>
      </c>
      <c r="G37" s="108">
        <f>SUMIFS(Data_Final!$Y:$Y,Data_Final!$B:$B,$B37,Data_Final!$C:$C,G$25)</f>
        <v>0</v>
      </c>
      <c r="H37" s="110">
        <f t="shared" si="10"/>
        <v>8.5300000000000011</v>
      </c>
      <c r="I37" s="101"/>
      <c r="Y37" s="7"/>
      <c r="Z37" s="7"/>
    </row>
    <row r="38" spans="2:26" x14ac:dyDescent="0.2">
      <c r="B38" s="201" t="s">
        <v>36</v>
      </c>
      <c r="C38" s="108">
        <f>SUMIFS(Data_Final!$Y:$Y,Data_Final!$B:$B,$B38,Data_Final!$C:$C,C$25)</f>
        <v>0</v>
      </c>
      <c r="D38" s="108">
        <f>SUMIFS(Data_Final!$Y:$Y,Data_Final!$B:$B,$B38,Data_Final!$C:$C,D$25)</f>
        <v>0</v>
      </c>
      <c r="E38" s="108">
        <f>SUMIFS(Data_Final!$Y:$Y,Data_Final!$B:$B,$B38,Data_Final!$C:$C,E$25)</f>
        <v>0</v>
      </c>
      <c r="F38" s="108">
        <f>SUMIFS(Data_Final!$Y:$Y,Data_Final!$B:$B,$B38,Data_Final!$C:$C,F$25)</f>
        <v>0</v>
      </c>
      <c r="G38" s="108">
        <f>SUMIFS(Data_Final!$Y:$Y,Data_Final!$B:$B,$B38,Data_Final!$C:$C,G$25)</f>
        <v>0</v>
      </c>
      <c r="H38" s="110">
        <f t="shared" si="10"/>
        <v>0</v>
      </c>
      <c r="I38" s="101"/>
      <c r="Y38" s="7"/>
      <c r="Z38" s="7"/>
    </row>
    <row r="39" spans="2:26" x14ac:dyDescent="0.2">
      <c r="B39" s="201" t="s">
        <v>37</v>
      </c>
      <c r="C39" s="108">
        <f>SUMIFS(Data_Final!$Y:$Y,Data_Final!$B:$B,$B39,Data_Final!$C:$C,C$25)</f>
        <v>11.8</v>
      </c>
      <c r="D39" s="108">
        <f>SUMIFS(Data_Final!$Y:$Y,Data_Final!$B:$B,$B39,Data_Final!$C:$C,D$25)</f>
        <v>0</v>
      </c>
      <c r="E39" s="108">
        <f>SUMIFS(Data_Final!$Y:$Y,Data_Final!$B:$B,$B39,Data_Final!$C:$C,E$25)</f>
        <v>15</v>
      </c>
      <c r="F39" s="108">
        <f>SUMIFS(Data_Final!$Y:$Y,Data_Final!$B:$B,$B39,Data_Final!$C:$C,F$25)</f>
        <v>0</v>
      </c>
      <c r="G39" s="108">
        <f>SUMIFS(Data_Final!$Y:$Y,Data_Final!$B:$B,$B39,Data_Final!$C:$C,G$25)</f>
        <v>0</v>
      </c>
      <c r="H39" s="110">
        <f t="shared" si="10"/>
        <v>26.8</v>
      </c>
      <c r="I39" s="101"/>
      <c r="Y39" s="7"/>
      <c r="Z39" s="7"/>
    </row>
    <row r="40" spans="2:26" x14ac:dyDescent="0.2">
      <c r="B40" s="201" t="s">
        <v>40</v>
      </c>
      <c r="C40" s="108">
        <f>SUMIFS(Data_Final!$Y:$Y,Data_Final!$B:$B,$B40,Data_Final!$C:$C,C$25)</f>
        <v>0</v>
      </c>
      <c r="D40" s="108">
        <f>SUMIFS(Data_Final!$Y:$Y,Data_Final!$B:$B,$B40,Data_Final!$C:$C,D$25)</f>
        <v>0</v>
      </c>
      <c r="E40" s="108">
        <f>SUMIFS(Data_Final!$Y:$Y,Data_Final!$B:$B,$B40,Data_Final!$C:$C,E$25)</f>
        <v>0</v>
      </c>
      <c r="F40" s="108">
        <f>SUMIFS(Data_Final!$Y:$Y,Data_Final!$B:$B,$B40,Data_Final!$C:$C,F$25)</f>
        <v>0</v>
      </c>
      <c r="G40" s="108">
        <f>SUMIFS(Data_Final!$Y:$Y,Data_Final!$B:$B,$B40,Data_Final!$C:$C,G$25)</f>
        <v>0</v>
      </c>
      <c r="H40" s="110">
        <f t="shared" si="10"/>
        <v>0</v>
      </c>
      <c r="I40" s="101"/>
      <c r="Y40" s="7"/>
      <c r="Z40" s="7"/>
    </row>
    <row r="41" spans="2:26" x14ac:dyDescent="0.2">
      <c r="B41" s="201" t="s">
        <v>38</v>
      </c>
      <c r="C41" s="108">
        <f>SUMIFS(Data_Final!$Y:$Y,Data_Final!$B:$B,$B41,Data_Final!$C:$C,C$25)</f>
        <v>0</v>
      </c>
      <c r="D41" s="108">
        <f>SUMIFS(Data_Final!$Y:$Y,Data_Final!$B:$B,$B41,Data_Final!$C:$C,D$25)</f>
        <v>0</v>
      </c>
      <c r="E41" s="108">
        <f>SUMIFS(Data_Final!$Y:$Y,Data_Final!$B:$B,$B41,Data_Final!$C:$C,E$25)</f>
        <v>0</v>
      </c>
      <c r="F41" s="108">
        <f>SUMIFS(Data_Final!$Y:$Y,Data_Final!$B:$B,$B41,Data_Final!$C:$C,F$25)</f>
        <v>18.18</v>
      </c>
      <c r="G41" s="108">
        <f>SUMIFS(Data_Final!$Y:$Y,Data_Final!$B:$B,$B41,Data_Final!$C:$C,G$25)</f>
        <v>0</v>
      </c>
      <c r="H41" s="110">
        <f t="shared" si="10"/>
        <v>18.18</v>
      </c>
      <c r="I41" s="101"/>
      <c r="Y41" s="7"/>
      <c r="Z41" s="7"/>
    </row>
    <row r="42" spans="2:26" x14ac:dyDescent="0.2">
      <c r="B42" s="201" t="s">
        <v>39</v>
      </c>
      <c r="C42" s="108">
        <f>SUMIFS(Data_Final!$Y:$Y,Data_Final!$B:$B,$B42,Data_Final!$C:$C,C$25)</f>
        <v>2.2999999999999998</v>
      </c>
      <c r="D42" s="108">
        <f>SUMIFS(Data_Final!$Y:$Y,Data_Final!$B:$B,$B42,Data_Final!$C:$C,D$25)</f>
        <v>0</v>
      </c>
      <c r="E42" s="108">
        <f>SUMIFS(Data_Final!$Y:$Y,Data_Final!$B:$B,$B42,Data_Final!$C:$C,E$25)</f>
        <v>0</v>
      </c>
      <c r="F42" s="108">
        <f>SUMIFS(Data_Final!$Y:$Y,Data_Final!$B:$B,$B42,Data_Final!$C:$C,F$25)</f>
        <v>3.92</v>
      </c>
      <c r="G42" s="108">
        <f>SUMIFS(Data_Final!$Y:$Y,Data_Final!$B:$B,$B42,Data_Final!$C:$C,G$25)</f>
        <v>0</v>
      </c>
      <c r="H42" s="110">
        <f t="shared" si="10"/>
        <v>6.22</v>
      </c>
      <c r="I42" s="101"/>
      <c r="Y42" s="7"/>
      <c r="Z42" s="7"/>
    </row>
    <row r="43" spans="2:26" x14ac:dyDescent="0.2">
      <c r="B43" s="201" t="s">
        <v>107</v>
      </c>
      <c r="C43" s="108">
        <f>SUMIFS(Data_Final!$Y:$Y,Data_Final!$B:$B,$B43,Data_Final!$C:$C,C$25)</f>
        <v>0</v>
      </c>
      <c r="D43" s="108">
        <f>SUMIFS(Data_Final!$Y:$Y,Data_Final!$B:$B,$B43,Data_Final!$C:$C,D$25)</f>
        <v>0</v>
      </c>
      <c r="E43" s="108">
        <f>SUMIFS(Data_Final!$Y:$Y,Data_Final!$B:$B,$B43,Data_Final!$C:$C,E$25)</f>
        <v>0</v>
      </c>
      <c r="F43" s="108">
        <f>SUMIFS(Data_Final!$Y:$Y,Data_Final!$B:$B,$B43,Data_Final!$C:$C,F$25)</f>
        <v>0</v>
      </c>
      <c r="G43" s="108">
        <f>SUMIFS(Data_Final!$Y:$Y,Data_Final!$B:$B,$B43,Data_Final!$C:$C,G$25)</f>
        <v>0</v>
      </c>
      <c r="H43" s="110"/>
      <c r="I43" s="101"/>
      <c r="Y43" s="7"/>
      <c r="Z43" s="7"/>
    </row>
    <row r="44" spans="2:26" x14ac:dyDescent="0.2">
      <c r="B44" s="201" t="s">
        <v>109</v>
      </c>
      <c r="C44" s="108">
        <f>SUMIFS(Data_Final!$Y:$Y,Data_Final!$B:$B,$B44,Data_Final!$C:$C,C$25)</f>
        <v>0</v>
      </c>
      <c r="D44" s="108">
        <f>SUMIFS(Data_Final!$Y:$Y,Data_Final!$B:$B,$B44,Data_Final!$C:$C,D$25)</f>
        <v>0</v>
      </c>
      <c r="E44" s="108">
        <f>SUMIFS(Data_Final!$Y:$Y,Data_Final!$B:$B,$B44,Data_Final!$C:$C,E$25)</f>
        <v>0</v>
      </c>
      <c r="F44" s="108">
        <f>SUMIFS(Data_Final!$Y:$Y,Data_Final!$B:$B,$B44,Data_Final!$C:$C,F$25)</f>
        <v>0</v>
      </c>
      <c r="G44" s="108">
        <f>SUMIFS(Data_Final!$Y:$Y,Data_Final!$B:$B,$B44,Data_Final!$C:$C,G$25)</f>
        <v>0</v>
      </c>
      <c r="H44" s="110"/>
      <c r="I44" s="101"/>
      <c r="Y44" s="7"/>
      <c r="Z44" s="7"/>
    </row>
    <row r="45" spans="2:26" x14ac:dyDescent="0.2">
      <c r="B45" s="201" t="s">
        <v>110</v>
      </c>
      <c r="C45" s="108">
        <f>SUMIFS(Data_Final!$Y:$Y,Data_Final!$B:$B,$B45,Data_Final!$C:$C,C$25)</f>
        <v>0</v>
      </c>
      <c r="D45" s="108">
        <f>SUMIFS(Data_Final!$Y:$Y,Data_Final!$B:$B,$B45,Data_Final!$C:$C,D$25)</f>
        <v>0</v>
      </c>
      <c r="E45" s="108">
        <f>SUMIFS(Data_Final!$Y:$Y,Data_Final!$B:$B,$B45,Data_Final!$C:$C,E$25)</f>
        <v>0</v>
      </c>
      <c r="F45" s="108">
        <f>SUMIFS(Data_Final!$Y:$Y,Data_Final!$B:$B,$B45,Data_Final!$C:$C,F$25)</f>
        <v>0</v>
      </c>
      <c r="G45" s="108">
        <f>SUMIFS(Data_Final!$Y:$Y,Data_Final!$B:$B,$B45,Data_Final!$C:$C,G$25)</f>
        <v>0</v>
      </c>
      <c r="H45" s="110"/>
      <c r="I45" s="101"/>
      <c r="Y45" s="7"/>
      <c r="Z45" s="7"/>
    </row>
    <row r="46" spans="2:26" x14ac:dyDescent="0.2">
      <c r="B46" s="201" t="s">
        <v>111</v>
      </c>
      <c r="C46" s="108">
        <f>SUMIFS(Data_Final!$Y:$Y,Data_Final!$B:$B,$B46,Data_Final!$C:$C,C$25)</f>
        <v>0</v>
      </c>
      <c r="D46" s="108">
        <f>SUMIFS(Data_Final!$Y:$Y,Data_Final!$B:$B,$B46,Data_Final!$C:$C,D$25)</f>
        <v>0</v>
      </c>
      <c r="E46" s="108">
        <f>SUMIFS(Data_Final!$Y:$Y,Data_Final!$B:$B,$B46,Data_Final!$C:$C,E$25)</f>
        <v>0</v>
      </c>
      <c r="F46" s="108">
        <f>SUMIFS(Data_Final!$Y:$Y,Data_Final!$B:$B,$B46,Data_Final!$C:$C,F$25)</f>
        <v>0</v>
      </c>
      <c r="G46" s="108">
        <f>SUMIFS(Data_Final!$Y:$Y,Data_Final!$B:$B,$B46,Data_Final!$C:$C,G$25)</f>
        <v>0</v>
      </c>
      <c r="H46" s="110"/>
      <c r="I46" s="101"/>
      <c r="Y46" s="7"/>
      <c r="Z46" s="7"/>
    </row>
    <row r="47" spans="2:26" x14ac:dyDescent="0.2">
      <c r="B47" s="203" t="s">
        <v>313</v>
      </c>
      <c r="C47" s="204">
        <f>SUM(C26:C42)</f>
        <v>37.17</v>
      </c>
      <c r="D47" s="204">
        <f>SUM(D26:D42)</f>
        <v>23.14</v>
      </c>
      <c r="E47" s="204">
        <f>SUM(E26:E42)</f>
        <v>55.98</v>
      </c>
      <c r="F47" s="204">
        <f>SUM(F26:F42)</f>
        <v>42.660000000000004</v>
      </c>
      <c r="G47" s="204">
        <f>SUM(G26:G42)</f>
        <v>36.28</v>
      </c>
      <c r="H47" s="110">
        <f t="shared" ref="H47" si="11">SUM(H26:H42)</f>
        <v>195.23000000000002</v>
      </c>
      <c r="I47" s="101"/>
      <c r="Y47" s="7"/>
      <c r="Z47" s="7"/>
    </row>
    <row r="48" spans="2:26" x14ac:dyDescent="0.2">
      <c r="H48" s="260"/>
      <c r="I48" s="101"/>
      <c r="Y48" s="7"/>
      <c r="Z48" s="7"/>
    </row>
    <row r="49" spans="2:26" x14ac:dyDescent="0.2">
      <c r="B49" s="7" t="s">
        <v>370</v>
      </c>
      <c r="D49" s="7" t="s">
        <v>371</v>
      </c>
      <c r="H49" s="260"/>
      <c r="I49" s="101"/>
      <c r="Y49" s="7"/>
      <c r="Z49" s="7"/>
    </row>
    <row r="50" spans="2:26" ht="25.5" x14ac:dyDescent="0.2">
      <c r="B50" s="344" t="s">
        <v>312</v>
      </c>
      <c r="C50" s="344" t="s">
        <v>73</v>
      </c>
      <c r="D50" s="344" t="s">
        <v>74</v>
      </c>
      <c r="E50" s="344" t="s">
        <v>75</v>
      </c>
      <c r="F50" s="344" t="s">
        <v>76</v>
      </c>
      <c r="G50" s="344" t="s">
        <v>24</v>
      </c>
      <c r="H50" s="261" t="s">
        <v>369</v>
      </c>
      <c r="Y50" s="7"/>
      <c r="Z50" s="7"/>
    </row>
    <row r="51" spans="2:26" x14ac:dyDescent="0.2">
      <c r="B51" s="201" t="s">
        <v>26</v>
      </c>
      <c r="C51" s="108">
        <f>SUMIFS(Data_Final!$Z:$Z,Data_Final!$B:$B,$B51,Data_Final!$C:$C,C$50)</f>
        <v>11.62</v>
      </c>
      <c r="D51" s="108">
        <f>SUMIFS(Data_Final!$Z:$Z,Data_Final!$B:$B,$B51,Data_Final!$C:$C,D$50)</f>
        <v>10.95</v>
      </c>
      <c r="E51" s="108">
        <f>SUMIFS(Data_Final!$Z:$Z,Data_Final!$B:$B,$B51,Data_Final!$C:$C,E$50)</f>
        <v>11.64</v>
      </c>
      <c r="F51" s="108">
        <f>SUMIFS(Data_Final!$Z:$Z,Data_Final!$B:$B,$B51,Data_Final!$C:$C,F$50)</f>
        <v>11.67</v>
      </c>
      <c r="G51" s="108">
        <f>SUMIFS(Data_Final!$Z:$Z,Data_Final!$B:$B,$B51,Data_Final!$C:$C,G$50)</f>
        <v>10.37</v>
      </c>
      <c r="H51" s="110">
        <f t="shared" ref="H51:H67" si="12">SUM(C51:G51)</f>
        <v>56.25</v>
      </c>
      <c r="I51" s="101"/>
      <c r="Y51" s="7"/>
      <c r="Z51" s="7"/>
    </row>
    <row r="52" spans="2:26" x14ac:dyDescent="0.2">
      <c r="B52" s="201" t="s">
        <v>106</v>
      </c>
      <c r="C52" s="108">
        <f>SUMIFS(Data_Final!$Z:$Z,Data_Final!$B:$B,$B52,Data_Final!$C:$C,C$50)</f>
        <v>0.43661491466276803</v>
      </c>
      <c r="D52" s="108">
        <f>SUMIFS(Data_Final!$Z:$Z,Data_Final!$B:$B,$B52,Data_Final!$C:$C,D$50)</f>
        <v>0.43563471273246002</v>
      </c>
      <c r="E52" s="108">
        <f>SUMIFS(Data_Final!$Z:$Z,Data_Final!$B:$B,$B52,Data_Final!$C:$C,E$50)</f>
        <v>0.43562930742116901</v>
      </c>
      <c r="F52" s="108">
        <f>SUMIFS(Data_Final!$Z:$Z,Data_Final!$B:$B,$B52,Data_Final!$C:$C,F$50)</f>
        <v>0.43562374834568102</v>
      </c>
      <c r="G52" s="108">
        <f>SUMIFS(Data_Final!$Z:$Z,Data_Final!$B:$B,$B52,Data_Final!$C:$C,G$50)</f>
        <v>0.43561845266001198</v>
      </c>
      <c r="H52" s="110">
        <f t="shared" si="12"/>
        <v>2.1791211358220899</v>
      </c>
      <c r="I52" s="101"/>
      <c r="Y52" s="7"/>
      <c r="Z52" s="7"/>
    </row>
    <row r="53" spans="2:26" x14ac:dyDescent="0.2">
      <c r="B53" s="201" t="s">
        <v>28</v>
      </c>
      <c r="C53" s="108">
        <f>SUMIFS(Data_Final!$Z:$Z,Data_Final!$B:$B,$B53,Data_Final!$C:$C,C$50)</f>
        <v>16.25</v>
      </c>
      <c r="D53" s="108">
        <f>SUMIFS(Data_Final!$Z:$Z,Data_Final!$B:$B,$B53,Data_Final!$C:$C,D$50)</f>
        <v>30.9</v>
      </c>
      <c r="E53" s="108">
        <f>SUMIFS(Data_Final!$Z:$Z,Data_Final!$B:$B,$B53,Data_Final!$C:$C,E$50)</f>
        <v>31.3</v>
      </c>
      <c r="F53" s="108">
        <f>SUMIFS(Data_Final!$Z:$Z,Data_Final!$B:$B,$B53,Data_Final!$C:$C,F$50)</f>
        <v>30.78</v>
      </c>
      <c r="G53" s="108">
        <f>SUMIFS(Data_Final!$Z:$Z,Data_Final!$B:$B,$B53,Data_Final!$C:$C,G$50)</f>
        <v>30.47</v>
      </c>
      <c r="H53" s="110">
        <f t="shared" si="12"/>
        <v>139.69999999999999</v>
      </c>
      <c r="I53" s="101"/>
      <c r="Y53" s="7"/>
      <c r="Z53" s="7"/>
    </row>
    <row r="54" spans="2:26" x14ac:dyDescent="0.2">
      <c r="B54" s="201" t="s">
        <v>32</v>
      </c>
      <c r="C54" s="108">
        <f>SUMIFS(Data_Final!$Z:$Z,Data_Final!$B:$B,$B54,Data_Final!$C:$C,C$50)</f>
        <v>0</v>
      </c>
      <c r="D54" s="108">
        <f>SUMIFS(Data_Final!$Z:$Z,Data_Final!$B:$B,$B54,Data_Final!$C:$C,D$50)</f>
        <v>8.93454535198663</v>
      </c>
      <c r="E54" s="108">
        <f>SUMIFS(Data_Final!$Z:$Z,Data_Final!$B:$B,$B54,Data_Final!$C:$C,E$50)</f>
        <v>8.9700000000000006</v>
      </c>
      <c r="F54" s="108">
        <f>SUMIFS(Data_Final!$Z:$Z,Data_Final!$B:$B,$B54,Data_Final!$C:$C,F$50)</f>
        <v>13.45</v>
      </c>
      <c r="G54" s="108">
        <f>SUMIFS(Data_Final!$Z:$Z,Data_Final!$B:$B,$B54,Data_Final!$C:$C,G$50)</f>
        <v>35.85</v>
      </c>
      <c r="H54" s="110">
        <f t="shared" si="12"/>
        <v>67.204545351986638</v>
      </c>
      <c r="I54" s="101"/>
      <c r="Y54" s="7"/>
      <c r="Z54" s="7"/>
    </row>
    <row r="55" spans="2:26" x14ac:dyDescent="0.2">
      <c r="B55" s="201" t="s">
        <v>30</v>
      </c>
      <c r="C55" s="108">
        <f>SUMIFS(Data_Final!$Z:$Z,Data_Final!$B:$B,$B55,Data_Final!$C:$C,C$50)</f>
        <v>15.28</v>
      </c>
      <c r="D55" s="108">
        <f>SUMIFS(Data_Final!$Z:$Z,Data_Final!$B:$B,$B55,Data_Final!$C:$C,D$50)</f>
        <v>5.68</v>
      </c>
      <c r="E55" s="108">
        <f>SUMIFS(Data_Final!$Z:$Z,Data_Final!$B:$B,$B55,Data_Final!$C:$C,E$50)</f>
        <v>4.51</v>
      </c>
      <c r="F55" s="108">
        <f>SUMIFS(Data_Final!$Z:$Z,Data_Final!$B:$B,$B55,Data_Final!$C:$C,F$50)</f>
        <v>6.67</v>
      </c>
      <c r="G55" s="108">
        <f>SUMIFS(Data_Final!$Z:$Z,Data_Final!$B:$B,$B55,Data_Final!$C:$C,G$50)</f>
        <v>5.54</v>
      </c>
      <c r="H55" s="110">
        <f t="shared" si="12"/>
        <v>37.68</v>
      </c>
      <c r="I55" s="101"/>
      <c r="Y55" s="7"/>
      <c r="Z55" s="7"/>
    </row>
    <row r="56" spans="2:26" x14ac:dyDescent="0.2">
      <c r="B56" s="201" t="s">
        <v>29</v>
      </c>
      <c r="C56" s="108">
        <f>SUMIFS(Data_Final!$Z:$Z,Data_Final!$B:$B,$B56,Data_Final!$C:$C,C$50)</f>
        <v>2.06</v>
      </c>
      <c r="D56" s="108">
        <f>SUMIFS(Data_Final!$Z:$Z,Data_Final!$B:$B,$B56,Data_Final!$C:$C,D$50)</f>
        <v>19.57</v>
      </c>
      <c r="E56" s="108">
        <f>SUMIFS(Data_Final!$Z:$Z,Data_Final!$B:$B,$B56,Data_Final!$C:$C,E$50)</f>
        <v>29.0004332033247</v>
      </c>
      <c r="F56" s="108">
        <f>SUMIFS(Data_Final!$Z:$Z,Data_Final!$B:$B,$B56,Data_Final!$C:$C,F$50)</f>
        <v>35.060433203324699</v>
      </c>
      <c r="G56" s="108">
        <f>SUMIFS(Data_Final!$Z:$Z,Data_Final!$B:$B,$B56,Data_Final!$C:$C,G$50)</f>
        <v>17.920435316341901</v>
      </c>
      <c r="H56" s="110">
        <f t="shared" si="12"/>
        <v>103.6113017229913</v>
      </c>
      <c r="I56" s="101"/>
      <c r="Y56" s="7"/>
      <c r="Z56" s="7"/>
    </row>
    <row r="57" spans="2:26" x14ac:dyDescent="0.2">
      <c r="B57" s="201" t="s">
        <v>108</v>
      </c>
      <c r="C57" s="108">
        <f>SUMIFS(Data_Final!$Z:$Z,Data_Final!$B:$B,$B57,Data_Final!$C:$C,C$50)</f>
        <v>7.6</v>
      </c>
      <c r="D57" s="108">
        <f>SUMIFS(Data_Final!$Z:$Z,Data_Final!$B:$B,$B57,Data_Final!$C:$C,D$50)</f>
        <v>5.63</v>
      </c>
      <c r="E57" s="108">
        <f>SUMIFS(Data_Final!$Z:$Z,Data_Final!$B:$B,$B57,Data_Final!$C:$C,E$50)</f>
        <v>5.54</v>
      </c>
      <c r="F57" s="108">
        <f>SUMIFS(Data_Final!$Z:$Z,Data_Final!$B:$B,$B57,Data_Final!$C:$C,F$50)</f>
        <v>5.66</v>
      </c>
      <c r="G57" s="108">
        <f>SUMIFS(Data_Final!$Z:$Z,Data_Final!$B:$B,$B57,Data_Final!$C:$C,G$50)</f>
        <v>5.51</v>
      </c>
      <c r="H57" s="110">
        <f t="shared" si="12"/>
        <v>29.939999999999998</v>
      </c>
      <c r="I57" s="101"/>
      <c r="Y57" s="7"/>
      <c r="Z57" s="7"/>
    </row>
    <row r="58" spans="2:26" x14ac:dyDescent="0.2">
      <c r="B58" s="201" t="s">
        <v>31</v>
      </c>
      <c r="C58" s="108">
        <f>SUMIFS(Data_Final!$Z:$Z,Data_Final!$B:$B,$B58,Data_Final!$C:$C,C$50)</f>
        <v>56.506875798207098</v>
      </c>
      <c r="D58" s="108">
        <f>SUMIFS(Data_Final!$Z:$Z,Data_Final!$B:$B,$B58,Data_Final!$C:$C,D$50)</f>
        <v>35.125278853539399</v>
      </c>
      <c r="E58" s="108">
        <f>SUMIFS(Data_Final!$Z:$Z,Data_Final!$B:$B,$B58,Data_Final!$C:$C,E$50)</f>
        <v>39.348355730924602</v>
      </c>
      <c r="F58" s="108">
        <f>SUMIFS(Data_Final!$Z:$Z,Data_Final!$B:$B,$B58,Data_Final!$C:$C,F$50)</f>
        <v>38.810216073662097</v>
      </c>
      <c r="G58" s="108">
        <f>SUMIFS(Data_Final!$Z:$Z,Data_Final!$B:$B,$B58,Data_Final!$C:$C,G$50)</f>
        <v>32.987767725622199</v>
      </c>
      <c r="H58" s="110">
        <f t="shared" si="12"/>
        <v>202.77849418195541</v>
      </c>
      <c r="I58" s="101"/>
      <c r="Y58" s="7"/>
      <c r="Z58" s="7"/>
    </row>
    <row r="59" spans="2:26" x14ac:dyDescent="0.2">
      <c r="B59" s="201" t="s">
        <v>27</v>
      </c>
      <c r="C59" s="108">
        <f>SUMIFS(Data_Final!$Z:$Z,Data_Final!$B:$B,$B59,Data_Final!$C:$C,C$50)</f>
        <v>0</v>
      </c>
      <c r="D59" s="108">
        <f>SUMIFS(Data_Final!$Z:$Z,Data_Final!$B:$B,$B59,Data_Final!$C:$C,D$50)</f>
        <v>0</v>
      </c>
      <c r="E59" s="108">
        <f>SUMIFS(Data_Final!$Z:$Z,Data_Final!$B:$B,$B59,Data_Final!$C:$C,E$50)</f>
        <v>0</v>
      </c>
      <c r="F59" s="108">
        <f>SUMIFS(Data_Final!$Z:$Z,Data_Final!$B:$B,$B59,Data_Final!$C:$C,F$50)</f>
        <v>0</v>
      </c>
      <c r="G59" s="108">
        <f>SUMIFS(Data_Final!$Z:$Z,Data_Final!$B:$B,$B59,Data_Final!$C:$C,G$50)</f>
        <v>0</v>
      </c>
      <c r="H59" s="110">
        <f t="shared" si="12"/>
        <v>0</v>
      </c>
      <c r="I59" s="101"/>
      <c r="Y59" s="7"/>
      <c r="Z59" s="7"/>
    </row>
    <row r="60" spans="2:26" x14ac:dyDescent="0.2">
      <c r="B60" s="201" t="s">
        <v>33</v>
      </c>
      <c r="C60" s="108">
        <f>SUMIFS(Data_Final!$Z:$Z,Data_Final!$B:$B,$B60,Data_Final!$C:$C,C$50)</f>
        <v>3.87</v>
      </c>
      <c r="D60" s="108">
        <f>SUMIFS(Data_Final!$Z:$Z,Data_Final!$B:$B,$B60,Data_Final!$C:$C,D$50)</f>
        <v>3.83</v>
      </c>
      <c r="E60" s="108">
        <f>SUMIFS(Data_Final!$Z:$Z,Data_Final!$B:$B,$B60,Data_Final!$C:$C,E$50)</f>
        <v>3.79</v>
      </c>
      <c r="F60" s="108">
        <f>SUMIFS(Data_Final!$Z:$Z,Data_Final!$B:$B,$B60,Data_Final!$C:$C,F$50)</f>
        <v>3.75</v>
      </c>
      <c r="G60" s="108">
        <f>SUMIFS(Data_Final!$Z:$Z,Data_Final!$B:$B,$B60,Data_Final!$C:$C,G$50)</f>
        <v>3.72</v>
      </c>
      <c r="H60" s="110">
        <f t="shared" si="12"/>
        <v>18.96</v>
      </c>
      <c r="I60" s="101"/>
      <c r="Y60" s="7"/>
      <c r="Z60" s="7"/>
    </row>
    <row r="61" spans="2:26" x14ac:dyDescent="0.2">
      <c r="B61" s="201" t="s">
        <v>34</v>
      </c>
      <c r="C61" s="108">
        <f>SUMIFS(Data_Final!$Z:$Z,Data_Final!$B:$B,$B61,Data_Final!$C:$C,C$50)</f>
        <v>13.45</v>
      </c>
      <c r="D61" s="108">
        <f>SUMIFS(Data_Final!$Z:$Z,Data_Final!$B:$B,$B61,Data_Final!$C:$C,D$50)</f>
        <v>13.45</v>
      </c>
      <c r="E61" s="108">
        <f>SUMIFS(Data_Final!$Z:$Z,Data_Final!$B:$B,$B61,Data_Final!$C:$C,E$50)</f>
        <v>13.45</v>
      </c>
      <c r="F61" s="108">
        <f>SUMIFS(Data_Final!$Z:$Z,Data_Final!$B:$B,$B61,Data_Final!$C:$C,F$50)</f>
        <v>13.45</v>
      </c>
      <c r="G61" s="108">
        <f>SUMIFS(Data_Final!$Z:$Z,Data_Final!$B:$B,$B61,Data_Final!$C:$C,G$50)</f>
        <v>13.45</v>
      </c>
      <c r="H61" s="110">
        <f t="shared" si="12"/>
        <v>67.25</v>
      </c>
      <c r="I61" s="101"/>
      <c r="Y61" s="7"/>
      <c r="Z61" s="7"/>
    </row>
    <row r="62" spans="2:26" x14ac:dyDescent="0.2">
      <c r="B62" s="201" t="s">
        <v>35</v>
      </c>
      <c r="C62" s="108">
        <f>SUMIFS(Data_Final!$Z:$Z,Data_Final!$B:$B,$B62,Data_Final!$C:$C,C$50)</f>
        <v>11.979289041942099</v>
      </c>
      <c r="D62" s="108">
        <f>SUMIFS(Data_Final!$Z:$Z,Data_Final!$B:$B,$B62,Data_Final!$C:$C,D$50)</f>
        <v>11.3284683759421</v>
      </c>
      <c r="E62" s="108">
        <f>SUMIFS(Data_Final!$Z:$Z,Data_Final!$B:$B,$B62,Data_Final!$C:$C,E$50)</f>
        <v>11.8766442319421</v>
      </c>
      <c r="F62" s="108">
        <f>SUMIFS(Data_Final!$Z:$Z,Data_Final!$B:$B,$B62,Data_Final!$C:$C,F$50)</f>
        <v>14.029746141249699</v>
      </c>
      <c r="G62" s="108">
        <f>SUMIFS(Data_Final!$Z:$Z,Data_Final!$B:$B,$B62,Data_Final!$C:$C,G$50)</f>
        <v>9.7390218386345104</v>
      </c>
      <c r="H62" s="110">
        <f t="shared" si="12"/>
        <v>58.953169629710516</v>
      </c>
      <c r="I62" s="101"/>
      <c r="Y62" s="7"/>
      <c r="Z62" s="7"/>
    </row>
    <row r="63" spans="2:26" x14ac:dyDescent="0.2">
      <c r="B63" s="201" t="s">
        <v>36</v>
      </c>
      <c r="C63" s="108">
        <f>SUMIFS(Data_Final!$Z:$Z,Data_Final!$B:$B,$B63,Data_Final!$C:$C,C$50)</f>
        <v>1.04</v>
      </c>
      <c r="D63" s="108">
        <f>SUMIFS(Data_Final!$Z:$Z,Data_Final!$B:$B,$B63,Data_Final!$C:$C,D$50)</f>
        <v>1.04</v>
      </c>
      <c r="E63" s="108">
        <f>SUMIFS(Data_Final!$Z:$Z,Data_Final!$B:$B,$B63,Data_Final!$C:$C,E$50)</f>
        <v>1.54</v>
      </c>
      <c r="F63" s="108">
        <f>SUMIFS(Data_Final!$Z:$Z,Data_Final!$B:$B,$B63,Data_Final!$C:$C,F$50)</f>
        <v>1.54</v>
      </c>
      <c r="G63" s="108">
        <f>SUMIFS(Data_Final!$Z:$Z,Data_Final!$B:$B,$B63,Data_Final!$C:$C,G$50)</f>
        <v>1.53</v>
      </c>
      <c r="H63" s="110">
        <f t="shared" si="12"/>
        <v>6.69</v>
      </c>
      <c r="I63" s="101"/>
      <c r="Y63" s="7"/>
      <c r="Z63" s="7"/>
    </row>
    <row r="64" spans="2:26" x14ac:dyDescent="0.2">
      <c r="B64" s="201" t="s">
        <v>37</v>
      </c>
      <c r="C64" s="108">
        <f>SUMIFS(Data_Final!$Z:$Z,Data_Final!$B:$B,$B64,Data_Final!$C:$C,C$50)</f>
        <v>0</v>
      </c>
      <c r="D64" s="108">
        <f>SUMIFS(Data_Final!$Z:$Z,Data_Final!$B:$B,$B64,Data_Final!$C:$C,D$50)</f>
        <v>0</v>
      </c>
      <c r="E64" s="108">
        <f>SUMIFS(Data_Final!$Z:$Z,Data_Final!$B:$B,$B64,Data_Final!$C:$C,E$50)</f>
        <v>0</v>
      </c>
      <c r="F64" s="108">
        <f>SUMIFS(Data_Final!$Z:$Z,Data_Final!$B:$B,$B64,Data_Final!$C:$C,F$50)</f>
        <v>0</v>
      </c>
      <c r="G64" s="108">
        <f>SUMIFS(Data_Final!$Z:$Z,Data_Final!$B:$B,$B64,Data_Final!$C:$C,G$50)</f>
        <v>0</v>
      </c>
      <c r="H64" s="110">
        <f t="shared" si="12"/>
        <v>0</v>
      </c>
      <c r="I64" s="101"/>
      <c r="Y64" s="7"/>
      <c r="Z64" s="7"/>
    </row>
    <row r="65" spans="2:26" x14ac:dyDescent="0.2">
      <c r="B65" s="201" t="s">
        <v>40</v>
      </c>
      <c r="C65" s="108">
        <f>SUMIFS(Data_Final!$Z:$Z,Data_Final!$B:$B,$B65,Data_Final!$C:$C,C$50)</f>
        <v>1.72</v>
      </c>
      <c r="D65" s="108">
        <f>SUMIFS(Data_Final!$Z:$Z,Data_Final!$B:$B,$B65,Data_Final!$C:$C,D$50)</f>
        <v>1.73</v>
      </c>
      <c r="E65" s="108">
        <f>SUMIFS(Data_Final!$Z:$Z,Data_Final!$B:$B,$B65,Data_Final!$C:$C,E$50)</f>
        <v>1.73</v>
      </c>
      <c r="F65" s="108">
        <f>SUMIFS(Data_Final!$Z:$Z,Data_Final!$B:$B,$B65,Data_Final!$C:$C,F$50)</f>
        <v>1.73</v>
      </c>
      <c r="G65" s="108">
        <f>SUMIFS(Data_Final!$Z:$Z,Data_Final!$B:$B,$B65,Data_Final!$C:$C,G$50)</f>
        <v>1.73</v>
      </c>
      <c r="H65" s="110">
        <f t="shared" si="12"/>
        <v>8.64</v>
      </c>
      <c r="I65" s="101"/>
      <c r="Y65" s="7"/>
      <c r="Z65" s="7"/>
    </row>
    <row r="66" spans="2:26" x14ac:dyDescent="0.2">
      <c r="B66" s="201" t="s">
        <v>38</v>
      </c>
      <c r="C66" s="108">
        <f>SUMIFS(Data_Final!$Z:$Z,Data_Final!$B:$B,$B66,Data_Final!$C:$C,C$50)</f>
        <v>2.74</v>
      </c>
      <c r="D66" s="108">
        <f>SUMIFS(Data_Final!$Z:$Z,Data_Final!$B:$B,$B66,Data_Final!$C:$C,D$50)</f>
        <v>3.51</v>
      </c>
      <c r="E66" s="108">
        <f>SUMIFS(Data_Final!$Z:$Z,Data_Final!$B:$B,$B66,Data_Final!$C:$C,E$50)</f>
        <v>6.55</v>
      </c>
      <c r="F66" s="108">
        <f>SUMIFS(Data_Final!$Z:$Z,Data_Final!$B:$B,$B66,Data_Final!$C:$C,F$50)</f>
        <v>6.95</v>
      </c>
      <c r="G66" s="108">
        <f>SUMIFS(Data_Final!$Z:$Z,Data_Final!$B:$B,$B66,Data_Final!$C:$C,G$50)</f>
        <v>6.86</v>
      </c>
      <c r="H66" s="110">
        <f t="shared" si="12"/>
        <v>26.61</v>
      </c>
      <c r="I66" s="101"/>
      <c r="Y66" s="7"/>
      <c r="Z66" s="7"/>
    </row>
    <row r="67" spans="2:26" x14ac:dyDescent="0.2">
      <c r="B67" s="201" t="s">
        <v>39</v>
      </c>
      <c r="C67" s="108">
        <f>SUMIFS(Data_Final!$Z:$Z,Data_Final!$B:$B,$B67,Data_Final!$C:$C,C$50)</f>
        <v>5.59</v>
      </c>
      <c r="D67" s="108">
        <f>SUMIFS(Data_Final!$Z:$Z,Data_Final!$B:$B,$B67,Data_Final!$C:$C,D$50)</f>
        <v>4.62</v>
      </c>
      <c r="E67" s="108">
        <f>SUMIFS(Data_Final!$Z:$Z,Data_Final!$B:$B,$B67,Data_Final!$C:$C,E$50)</f>
        <v>4.62</v>
      </c>
      <c r="F67" s="108">
        <f>SUMIFS(Data_Final!$Z:$Z,Data_Final!$B:$B,$B67,Data_Final!$C:$C,F$50)</f>
        <v>4.63</v>
      </c>
      <c r="G67" s="108">
        <f>SUMIFS(Data_Final!$Z:$Z,Data_Final!$B:$B,$B67,Data_Final!$C:$C,G$50)</f>
        <v>4.6399999999999997</v>
      </c>
      <c r="H67" s="110">
        <f t="shared" si="12"/>
        <v>24.1</v>
      </c>
      <c r="I67" s="101"/>
      <c r="Y67" s="7"/>
      <c r="Z67" s="7"/>
    </row>
    <row r="68" spans="2:26" x14ac:dyDescent="0.2">
      <c r="B68" s="201" t="s">
        <v>107</v>
      </c>
      <c r="C68" s="108">
        <f>SUMIFS(Data_Final!$Z:$Z,Data_Final!$B:$B,$B68,Data_Final!$C:$C,C$50)</f>
        <v>0</v>
      </c>
      <c r="D68" s="108">
        <f>SUMIFS(Data_Final!$Z:$Z,Data_Final!$B:$B,$B68,Data_Final!$C:$C,D$50)</f>
        <v>0</v>
      </c>
      <c r="E68" s="108">
        <f>SUMIFS(Data_Final!$Z:$Z,Data_Final!$B:$B,$B68,Data_Final!$C:$C,E$50)</f>
        <v>0</v>
      </c>
      <c r="F68" s="108">
        <f>SUMIFS(Data_Final!$Z:$Z,Data_Final!$B:$B,$B68,Data_Final!$C:$C,F$50)</f>
        <v>0</v>
      </c>
      <c r="G68" s="108">
        <f>SUMIFS(Data_Final!$Z:$Z,Data_Final!$B:$B,$B68,Data_Final!$C:$C,G$50)</f>
        <v>0</v>
      </c>
      <c r="H68" s="110"/>
      <c r="I68" s="101"/>
      <c r="Y68" s="7"/>
      <c r="Z68" s="7"/>
    </row>
    <row r="69" spans="2:26" x14ac:dyDescent="0.2">
      <c r="B69" s="201" t="s">
        <v>109</v>
      </c>
      <c r="C69" s="108">
        <f>SUMIFS(Data_Final!$Z:$Z,Data_Final!$B:$B,$B69,Data_Final!$C:$C,C$50)</f>
        <v>0</v>
      </c>
      <c r="D69" s="108">
        <f>SUMIFS(Data_Final!$Z:$Z,Data_Final!$B:$B,$B69,Data_Final!$C:$C,D$50)</f>
        <v>0</v>
      </c>
      <c r="E69" s="108">
        <f>SUMIFS(Data_Final!$Z:$Z,Data_Final!$B:$B,$B69,Data_Final!$C:$C,E$50)</f>
        <v>0</v>
      </c>
      <c r="F69" s="108">
        <f>SUMIFS(Data_Final!$Z:$Z,Data_Final!$B:$B,$B69,Data_Final!$C:$C,F$50)</f>
        <v>0</v>
      </c>
      <c r="G69" s="108">
        <f>SUMIFS(Data_Final!$Z:$Z,Data_Final!$B:$B,$B69,Data_Final!$C:$C,G$50)</f>
        <v>0</v>
      </c>
      <c r="H69" s="110"/>
      <c r="I69" s="101"/>
      <c r="N69" s="185"/>
      <c r="Y69" s="7"/>
      <c r="Z69" s="7"/>
    </row>
    <row r="70" spans="2:26" x14ac:dyDescent="0.2">
      <c r="B70" s="201" t="s">
        <v>110</v>
      </c>
      <c r="C70" s="108">
        <f>SUMIFS(Data_Final!$Z:$Z,Data_Final!$B:$B,$B70,Data_Final!$C:$C,C$50)</f>
        <v>0</v>
      </c>
      <c r="D70" s="108">
        <f>SUMIFS(Data_Final!$Z:$Z,Data_Final!$B:$B,$B70,Data_Final!$C:$C,D$50)</f>
        <v>0</v>
      </c>
      <c r="E70" s="108">
        <f>SUMIFS(Data_Final!$Z:$Z,Data_Final!$B:$B,$B70,Data_Final!$C:$C,E$50)</f>
        <v>0</v>
      </c>
      <c r="F70" s="108">
        <f>SUMIFS(Data_Final!$Z:$Z,Data_Final!$B:$B,$B70,Data_Final!$C:$C,F$50)</f>
        <v>0</v>
      </c>
      <c r="G70" s="108">
        <f>SUMIFS(Data_Final!$Z:$Z,Data_Final!$B:$B,$B70,Data_Final!$C:$C,G$50)</f>
        <v>0</v>
      </c>
      <c r="H70" s="110"/>
      <c r="I70" s="101"/>
      <c r="N70" s="185"/>
      <c r="Y70" s="7"/>
      <c r="Z70" s="7"/>
    </row>
    <row r="71" spans="2:26" x14ac:dyDescent="0.2">
      <c r="B71" s="201" t="s">
        <v>111</v>
      </c>
      <c r="C71" s="108">
        <f>SUMIFS(Data_Final!$Z:$Z,Data_Final!$B:$B,$B71,Data_Final!$C:$C,C$50)</f>
        <v>0</v>
      </c>
      <c r="D71" s="108">
        <f>SUMIFS(Data_Final!$Z:$Z,Data_Final!$B:$B,$B71,Data_Final!$C:$C,D$50)</f>
        <v>0</v>
      </c>
      <c r="E71" s="108">
        <f>SUMIFS(Data_Final!$Z:$Z,Data_Final!$B:$B,$B71,Data_Final!$C:$C,E$50)</f>
        <v>0</v>
      </c>
      <c r="F71" s="108">
        <f>SUMIFS(Data_Final!$Z:$Z,Data_Final!$B:$B,$B71,Data_Final!$C:$C,F$50)</f>
        <v>0</v>
      </c>
      <c r="G71" s="108">
        <f>SUMIFS(Data_Final!$Z:$Z,Data_Final!$B:$B,$B71,Data_Final!$C:$C,G$50)</f>
        <v>0</v>
      </c>
      <c r="H71" s="110"/>
      <c r="I71" s="101"/>
      <c r="N71" s="432"/>
      <c r="Y71" s="7"/>
      <c r="Z71" s="7"/>
    </row>
    <row r="72" spans="2:26" x14ac:dyDescent="0.2">
      <c r="B72" s="203" t="s">
        <v>313</v>
      </c>
      <c r="C72" s="204">
        <f>SUM(C51:C67)</f>
        <v>150.14277975481198</v>
      </c>
      <c r="D72" s="204">
        <f>SUM(D51:D67)</f>
        <v>156.73392729420056</v>
      </c>
      <c r="E72" s="204">
        <f>SUM(E51:E67)</f>
        <v>174.30106247361255</v>
      </c>
      <c r="F72" s="204">
        <f>SUM(F51:F67)</f>
        <v>188.61601916658213</v>
      </c>
      <c r="G72" s="204">
        <f>SUM(G51:G67)</f>
        <v>180.7528433332586</v>
      </c>
      <c r="H72" s="110">
        <f t="shared" ref="H72" si="13">SUM(H51:H67)</f>
        <v>850.54663202246604</v>
      </c>
      <c r="I72" s="101"/>
      <c r="Y72" s="7"/>
      <c r="Z72" s="7"/>
    </row>
    <row r="74" spans="2:26" x14ac:dyDescent="0.2">
      <c r="B74" s="7" t="s">
        <v>370</v>
      </c>
      <c r="D74" s="7" t="s">
        <v>372</v>
      </c>
      <c r="G74" s="468"/>
      <c r="H74" s="469"/>
    </row>
    <row r="75" spans="2:26" x14ac:dyDescent="0.2">
      <c r="C75" s="344" t="s">
        <v>72</v>
      </c>
      <c r="D75" s="344" t="s">
        <v>24</v>
      </c>
      <c r="E75" s="344" t="s">
        <v>24</v>
      </c>
      <c r="F75" s="344" t="s">
        <v>24</v>
      </c>
      <c r="G75" s="707" t="s">
        <v>373</v>
      </c>
      <c r="H75" s="709"/>
      <c r="I75" s="707" t="s">
        <v>849</v>
      </c>
      <c r="J75" s="708"/>
      <c r="P75" s="260"/>
      <c r="Q75" s="101"/>
      <c r="Y75" s="7"/>
      <c r="Z75" s="7"/>
    </row>
    <row r="76" spans="2:26" ht="77.25" customHeight="1" x14ac:dyDescent="0.2">
      <c r="B76" s="344" t="s">
        <v>312</v>
      </c>
      <c r="C76" s="279" t="s">
        <v>338</v>
      </c>
      <c r="D76" s="279" t="s">
        <v>339</v>
      </c>
      <c r="E76" s="279" t="s">
        <v>320</v>
      </c>
      <c r="F76" s="279" t="s">
        <v>323</v>
      </c>
      <c r="G76" s="279" t="s">
        <v>335</v>
      </c>
      <c r="H76" s="279" t="s">
        <v>319</v>
      </c>
      <c r="I76" s="279" t="s">
        <v>374</v>
      </c>
      <c r="J76" s="279" t="s">
        <v>375</v>
      </c>
      <c r="Q76" s="260"/>
      <c r="R76" s="101"/>
      <c r="Y76" s="7"/>
      <c r="Z76" s="7"/>
    </row>
    <row r="77" spans="2:26" x14ac:dyDescent="0.2">
      <c r="B77" s="205" t="s">
        <v>26</v>
      </c>
      <c r="C77" s="206">
        <f>SUMIFS(Data_Final!$AB:$AB,Data_Final!$B:$B,$B77,Data_Final!$C:$C,C$75)</f>
        <v>172</v>
      </c>
      <c r="D77" s="206">
        <f>SUMIFS(Data_Final!$AB:$AB,Data_Final!$B:$B,$B77,Data_Final!$C:$C,D$75)</f>
        <v>142.24</v>
      </c>
      <c r="E77" s="207">
        <f>SUMIFS(Data_Final!$AC:$AC,Data_Final!$B:$B,$B77,Data_Final!$C:$C,E$75)</f>
        <v>40161</v>
      </c>
      <c r="F77" s="207">
        <f>SUMIFS(Data_Final!$AD:$AD,Data_Final!$B:$B,$B77,Data_Final!$C:$C,F$75)</f>
        <v>2416.46</v>
      </c>
      <c r="G77" s="302">
        <v>184</v>
      </c>
      <c r="H77" s="300">
        <v>169.6</v>
      </c>
      <c r="I77" s="109">
        <v>172</v>
      </c>
      <c r="J77" s="109">
        <v>142.19999999999999</v>
      </c>
      <c r="Q77" s="260"/>
      <c r="R77" s="101"/>
      <c r="Y77" s="7"/>
      <c r="Z77" s="7"/>
    </row>
    <row r="78" spans="2:26" x14ac:dyDescent="0.2">
      <c r="B78" s="201" t="s">
        <v>106</v>
      </c>
      <c r="C78" s="108">
        <f>SUMIFS(Data_Final!$AB:$AB,Data_Final!$B:$B,$B78,Data_Final!$C:$C,C$75)</f>
        <v>14.512425451575799</v>
      </c>
      <c r="D78" s="108">
        <f>SUMIFS(Data_Final!$AB:$AB,Data_Final!$B:$B,$B78,Data_Final!$C:$C,D$75)</f>
        <v>12.3347334010293</v>
      </c>
      <c r="E78" s="202">
        <f>SUMIFS(Data_Final!$AC:$AC,Data_Final!$B:$B,$B78,Data_Final!$C:$C,E$75)</f>
        <v>2701.5137800000002</v>
      </c>
      <c r="F78" s="202">
        <f>SUMIFS(Data_Final!$AD:$AD,Data_Final!$B:$B,$B78,Data_Final!$C:$C,F$75)</f>
        <v>107.53322751677401</v>
      </c>
      <c r="G78" s="302">
        <v>14.73</v>
      </c>
      <c r="H78" s="300">
        <v>12.91</v>
      </c>
      <c r="I78" s="109">
        <v>14.7</v>
      </c>
      <c r="J78" s="109">
        <v>12.5</v>
      </c>
      <c r="Q78" s="260"/>
      <c r="R78" s="101"/>
      <c r="Y78" s="7"/>
      <c r="Z78" s="7"/>
    </row>
    <row r="79" spans="2:26" x14ac:dyDescent="0.2">
      <c r="B79" s="201" t="s">
        <v>28</v>
      </c>
      <c r="C79" s="108">
        <f>SUMIFS(Data_Final!$AB:$AB,Data_Final!$B:$B,$B79,Data_Final!$C:$C,C$75)</f>
        <v>201.11</v>
      </c>
      <c r="D79" s="108">
        <f>SUMIFS(Data_Final!$AB:$AB,Data_Final!$B:$B,$B79,Data_Final!$C:$C,D$75)</f>
        <v>169.38</v>
      </c>
      <c r="E79" s="202">
        <f>SUMIFS(Data_Final!$AC:$AC,Data_Final!$B:$B,$B79,Data_Final!$C:$C,E$75)</f>
        <v>26821</v>
      </c>
      <c r="F79" s="202">
        <f>SUMIFS(Data_Final!$AD:$AD,Data_Final!$B:$B,$B79,Data_Final!$C:$C,F$75)</f>
        <v>2145.3789999999999</v>
      </c>
      <c r="G79" s="302">
        <v>203</v>
      </c>
      <c r="H79" s="300">
        <v>175.7</v>
      </c>
      <c r="I79" s="109">
        <v>201.1</v>
      </c>
      <c r="J79" s="109">
        <v>169.3</v>
      </c>
      <c r="Q79" s="260"/>
      <c r="R79" s="101"/>
      <c r="Y79" s="7"/>
      <c r="Z79" s="7"/>
    </row>
    <row r="80" spans="2:26" x14ac:dyDescent="0.2">
      <c r="B80" s="201" t="s">
        <v>32</v>
      </c>
      <c r="C80" s="108">
        <f>SUMIFS(Data_Final!$AB:$AB,Data_Final!$B:$B,$B80,Data_Final!$C:$C,C$75)</f>
        <v>448.23</v>
      </c>
      <c r="D80" s="108">
        <f>SUMIFS(Data_Final!$AB:$AB,Data_Final!$B:$B,$B80,Data_Final!$C:$C,D$75)</f>
        <v>381</v>
      </c>
      <c r="E80" s="202">
        <f>SUMIFS(Data_Final!$AC:$AC,Data_Final!$B:$B,$B80,Data_Final!$C:$C,E$75)</f>
        <v>42842.292057958002</v>
      </c>
      <c r="F80" s="202">
        <f>SUMIFS(Data_Final!$AD:$AD,Data_Final!$B:$B,$B80,Data_Final!$C:$C,F$75)</f>
        <v>3475.50235997355</v>
      </c>
      <c r="G80" s="302">
        <v>450</v>
      </c>
      <c r="H80" s="300">
        <v>386.9</v>
      </c>
      <c r="I80" s="109">
        <v>448.2</v>
      </c>
      <c r="J80" s="109">
        <v>357</v>
      </c>
      <c r="Q80" s="260"/>
      <c r="R80" s="101"/>
      <c r="Y80" s="7"/>
      <c r="Z80" s="7"/>
    </row>
    <row r="81" spans="2:26" x14ac:dyDescent="0.2">
      <c r="B81" s="201" t="s">
        <v>30</v>
      </c>
      <c r="C81" s="108">
        <f>SUMIFS(Data_Final!$AB:$AB,Data_Final!$B:$B,$B81,Data_Final!$C:$C,C$75)</f>
        <v>105.4</v>
      </c>
      <c r="D81" s="108">
        <f>SUMIFS(Data_Final!$AB:$AB,Data_Final!$B:$B,$B81,Data_Final!$C:$C,D$75)</f>
        <v>89.6</v>
      </c>
      <c r="E81" s="202">
        <f>SUMIFS(Data_Final!$AC:$AC,Data_Final!$B:$B,$B81,Data_Final!$C:$C,E$75)</f>
        <v>14185</v>
      </c>
      <c r="F81" s="202">
        <f>SUMIFS(Data_Final!$AD:$AD,Data_Final!$B:$B,$B81,Data_Final!$C:$C,F$75)</f>
        <v>1194.2829999999999</v>
      </c>
      <c r="G81" s="302">
        <v>105.4</v>
      </c>
      <c r="H81" s="300">
        <v>89.6</v>
      </c>
      <c r="I81" s="109">
        <v>105.4</v>
      </c>
      <c r="J81" s="109">
        <v>89.6</v>
      </c>
      <c r="Q81" s="260"/>
      <c r="R81" s="101"/>
      <c r="Y81" s="7"/>
      <c r="Z81" s="7"/>
    </row>
    <row r="82" spans="2:26" x14ac:dyDescent="0.2">
      <c r="B82" s="201" t="s">
        <v>29</v>
      </c>
      <c r="C82" s="108">
        <f>SUMIFS(Data_Final!$AB:$AB,Data_Final!$B:$B,$B82,Data_Final!$C:$C,C$75)</f>
        <v>421.58735630655002</v>
      </c>
      <c r="D82" s="108">
        <f>SUMIFS(Data_Final!$AB:$AB,Data_Final!$B:$B,$B82,Data_Final!$C:$C,D$75)</f>
        <v>357.25605458355801</v>
      </c>
      <c r="E82" s="202">
        <f>SUMIFS(Data_Final!$AC:$AC,Data_Final!$B:$B,$B82,Data_Final!$C:$C,E$75)</f>
        <v>47373.408021003001</v>
      </c>
      <c r="F82" s="202">
        <f>SUMIFS(Data_Final!$AD:$AD,Data_Final!$B:$B,$B82,Data_Final!$C:$C,F$75)</f>
        <v>3768.2953310395701</v>
      </c>
      <c r="G82" s="302">
        <v>387.63</v>
      </c>
      <c r="H82" s="300">
        <v>332.1</v>
      </c>
      <c r="I82" s="109">
        <v>381</v>
      </c>
      <c r="J82" s="109">
        <v>323</v>
      </c>
      <c r="Q82" s="260"/>
      <c r="R82" s="101"/>
      <c r="Y82" s="7"/>
      <c r="Z82" s="7"/>
    </row>
    <row r="83" spans="2:26" x14ac:dyDescent="0.2">
      <c r="B83" s="201" t="s">
        <v>108</v>
      </c>
      <c r="C83" s="108">
        <f>SUMIFS(Data_Final!$AB:$AB,Data_Final!$B:$B,$B83,Data_Final!$C:$C,C$75)</f>
        <v>116.2</v>
      </c>
      <c r="D83" s="108">
        <f>SUMIFS(Data_Final!$AB:$AB,Data_Final!$B:$B,$B83,Data_Final!$C:$C,D$75)</f>
        <v>100.16</v>
      </c>
      <c r="E83" s="202">
        <f>SUMIFS(Data_Final!$AC:$AC,Data_Final!$B:$B,$B83,Data_Final!$C:$C,E$75)</f>
        <v>18592</v>
      </c>
      <c r="F83" s="202">
        <f>SUMIFS(Data_Final!$AD:$AD,Data_Final!$B:$B,$B83,Data_Final!$C:$C,F$75)</f>
        <v>1109.943</v>
      </c>
      <c r="G83" s="302">
        <v>119.5</v>
      </c>
      <c r="H83" s="300">
        <v>101.5</v>
      </c>
      <c r="I83" s="109">
        <v>116.2</v>
      </c>
      <c r="J83" s="109">
        <v>100.2</v>
      </c>
      <c r="Q83" s="260"/>
      <c r="R83" s="101"/>
      <c r="Y83" s="7"/>
      <c r="Z83" s="7"/>
    </row>
    <row r="84" spans="2:26" x14ac:dyDescent="0.2">
      <c r="B84" s="201" t="s">
        <v>31</v>
      </c>
      <c r="C84" s="108">
        <f>SUMIFS(Data_Final!$AB:$AB,Data_Final!$B:$B,$B84,Data_Final!$C:$C,C$75)</f>
        <v>674.6</v>
      </c>
      <c r="D84" s="108">
        <f>SUMIFS(Data_Final!$AB:$AB,Data_Final!$B:$B,$B84,Data_Final!$C:$C,D$75)</f>
        <v>540.2997284777</v>
      </c>
      <c r="E84" s="202">
        <f>SUMIFS(Data_Final!$AC:$AC,Data_Final!$B:$B,$B84,Data_Final!$C:$C,E$75)</f>
        <v>32467.154538499301</v>
      </c>
      <c r="F84" s="202">
        <f>SUMIFS(Data_Final!$AD:$AD,Data_Final!$B:$B,$B84,Data_Final!$C:$C,F$75)</f>
        <v>4262.5682979499497</v>
      </c>
      <c r="G84" s="302">
        <v>714</v>
      </c>
      <c r="H84" s="300">
        <v>568</v>
      </c>
      <c r="I84" s="109">
        <v>674.6</v>
      </c>
      <c r="J84" s="109">
        <v>540.29999999999995</v>
      </c>
      <c r="Q84" s="260"/>
      <c r="R84" s="101"/>
      <c r="Y84" s="7"/>
      <c r="Z84" s="7"/>
    </row>
    <row r="85" spans="2:26" x14ac:dyDescent="0.2">
      <c r="B85" s="201" t="s">
        <v>27</v>
      </c>
      <c r="C85" s="108">
        <f>SUMIFS(Data_Final!$AB:$AB,Data_Final!$B:$B,$B85,Data_Final!$C:$C,C$75)</f>
        <v>169</v>
      </c>
      <c r="D85" s="108">
        <f>SUMIFS(Data_Final!$AB:$AB,Data_Final!$B:$B,$B85,Data_Final!$C:$C,D$75)</f>
        <v>143</v>
      </c>
      <c r="E85" s="202">
        <f>SUMIFS(Data_Final!$AC:$AC,Data_Final!$B:$B,$B85,Data_Final!$C:$C,E$75)</f>
        <v>28037</v>
      </c>
      <c r="F85" s="202">
        <f>SUMIFS(Data_Final!$AD:$AD,Data_Final!$B:$B,$B85,Data_Final!$C:$C,F$75)</f>
        <v>1492.5239999999999</v>
      </c>
      <c r="G85" s="302">
        <v>171</v>
      </c>
      <c r="H85" s="300">
        <v>148.19999999999999</v>
      </c>
      <c r="I85" s="109">
        <v>169</v>
      </c>
      <c r="J85" s="109">
        <v>143</v>
      </c>
      <c r="Q85" s="260"/>
      <c r="R85" s="101"/>
      <c r="Y85" s="7"/>
      <c r="Z85" s="7"/>
    </row>
    <row r="86" spans="2:26" x14ac:dyDescent="0.2">
      <c r="B86" s="201" t="s">
        <v>33</v>
      </c>
      <c r="C86" s="108">
        <f>SUMIFS(Data_Final!$AB:$AB,Data_Final!$B:$B,$B86,Data_Final!$C:$C,C$75)</f>
        <v>78.157700000000006</v>
      </c>
      <c r="D86" s="108">
        <f>SUMIFS(Data_Final!$AB:$AB,Data_Final!$B:$B,$B86,Data_Final!$C:$C,D$75)</f>
        <v>66.434044999999998</v>
      </c>
      <c r="E86" s="202">
        <f>SUMIFS(Data_Final!$AC:$AC,Data_Final!$B:$B,$B86,Data_Final!$C:$C,E$75)</f>
        <v>12250.016100000001</v>
      </c>
      <c r="F86" s="202">
        <f>SUMIFS(Data_Final!$AD:$AD,Data_Final!$B:$B,$B86,Data_Final!$C:$C,F$75)</f>
        <v>660.20299999999997</v>
      </c>
      <c r="G86" s="302">
        <v>78.861788617886177</v>
      </c>
      <c r="H86" s="300">
        <v>68.8</v>
      </c>
      <c r="I86" s="109">
        <v>78.2</v>
      </c>
      <c r="J86" s="109">
        <v>66.400000000000006</v>
      </c>
      <c r="Q86" s="260"/>
      <c r="R86" s="101"/>
      <c r="Y86" s="7"/>
      <c r="Z86" s="7"/>
    </row>
    <row r="87" spans="2:26" x14ac:dyDescent="0.2">
      <c r="B87" s="201" t="s">
        <v>34</v>
      </c>
      <c r="C87" s="108">
        <f>SUMIFS(Data_Final!$AB:$AB,Data_Final!$B:$B,$B87,Data_Final!$C:$C,C$75)</f>
        <v>269</v>
      </c>
      <c r="D87" s="108">
        <f>SUMIFS(Data_Final!$AB:$AB,Data_Final!$B:$B,$B87,Data_Final!$C:$C,D$75)</f>
        <v>201.75</v>
      </c>
      <c r="E87" s="202">
        <f>SUMIFS(Data_Final!$AC:$AC,Data_Final!$B:$B,$B87,Data_Final!$C:$C,E$75)</f>
        <v>32436</v>
      </c>
      <c r="F87" s="202">
        <f>SUMIFS(Data_Final!$AD:$AD,Data_Final!$B:$B,$B87,Data_Final!$C:$C,F$75)</f>
        <v>2429.2194492581002</v>
      </c>
      <c r="G87" s="302">
        <v>269</v>
      </c>
      <c r="H87" s="300">
        <v>201.8</v>
      </c>
      <c r="I87" s="109">
        <v>234.6</v>
      </c>
      <c r="J87" s="109">
        <v>175</v>
      </c>
      <c r="Q87" s="260"/>
      <c r="R87" s="101"/>
      <c r="Y87" s="7"/>
      <c r="Z87" s="7"/>
    </row>
    <row r="88" spans="2:26" x14ac:dyDescent="0.2">
      <c r="B88" s="201" t="s">
        <v>35</v>
      </c>
      <c r="C88" s="108">
        <f>SUMIFS(Data_Final!$AB:$AB,Data_Final!$B:$B,$B88,Data_Final!$C:$C,C$75)</f>
        <v>162.19999999999999</v>
      </c>
      <c r="D88" s="108">
        <f>SUMIFS(Data_Final!$AB:$AB,Data_Final!$B:$B,$B88,Data_Final!$C:$C,D$75)</f>
        <v>132.19999999999999</v>
      </c>
      <c r="E88" s="202">
        <f>SUMIFS(Data_Final!$AC:$AC,Data_Final!$B:$B,$B88,Data_Final!$C:$C,E$75)</f>
        <v>17028</v>
      </c>
      <c r="F88" s="202">
        <f>SUMIFS(Data_Final!$AD:$AD,Data_Final!$B:$B,$B88,Data_Final!$C:$C,F$75)</f>
        <v>1612.5170000000001</v>
      </c>
      <c r="G88" s="302">
        <v>178.50299999999999</v>
      </c>
      <c r="H88" s="300">
        <v>138.19999999999999</v>
      </c>
      <c r="I88" s="109">
        <v>162.19999999999999</v>
      </c>
      <c r="J88" s="109">
        <v>132.19999999999999</v>
      </c>
      <c r="Q88" s="260"/>
      <c r="R88" s="101"/>
      <c r="Y88" s="7"/>
      <c r="Z88" s="7"/>
    </row>
    <row r="89" spans="2:26" x14ac:dyDescent="0.2">
      <c r="B89" s="201" t="s">
        <v>36</v>
      </c>
      <c r="C89" s="108">
        <f>SUMIFS(Data_Final!$AB:$AB,Data_Final!$B:$B,$B89,Data_Final!$C:$C,C$75)</f>
        <v>43</v>
      </c>
      <c r="D89" s="108">
        <f>SUMIFS(Data_Final!$AB:$AB,Data_Final!$B:$B,$B89,Data_Final!$C:$C,D$75)</f>
        <v>36.5</v>
      </c>
      <c r="E89" s="202">
        <f>SUMIFS(Data_Final!$AC:$AC,Data_Final!$B:$B,$B89,Data_Final!$C:$C,E$75)</f>
        <v>7010</v>
      </c>
      <c r="F89" s="202">
        <f>SUMIFS(Data_Final!$AD:$AD,Data_Final!$B:$B,$B89,Data_Final!$C:$C,F$75)</f>
        <v>577.23299999999995</v>
      </c>
      <c r="G89" s="302">
        <v>43</v>
      </c>
      <c r="H89" s="300">
        <v>36.5</v>
      </c>
      <c r="I89" s="109">
        <v>43</v>
      </c>
      <c r="J89" s="109">
        <v>36.5</v>
      </c>
      <c r="Q89" s="260"/>
      <c r="R89" s="101"/>
      <c r="Y89" s="7"/>
      <c r="Z89" s="7"/>
    </row>
    <row r="90" spans="2:26" x14ac:dyDescent="0.2">
      <c r="B90" s="201" t="s">
        <v>37</v>
      </c>
      <c r="C90" s="108">
        <f>SUMIFS(Data_Final!$AB:$AB,Data_Final!$B:$B,$B90,Data_Final!$C:$C,C$75)</f>
        <v>34.869999999999997</v>
      </c>
      <c r="D90" s="108">
        <f>SUMIFS(Data_Final!$AB:$AB,Data_Final!$B:$B,$B90,Data_Final!$C:$C,D$75)</f>
        <v>29.57</v>
      </c>
      <c r="E90" s="202">
        <f>SUMIFS(Data_Final!$AC:$AC,Data_Final!$B:$B,$B90,Data_Final!$C:$C,E$75)</f>
        <v>3416</v>
      </c>
      <c r="F90" s="202">
        <f>SUMIFS(Data_Final!$AD:$AD,Data_Final!$B:$B,$B90,Data_Final!$C:$C,F$75)</f>
        <v>334.5</v>
      </c>
      <c r="G90" s="302">
        <v>34.9</v>
      </c>
      <c r="H90" s="300">
        <v>27.9</v>
      </c>
      <c r="I90" s="109">
        <v>34.9</v>
      </c>
      <c r="J90" s="109">
        <v>27.9</v>
      </c>
      <c r="Q90" s="260"/>
      <c r="R90" s="101"/>
      <c r="Y90" s="7"/>
      <c r="Z90" s="7"/>
    </row>
    <row r="91" spans="2:26" x14ac:dyDescent="0.2">
      <c r="B91" s="201" t="s">
        <v>40</v>
      </c>
      <c r="C91" s="108">
        <f>SUMIFS(Data_Final!$AB:$AB,Data_Final!$B:$B,$B91,Data_Final!$C:$C,C$75)</f>
        <v>24</v>
      </c>
      <c r="D91" s="108">
        <f>SUMIFS(Data_Final!$AB:$AB,Data_Final!$B:$B,$B91,Data_Final!$C:$C,D$75)</f>
        <v>20.399999999999999</v>
      </c>
      <c r="E91" s="202">
        <f>SUMIFS(Data_Final!$AC:$AC,Data_Final!$B:$B,$B91,Data_Final!$C:$C,E$75)</f>
        <v>3544</v>
      </c>
      <c r="F91" s="202">
        <f>SUMIFS(Data_Final!$AD:$AD,Data_Final!$B:$B,$B91,Data_Final!$C:$C,F$75)</f>
        <v>308.04450000000003</v>
      </c>
      <c r="G91" s="302">
        <v>24.1</v>
      </c>
      <c r="H91" s="300">
        <v>21.1</v>
      </c>
      <c r="I91" s="109">
        <v>24</v>
      </c>
      <c r="J91" s="109">
        <v>20.399999999999999</v>
      </c>
      <c r="Q91" s="260"/>
      <c r="R91" s="101"/>
      <c r="Y91" s="7"/>
      <c r="Z91" s="7"/>
    </row>
    <row r="92" spans="2:26" x14ac:dyDescent="0.2">
      <c r="B92" s="201" t="s">
        <v>38</v>
      </c>
      <c r="C92" s="108">
        <f>SUMIFS(Data_Final!$AB:$AB,Data_Final!$B:$B,$B92,Data_Final!$C:$C,C$75)</f>
        <v>87.692192146928704</v>
      </c>
      <c r="D92" s="108">
        <f>SUMIFS(Data_Final!$AB:$AB,Data_Final!$B:$B,$B92,Data_Final!$C:$C,D$75)</f>
        <v>75.075874259341404</v>
      </c>
      <c r="E92" s="202">
        <f>SUMIFS(Data_Final!$AC:$AC,Data_Final!$B:$B,$B92,Data_Final!$C:$C,E$75)</f>
        <v>15382.7868570254</v>
      </c>
      <c r="F92" s="202">
        <f>SUMIFS(Data_Final!$AD:$AD,Data_Final!$B:$B,$B92,Data_Final!$C:$C,F$75)</f>
        <v>1079.0054149933101</v>
      </c>
      <c r="G92" s="302">
        <v>87.474949899799597</v>
      </c>
      <c r="H92" s="300">
        <v>79.099999999999994</v>
      </c>
      <c r="I92" s="109">
        <v>95.6</v>
      </c>
      <c r="J92" s="109">
        <v>80.599999999999994</v>
      </c>
      <c r="Q92" s="260"/>
      <c r="R92" s="101"/>
      <c r="Y92" s="7"/>
      <c r="Z92" s="7"/>
    </row>
    <row r="93" spans="2:26" x14ac:dyDescent="0.2">
      <c r="B93" s="201" t="s">
        <v>39</v>
      </c>
      <c r="C93" s="108">
        <f>SUMIFS(Data_Final!$AB:$AB,Data_Final!$B:$B,$B93,Data_Final!$C:$C,C$75)</f>
        <v>84</v>
      </c>
      <c r="D93" s="108">
        <f>SUMIFS(Data_Final!$AB:$AB,Data_Final!$B:$B,$B93,Data_Final!$C:$C,D$75)</f>
        <v>64.400000000000006</v>
      </c>
      <c r="E93" s="202">
        <f>SUMIFS(Data_Final!$AC:$AC,Data_Final!$B:$B,$B93,Data_Final!$C:$C,E$75)</f>
        <v>9016.2000000000007</v>
      </c>
      <c r="F93" s="202">
        <f>SUMIFS(Data_Final!$AD:$AD,Data_Final!$B:$B,$B93,Data_Final!$C:$C,F$75)</f>
        <v>794.79173704289599</v>
      </c>
      <c r="G93" s="302">
        <v>84.899999999999991</v>
      </c>
      <c r="H93" s="300">
        <v>68.400000000000006</v>
      </c>
      <c r="I93" s="109">
        <v>84</v>
      </c>
      <c r="J93" s="109">
        <v>64.5</v>
      </c>
      <c r="Q93" s="260"/>
      <c r="R93" s="101"/>
      <c r="Y93" s="7"/>
      <c r="Z93" s="7"/>
    </row>
    <row r="94" spans="2:26" x14ac:dyDescent="0.2">
      <c r="B94" s="201" t="s">
        <v>107</v>
      </c>
      <c r="C94" s="108">
        <f>SUMIFS(Data_Final!$AB:$AB,Data_Final!$B:$B,$B94,Data_Final!$C:$C,C$75)</f>
        <v>0</v>
      </c>
      <c r="D94" s="108">
        <f>SUMIFS(Data_Final!$AB:$AB,Data_Final!$B:$B,$B94,Data_Final!$C:$C,D$75)</f>
        <v>0</v>
      </c>
      <c r="E94" s="202">
        <f>SUMIFS(Data_Final!$AC:$AC,Data_Final!$B:$B,$B94,Data_Final!$C:$C,E$75)</f>
        <v>0</v>
      </c>
      <c r="F94" s="202">
        <f>SUMIFS(Data_Final!$AD:$AD,Data_Final!$B:$B,$B94,Data_Final!$C:$C,F$75)</f>
        <v>0</v>
      </c>
      <c r="G94" s="207"/>
      <c r="H94" s="99"/>
      <c r="I94" s="99"/>
      <c r="J94" s="99"/>
      <c r="Q94" s="260"/>
      <c r="R94" s="101"/>
      <c r="Y94" s="7"/>
      <c r="Z94" s="7"/>
    </row>
    <row r="95" spans="2:26" x14ac:dyDescent="0.2">
      <c r="B95" s="201" t="s">
        <v>109</v>
      </c>
      <c r="C95" s="108">
        <f>SUMIFS(Data_Final!$AB:$AB,Data_Final!$B:$B,$B95,Data_Final!$C:$C,C$75)</f>
        <v>0</v>
      </c>
      <c r="D95" s="108">
        <f>SUMIFS(Data_Final!$AB:$AB,Data_Final!$B:$B,$B95,Data_Final!$C:$C,D$75)</f>
        <v>0</v>
      </c>
      <c r="E95" s="202">
        <f>SUMIFS(Data_Final!$AC:$AC,Data_Final!$B:$B,$B95,Data_Final!$C:$C,E$75)</f>
        <v>0</v>
      </c>
      <c r="F95" s="202">
        <f>SUMIFS(Data_Final!$AD:$AD,Data_Final!$B:$B,$B95,Data_Final!$C:$C,F$75)</f>
        <v>0</v>
      </c>
      <c r="G95" s="207"/>
      <c r="H95" s="99"/>
      <c r="I95" s="99"/>
      <c r="J95" s="99"/>
      <c r="Q95" s="260"/>
      <c r="R95" s="101"/>
      <c r="Y95" s="7"/>
      <c r="Z95" s="7"/>
    </row>
    <row r="96" spans="2:26" x14ac:dyDescent="0.2">
      <c r="B96" s="201" t="s">
        <v>110</v>
      </c>
      <c r="C96" s="108">
        <f>SUMIFS(Data_Final!$AB:$AB,Data_Final!$B:$B,$B96,Data_Final!$C:$C,C$75)</f>
        <v>0</v>
      </c>
      <c r="D96" s="108">
        <f>SUMIFS(Data_Final!$AB:$AB,Data_Final!$B:$B,$B96,Data_Final!$C:$C,D$75)</f>
        <v>0</v>
      </c>
      <c r="E96" s="202">
        <f>SUMIFS(Data_Final!$AC:$AC,Data_Final!$B:$B,$B96,Data_Final!$C:$C,E$75)</f>
        <v>0</v>
      </c>
      <c r="F96" s="202">
        <f>SUMIFS(Data_Final!$AD:$AD,Data_Final!$B:$B,$B96,Data_Final!$C:$C,F$75)</f>
        <v>0</v>
      </c>
      <c r="G96" s="207"/>
      <c r="H96" s="99"/>
      <c r="I96" s="99"/>
      <c r="J96" s="99"/>
      <c r="Q96" s="260"/>
      <c r="R96" s="101"/>
      <c r="Y96" s="7"/>
      <c r="Z96" s="7"/>
    </row>
    <row r="97" spans="2:26" x14ac:dyDescent="0.2">
      <c r="B97" s="201" t="s">
        <v>111</v>
      </c>
      <c r="C97" s="108">
        <f>SUMIFS(Data_Final!$AB:$AB,Data_Final!$B:$B,$B97,Data_Final!$C:$C,C$75)</f>
        <v>0</v>
      </c>
      <c r="D97" s="108">
        <f>SUMIFS(Data_Final!$AB:$AB,Data_Final!$B:$B,$B97,Data_Final!$C:$C,D$75)</f>
        <v>0</v>
      </c>
      <c r="E97" s="202">
        <f>SUMIFS(Data_Final!$AC:$AC,Data_Final!$B:$B,$B97,Data_Final!$C:$C,E$75)</f>
        <v>0</v>
      </c>
      <c r="F97" s="202">
        <f>SUMIFS(Data_Final!$AD:$AD,Data_Final!$B:$B,$B97,Data_Final!$C:$C,F$75)</f>
        <v>0</v>
      </c>
      <c r="G97" s="207"/>
      <c r="H97" s="99"/>
      <c r="I97" s="99"/>
      <c r="J97" s="99"/>
      <c r="Q97" s="260"/>
      <c r="R97" s="101"/>
      <c r="Y97" s="7"/>
      <c r="Z97" s="7"/>
    </row>
    <row r="98" spans="2:26" x14ac:dyDescent="0.2">
      <c r="I98" s="501">
        <f>I22</f>
        <v>570.78599999999994</v>
      </c>
      <c r="J98" s="185">
        <f>I98-I99</f>
        <v>0</v>
      </c>
    </row>
    <row r="99" spans="2:26" x14ac:dyDescent="0.2">
      <c r="B99" s="199" t="s">
        <v>376</v>
      </c>
      <c r="C99" s="199"/>
      <c r="D99" s="199"/>
      <c r="E99" s="199"/>
      <c r="F99" s="199"/>
      <c r="G99" s="199"/>
      <c r="H99" s="199">
        <f>H122+H146+H171+H196</f>
        <v>1346.7293884635581</v>
      </c>
      <c r="I99" s="500">
        <f>I122+I146+I171+I196</f>
        <v>570.78600000000006</v>
      </c>
      <c r="J99" s="199">
        <f>J122+J146+J171+J196</f>
        <v>1917.5153884635579</v>
      </c>
      <c r="K99" s="199"/>
      <c r="L99" s="199"/>
    </row>
    <row r="100" spans="2:26" ht="51" x14ac:dyDescent="0.2">
      <c r="B100" s="504" t="s">
        <v>312</v>
      </c>
      <c r="C100" s="504" t="s">
        <v>73</v>
      </c>
      <c r="D100" s="504" t="s">
        <v>74</v>
      </c>
      <c r="E100" s="504" t="s">
        <v>75</v>
      </c>
      <c r="F100" s="504" t="s">
        <v>76</v>
      </c>
      <c r="G100" s="504" t="s">
        <v>24</v>
      </c>
      <c r="H100" s="261" t="s">
        <v>377</v>
      </c>
      <c r="I100" s="261" t="s">
        <v>378</v>
      </c>
      <c r="J100" s="261" t="s">
        <v>379</v>
      </c>
      <c r="K100" s="261" t="s">
        <v>380</v>
      </c>
      <c r="Y100" s="7"/>
      <c r="Z100" s="7"/>
    </row>
    <row r="101" spans="2:26" ht="15" x14ac:dyDescent="0.3">
      <c r="B101" s="514" t="s">
        <v>26</v>
      </c>
      <c r="C101" s="280">
        <f>SUMIFS(Data_Final!$I:$I,Data_Final!$B:$B,$B101,Data_Final!$C:$C,C$100)</f>
        <v>12.438452299405682</v>
      </c>
      <c r="D101" s="280">
        <f>SUMIFS(Data_Final!$I:$I,Data_Final!$B:$B,$B101,Data_Final!$C:$C,D$100)</f>
        <v>15.774708420703483</v>
      </c>
      <c r="E101" s="280">
        <f>SUMIFS(Data_Final!$I:$I,Data_Final!$B:$B,$B101,Data_Final!$C:$C,E$100)</f>
        <v>12.965033726755527</v>
      </c>
      <c r="F101" s="280">
        <f>SUMIFS(Data_Final!$I:$I,Data_Final!$B:$B,$B101,Data_Final!$C:$C,F$100)</f>
        <v>12.328055343472556</v>
      </c>
      <c r="G101" s="280">
        <f>SUMIFS(Data_Final!$I:$I,Data_Final!$B:$B,$B101,Data_Final!$C:$C,G$100)</f>
        <v>11.345413637733987</v>
      </c>
      <c r="H101" s="267">
        <f t="shared" ref="H101:H117" si="14">SUM(C101:G101)</f>
        <v>64.851663428071234</v>
      </c>
      <c r="I101" s="267">
        <f>264.871+241.068</f>
        <v>505.93899999999996</v>
      </c>
      <c r="J101" s="267">
        <f t="shared" ref="J101:J117" si="15">SUM(C101:G101)+I101</f>
        <v>570.79066342807118</v>
      </c>
      <c r="K101" s="505" t="s">
        <v>877</v>
      </c>
      <c r="L101" s="185"/>
      <c r="Y101" s="7"/>
      <c r="Z101" s="7"/>
    </row>
    <row r="102" spans="2:26" x14ac:dyDescent="0.2">
      <c r="B102" s="514" t="s">
        <v>106</v>
      </c>
      <c r="C102" s="280">
        <f>SUMIFS(Data_Final!$I:$I,Data_Final!$B:$B,$B102,Data_Final!$C:$C,C$100)</f>
        <v>0</v>
      </c>
      <c r="D102" s="280">
        <f>SUMIFS(Data_Final!$I:$I,Data_Final!$B:$B,$B102,Data_Final!$C:$C,D$100)</f>
        <v>0</v>
      </c>
      <c r="E102" s="280">
        <f>SUMIFS(Data_Final!$I:$I,Data_Final!$B:$B,$B102,Data_Final!$C:$C,E$100)</f>
        <v>0</v>
      </c>
      <c r="F102" s="280">
        <f>SUMIFS(Data_Final!$I:$I,Data_Final!$B:$B,$B102,Data_Final!$C:$C,F$100)</f>
        <v>0</v>
      </c>
      <c r="G102" s="280">
        <f>SUMIFS(Data_Final!$I:$I,Data_Final!$B:$B,$B102,Data_Final!$C:$C,G$100)</f>
        <v>0</v>
      </c>
      <c r="H102" s="267">
        <f t="shared" si="14"/>
        <v>0</v>
      </c>
      <c r="I102" s="267"/>
      <c r="J102" s="267">
        <f t="shared" si="15"/>
        <v>0</v>
      </c>
      <c r="K102" s="506"/>
      <c r="Y102" s="7"/>
      <c r="Z102" s="7"/>
    </row>
    <row r="103" spans="2:26" x14ac:dyDescent="0.2">
      <c r="B103" s="514" t="s">
        <v>28</v>
      </c>
      <c r="C103" s="280">
        <f>SUMIFS(Data_Final!$I:$I,Data_Final!$B:$B,$B103,Data_Final!$C:$C,C$100)</f>
        <v>0</v>
      </c>
      <c r="D103" s="280">
        <f>SUMIFS(Data_Final!$I:$I,Data_Final!$B:$B,$B103,Data_Final!$C:$C,D$100)</f>
        <v>0</v>
      </c>
      <c r="E103" s="280">
        <f>SUMIFS(Data_Final!$I:$I,Data_Final!$B:$B,$B103,Data_Final!$C:$C,E$100)</f>
        <v>0</v>
      </c>
      <c r="F103" s="280">
        <f>SUMIFS(Data_Final!$I:$I,Data_Final!$B:$B,$B103,Data_Final!$C:$C,F$100)</f>
        <v>0</v>
      </c>
      <c r="G103" s="280">
        <f>SUMIFS(Data_Final!$I:$I,Data_Final!$B:$B,$B103,Data_Final!$C:$C,G$100)</f>
        <v>0</v>
      </c>
      <c r="H103" s="267">
        <f t="shared" si="14"/>
        <v>0</v>
      </c>
      <c r="I103" s="267"/>
      <c r="J103" s="267">
        <f t="shared" si="15"/>
        <v>0</v>
      </c>
      <c r="K103" s="506"/>
      <c r="Y103" s="7"/>
      <c r="Z103" s="7"/>
    </row>
    <row r="104" spans="2:26" x14ac:dyDescent="0.2">
      <c r="B104" s="514" t="s">
        <v>32</v>
      </c>
      <c r="C104" s="280">
        <f>SUMIFS(Data_Final!$I:$I,Data_Final!$B:$B,$B104,Data_Final!$C:$C,C$100)</f>
        <v>0</v>
      </c>
      <c r="D104" s="280">
        <f>SUMIFS(Data_Final!$I:$I,Data_Final!$B:$B,$B104,Data_Final!$C:$C,D$100)</f>
        <v>0</v>
      </c>
      <c r="E104" s="280">
        <f>SUMIFS(Data_Final!$I:$I,Data_Final!$B:$B,$B104,Data_Final!$C:$C,E$100)</f>
        <v>0</v>
      </c>
      <c r="F104" s="280">
        <f>SUMIFS(Data_Final!$I:$I,Data_Final!$B:$B,$B104,Data_Final!$C:$C,F$100)</f>
        <v>0</v>
      </c>
      <c r="G104" s="280">
        <f>SUMIFS(Data_Final!$I:$I,Data_Final!$B:$B,$B104,Data_Final!$C:$C,G$100)</f>
        <v>0</v>
      </c>
      <c r="H104" s="267">
        <f t="shared" si="14"/>
        <v>0</v>
      </c>
      <c r="I104" s="267"/>
      <c r="J104" s="267">
        <f t="shared" si="15"/>
        <v>0</v>
      </c>
      <c r="K104" s="506"/>
      <c r="Y104" s="7"/>
      <c r="Z104" s="7"/>
    </row>
    <row r="105" spans="2:26" x14ac:dyDescent="0.2">
      <c r="B105" s="514" t="s">
        <v>30</v>
      </c>
      <c r="C105" s="280">
        <f>SUMIFS(Data_Final!$I:$I,Data_Final!$B:$B,$B105,Data_Final!$C:$C,C$100)</f>
        <v>17.591000000000001</v>
      </c>
      <c r="D105" s="280">
        <f>SUMIFS(Data_Final!$I:$I,Data_Final!$B:$B,$B105,Data_Final!$C:$C,D$100)</f>
        <v>15.962999999999999</v>
      </c>
      <c r="E105" s="280">
        <f>SUMIFS(Data_Final!$I:$I,Data_Final!$B:$B,$B105,Data_Final!$C:$C,E$100)</f>
        <v>21.314</v>
      </c>
      <c r="F105" s="280">
        <f>SUMIFS(Data_Final!$I:$I,Data_Final!$B:$B,$B105,Data_Final!$C:$C,F$100)</f>
        <v>40.278000000000006</v>
      </c>
      <c r="G105" s="280">
        <f>SUMIFS(Data_Final!$I:$I,Data_Final!$B:$B,$B105,Data_Final!$C:$C,G$100)</f>
        <v>61.457000000000008</v>
      </c>
      <c r="H105" s="267">
        <f t="shared" si="14"/>
        <v>156.60300000000001</v>
      </c>
      <c r="I105" s="267"/>
      <c r="J105" s="267">
        <f t="shared" si="15"/>
        <v>156.60300000000001</v>
      </c>
      <c r="K105" s="506"/>
      <c r="Y105" s="7"/>
      <c r="Z105" s="7"/>
    </row>
    <row r="106" spans="2:26" x14ac:dyDescent="0.2">
      <c r="B106" s="514" t="s">
        <v>29</v>
      </c>
      <c r="C106" s="280">
        <f>SUMIFS(Data_Final!$I:$I,Data_Final!$B:$B,$B106,Data_Final!$C:$C,C$100)</f>
        <v>11.523999999999999</v>
      </c>
      <c r="D106" s="280">
        <f>SUMIFS(Data_Final!$I:$I,Data_Final!$B:$B,$B106,Data_Final!$C:$C,D$100)</f>
        <v>17.172999999999998</v>
      </c>
      <c r="E106" s="280">
        <f>SUMIFS(Data_Final!$I:$I,Data_Final!$B:$B,$B106,Data_Final!$C:$C,E$100)</f>
        <v>22.867000000000001</v>
      </c>
      <c r="F106" s="280">
        <f>SUMIFS(Data_Final!$I:$I,Data_Final!$B:$B,$B106,Data_Final!$C:$C,F$100)</f>
        <v>29.83</v>
      </c>
      <c r="G106" s="280">
        <f>SUMIFS(Data_Final!$I:$I,Data_Final!$B:$B,$B106,Data_Final!$C:$C,G$100)</f>
        <v>35.206000000000003</v>
      </c>
      <c r="H106" s="267">
        <f t="shared" si="14"/>
        <v>116.6</v>
      </c>
      <c r="I106" s="267"/>
      <c r="J106" s="267">
        <f t="shared" si="15"/>
        <v>116.6</v>
      </c>
      <c r="K106" s="506"/>
      <c r="Y106" s="7"/>
      <c r="Z106" s="7"/>
    </row>
    <row r="107" spans="2:26" x14ac:dyDescent="0.2">
      <c r="B107" s="514" t="s">
        <v>108</v>
      </c>
      <c r="C107" s="280">
        <f>SUMIFS(Data_Final!$I:$I,Data_Final!$B:$B,$B107,Data_Final!$C:$C,C$100)</f>
        <v>0</v>
      </c>
      <c r="D107" s="280">
        <f>SUMIFS(Data_Final!$I:$I,Data_Final!$B:$B,$B107,Data_Final!$C:$C,D$100)</f>
        <v>0</v>
      </c>
      <c r="E107" s="280">
        <f>SUMIFS(Data_Final!$I:$I,Data_Final!$B:$B,$B107,Data_Final!$C:$C,E$100)</f>
        <v>0</v>
      </c>
      <c r="F107" s="280">
        <f>SUMIFS(Data_Final!$I:$I,Data_Final!$B:$B,$B107,Data_Final!$C:$C,F$100)</f>
        <v>0</v>
      </c>
      <c r="G107" s="280">
        <f>SUMIFS(Data_Final!$I:$I,Data_Final!$B:$B,$B107,Data_Final!$C:$C,G$100)</f>
        <v>0</v>
      </c>
      <c r="H107" s="267">
        <f t="shared" si="14"/>
        <v>0</v>
      </c>
      <c r="I107" s="267"/>
      <c r="J107" s="267">
        <f t="shared" si="15"/>
        <v>0</v>
      </c>
      <c r="K107" s="506"/>
      <c r="Y107" s="7"/>
      <c r="Z107" s="7"/>
    </row>
    <row r="108" spans="2:26" x14ac:dyDescent="0.2">
      <c r="B108" s="514" t="s">
        <v>31</v>
      </c>
      <c r="C108" s="280">
        <f>SUMIFS(Data_Final!$I:$I,Data_Final!$B:$B,$B108,Data_Final!$C:$C,C$100)</f>
        <v>0.1421656499</v>
      </c>
      <c r="D108" s="280">
        <f>SUMIFS(Data_Final!$I:$I,Data_Final!$B:$B,$B108,Data_Final!$C:$C,D$100)</f>
        <v>2.8540393028</v>
      </c>
      <c r="E108" s="280">
        <f>SUMIFS(Data_Final!$I:$I,Data_Final!$B:$B,$B108,Data_Final!$C:$C,E$100)</f>
        <v>12.2789301427</v>
      </c>
      <c r="F108" s="280">
        <f>SUMIFS(Data_Final!$I:$I,Data_Final!$B:$B,$B108,Data_Final!$C:$C,F$100)</f>
        <v>11.900195604</v>
      </c>
      <c r="G108" s="280">
        <f>SUMIFS(Data_Final!$I:$I,Data_Final!$B:$B,$B108,Data_Final!$C:$C,G$100)</f>
        <v>11.740086632699999</v>
      </c>
      <c r="H108" s="267">
        <f t="shared" si="14"/>
        <v>38.915417332099999</v>
      </c>
      <c r="I108" s="267"/>
      <c r="J108" s="267">
        <f t="shared" si="15"/>
        <v>38.915417332099999</v>
      </c>
      <c r="K108" s="506"/>
      <c r="Y108" s="7"/>
      <c r="Z108" s="7"/>
    </row>
    <row r="109" spans="2:26" x14ac:dyDescent="0.2">
      <c r="B109" s="514" t="s">
        <v>27</v>
      </c>
      <c r="C109" s="280">
        <f>SUMIFS(Data_Final!$I:$I,Data_Final!$B:$B,$B109,Data_Final!$C:$C,C$100)</f>
        <v>1.8149999999999999</v>
      </c>
      <c r="D109" s="280">
        <f>SUMIFS(Data_Final!$I:$I,Data_Final!$B:$B,$B109,Data_Final!$C:$C,D$100)</f>
        <v>8.3780000000000001</v>
      </c>
      <c r="E109" s="280">
        <f>SUMIFS(Data_Final!$I:$I,Data_Final!$B:$B,$B109,Data_Final!$C:$C,E$100)</f>
        <v>8.4610000000000003</v>
      </c>
      <c r="F109" s="280">
        <f>SUMIFS(Data_Final!$I:$I,Data_Final!$B:$B,$B109,Data_Final!$C:$C,F$100)</f>
        <v>5.9029999999999996</v>
      </c>
      <c r="G109" s="280">
        <f>SUMIFS(Data_Final!$I:$I,Data_Final!$B:$B,$B109,Data_Final!$C:$C,G$100)</f>
        <v>2.1269999999999998</v>
      </c>
      <c r="H109" s="267">
        <f t="shared" si="14"/>
        <v>26.683999999999997</v>
      </c>
      <c r="I109" s="267"/>
      <c r="J109" s="267">
        <f t="shared" si="15"/>
        <v>26.683999999999997</v>
      </c>
      <c r="K109" s="506"/>
      <c r="Y109" s="7"/>
      <c r="Z109" s="7"/>
    </row>
    <row r="110" spans="2:26" x14ac:dyDescent="0.2">
      <c r="B110" s="514" t="s">
        <v>33</v>
      </c>
      <c r="C110" s="280">
        <f>SUMIFS(Data_Final!$I:$I,Data_Final!$B:$B,$B110,Data_Final!$C:$C,C$100)</f>
        <v>3.9696923076923101</v>
      </c>
      <c r="D110" s="280">
        <f>SUMIFS(Data_Final!$I:$I,Data_Final!$B:$B,$B110,Data_Final!$C:$C,D$100)</f>
        <v>3.9696923076923101</v>
      </c>
      <c r="E110" s="280">
        <f>SUMIFS(Data_Final!$I:$I,Data_Final!$B:$B,$B110,Data_Final!$C:$C,E$100)</f>
        <v>3.9696923076923101</v>
      </c>
      <c r="F110" s="280">
        <f>SUMIFS(Data_Final!$I:$I,Data_Final!$B:$B,$B110,Data_Final!$C:$C,F$100)</f>
        <v>3.9696923076923101</v>
      </c>
      <c r="G110" s="280">
        <f>SUMIFS(Data_Final!$I:$I,Data_Final!$B:$B,$B110,Data_Final!$C:$C,G$100)</f>
        <v>3.9696923076923101</v>
      </c>
      <c r="H110" s="267">
        <f t="shared" si="14"/>
        <v>19.848461538461549</v>
      </c>
      <c r="I110" s="267"/>
      <c r="J110" s="267">
        <f t="shared" si="15"/>
        <v>19.848461538461549</v>
      </c>
      <c r="K110" s="506"/>
      <c r="Y110" s="7"/>
      <c r="Z110" s="7"/>
    </row>
    <row r="111" spans="2:26" x14ac:dyDescent="0.2">
      <c r="B111" s="514" t="s">
        <v>34</v>
      </c>
      <c r="C111" s="280">
        <f>SUMIFS(Data_Final!$I:$I,Data_Final!$B:$B,$B111,Data_Final!$C:$C,C$100)</f>
        <v>0.112</v>
      </c>
      <c r="D111" s="280">
        <f>SUMIFS(Data_Final!$I:$I,Data_Final!$B:$B,$B111,Data_Final!$C:$C,D$100)</f>
        <v>9.7000000000000003E-2</v>
      </c>
      <c r="E111" s="280">
        <f>SUMIFS(Data_Final!$I:$I,Data_Final!$B:$B,$B111,Data_Final!$C:$C,E$100)</f>
        <v>6.3E-2</v>
      </c>
      <c r="F111" s="280">
        <f>SUMIFS(Data_Final!$I:$I,Data_Final!$B:$B,$B111,Data_Final!$C:$C,F$100)</f>
        <v>4.7E-2</v>
      </c>
      <c r="G111" s="280">
        <f>SUMIFS(Data_Final!$I:$I,Data_Final!$B:$B,$B111,Data_Final!$C:$C,G$100)</f>
        <v>2.1999999999999999E-2</v>
      </c>
      <c r="H111" s="267">
        <f t="shared" si="14"/>
        <v>0.34100000000000003</v>
      </c>
      <c r="I111" s="267"/>
      <c r="J111" s="267">
        <f t="shared" si="15"/>
        <v>0.34100000000000003</v>
      </c>
      <c r="K111" s="506"/>
      <c r="Y111" s="7"/>
      <c r="Z111" s="7"/>
    </row>
    <row r="112" spans="2:26" ht="15" x14ac:dyDescent="0.3">
      <c r="B112" s="514" t="s">
        <v>35</v>
      </c>
      <c r="C112" s="280">
        <f>SUMIFS(Data_Final!$I:$I,Data_Final!$B:$B,$B112,Data_Final!$C:$C,C$100)</f>
        <v>12.7246502838666</v>
      </c>
      <c r="D112" s="280">
        <f>SUMIFS(Data_Final!$I:$I,Data_Final!$B:$B,$B112,Data_Final!$C:$C,D$100)</f>
        <v>15.209147751048301</v>
      </c>
      <c r="E112" s="280">
        <f>SUMIFS(Data_Final!$I:$I,Data_Final!$B:$B,$B112,Data_Final!$C:$C,E$100)</f>
        <v>7.3027462368216698</v>
      </c>
      <c r="F112" s="280">
        <f>SUMIFS(Data_Final!$I:$I,Data_Final!$B:$B,$B112,Data_Final!$C:$C,F$100)</f>
        <v>6.2594906781858102</v>
      </c>
      <c r="G112" s="280">
        <f>SUMIFS(Data_Final!$I:$I,Data_Final!$B:$B,$B112,Data_Final!$C:$C,G$100)</f>
        <v>0</v>
      </c>
      <c r="H112" s="267">
        <f t="shared" si="14"/>
        <v>41.496034949922382</v>
      </c>
      <c r="I112" s="507">
        <v>-12.366</v>
      </c>
      <c r="J112" s="507">
        <f t="shared" si="15"/>
        <v>29.130034949922383</v>
      </c>
      <c r="K112" s="505" t="s">
        <v>878</v>
      </c>
      <c r="Y112" s="7"/>
      <c r="Z112" s="7"/>
    </row>
    <row r="113" spans="2:26" x14ac:dyDescent="0.2">
      <c r="B113" s="514" t="s">
        <v>36</v>
      </c>
      <c r="C113" s="280">
        <f>SUMIFS(Data_Final!$I:$I,Data_Final!$B:$B,$B113,Data_Final!$C:$C,C$100)</f>
        <v>0</v>
      </c>
      <c r="D113" s="280">
        <f>SUMIFS(Data_Final!$I:$I,Data_Final!$B:$B,$B113,Data_Final!$C:$C,D$100)</f>
        <v>0</v>
      </c>
      <c r="E113" s="280">
        <f>SUMIFS(Data_Final!$I:$I,Data_Final!$B:$B,$B113,Data_Final!$C:$C,E$100)</f>
        <v>0</v>
      </c>
      <c r="F113" s="280">
        <f>SUMIFS(Data_Final!$I:$I,Data_Final!$B:$B,$B113,Data_Final!$C:$C,F$100)</f>
        <v>0</v>
      </c>
      <c r="G113" s="280">
        <f>SUMIFS(Data_Final!$I:$I,Data_Final!$B:$B,$B113,Data_Final!$C:$C,G$100)</f>
        <v>0</v>
      </c>
      <c r="H113" s="267">
        <f t="shared" si="14"/>
        <v>0</v>
      </c>
      <c r="I113" s="507"/>
      <c r="J113" s="267">
        <f t="shared" si="15"/>
        <v>0</v>
      </c>
      <c r="K113" s="506"/>
      <c r="Y113" s="7"/>
      <c r="Z113" s="7"/>
    </row>
    <row r="114" spans="2:26" x14ac:dyDescent="0.2">
      <c r="B114" s="514" t="s">
        <v>37</v>
      </c>
      <c r="C114" s="280">
        <f>SUMIFS(Data_Final!$I:$I,Data_Final!$B:$B,$B114,Data_Final!$C:$C,C$100)</f>
        <v>0</v>
      </c>
      <c r="D114" s="280">
        <f>SUMIFS(Data_Final!$I:$I,Data_Final!$B:$B,$B114,Data_Final!$C:$C,D$100)</f>
        <v>0</v>
      </c>
      <c r="E114" s="280">
        <f>SUMIFS(Data_Final!$I:$I,Data_Final!$B:$B,$B114,Data_Final!$C:$C,E$100)</f>
        <v>1.4450000000000001</v>
      </c>
      <c r="F114" s="280">
        <f>SUMIFS(Data_Final!$I:$I,Data_Final!$B:$B,$B114,Data_Final!$C:$C,F$100)</f>
        <v>1.2090000000000001</v>
      </c>
      <c r="G114" s="280">
        <f>SUMIFS(Data_Final!$I:$I,Data_Final!$B:$B,$B114,Data_Final!$C:$C,G$100)</f>
        <v>0</v>
      </c>
      <c r="H114" s="267">
        <f t="shared" si="14"/>
        <v>2.6539999999999999</v>
      </c>
      <c r="I114" s="507"/>
      <c r="J114" s="267">
        <f t="shared" si="15"/>
        <v>2.6539999999999999</v>
      </c>
      <c r="K114" s="506"/>
      <c r="Y114" s="7"/>
      <c r="Z114" s="7"/>
    </row>
    <row r="115" spans="2:26" x14ac:dyDescent="0.2">
      <c r="B115" s="514" t="s">
        <v>40</v>
      </c>
      <c r="C115" s="280">
        <f>SUMIFS(Data_Final!$I:$I,Data_Final!$B:$B,$B115,Data_Final!$C:$C,C$100)</f>
        <v>0</v>
      </c>
      <c r="D115" s="280">
        <f>SUMIFS(Data_Final!$I:$I,Data_Final!$B:$B,$B115,Data_Final!$C:$C,D$100)</f>
        <v>0</v>
      </c>
      <c r="E115" s="280">
        <f>SUMIFS(Data_Final!$I:$I,Data_Final!$B:$B,$B115,Data_Final!$C:$C,E$100)</f>
        <v>0</v>
      </c>
      <c r="F115" s="280">
        <f>SUMIFS(Data_Final!$I:$I,Data_Final!$B:$B,$B115,Data_Final!$C:$C,F$100)</f>
        <v>0</v>
      </c>
      <c r="G115" s="280">
        <f>SUMIFS(Data_Final!$I:$I,Data_Final!$B:$B,$B115,Data_Final!$C:$C,G$100)</f>
        <v>0</v>
      </c>
      <c r="H115" s="267">
        <f t="shared" si="14"/>
        <v>0</v>
      </c>
      <c r="I115" s="507"/>
      <c r="J115" s="267">
        <f t="shared" si="15"/>
        <v>0</v>
      </c>
      <c r="K115" s="506"/>
      <c r="Y115" s="7"/>
      <c r="Z115" s="7"/>
    </row>
    <row r="116" spans="2:26" x14ac:dyDescent="0.2">
      <c r="B116" s="514" t="s">
        <v>38</v>
      </c>
      <c r="C116" s="280">
        <f>SUMIFS(Data_Final!$I:$I,Data_Final!$B:$B,$B116,Data_Final!$C:$C,C$100)</f>
        <v>5.37774065523225</v>
      </c>
      <c r="D116" s="280">
        <f>SUMIFS(Data_Final!$I:$I,Data_Final!$B:$B,$B116,Data_Final!$C:$C,D$100)</f>
        <v>11.232693287899931</v>
      </c>
      <c r="E116" s="280">
        <f>SUMIFS(Data_Final!$I:$I,Data_Final!$B:$B,$B116,Data_Final!$C:$C,E$100)</f>
        <v>11.01764568759101</v>
      </c>
      <c r="F116" s="280">
        <f>SUMIFS(Data_Final!$I:$I,Data_Final!$B:$B,$B116,Data_Final!$C:$C,F$100)</f>
        <v>1.6503763282680941</v>
      </c>
      <c r="G116" s="280">
        <f>SUMIFS(Data_Final!$I:$I,Data_Final!$B:$B,$B116,Data_Final!$C:$C,G$100)</f>
        <v>2.0739799782044983</v>
      </c>
      <c r="H116" s="267">
        <f t="shared" si="14"/>
        <v>31.352435937195782</v>
      </c>
      <c r="I116" s="507"/>
      <c r="J116" s="267">
        <f t="shared" si="15"/>
        <v>31.352435937195782</v>
      </c>
      <c r="K116" s="506"/>
      <c r="Y116" s="7"/>
      <c r="Z116" s="7"/>
    </row>
    <row r="117" spans="2:26" x14ac:dyDescent="0.2">
      <c r="B117" s="514" t="s">
        <v>39</v>
      </c>
      <c r="C117" s="280">
        <f>SUMIFS(Data_Final!$I:$I,Data_Final!$B:$B,$B117,Data_Final!$C:$C,C$100)</f>
        <v>0</v>
      </c>
      <c r="D117" s="280">
        <f>SUMIFS(Data_Final!$I:$I,Data_Final!$B:$B,$B117,Data_Final!$C:$C,D$100)</f>
        <v>0.826352047356812</v>
      </c>
      <c r="E117" s="280">
        <f>SUMIFS(Data_Final!$I:$I,Data_Final!$B:$B,$B117,Data_Final!$C:$C,E$100)</f>
        <v>1.10214195478747</v>
      </c>
      <c r="F117" s="280">
        <f>SUMIFS(Data_Final!$I:$I,Data_Final!$B:$B,$B117,Data_Final!$C:$C,F$100)</f>
        <v>0.99223306178927595</v>
      </c>
      <c r="G117" s="280">
        <f>SUMIFS(Data_Final!$I:$I,Data_Final!$B:$B,$B117,Data_Final!$C:$C,G$100)</f>
        <v>0</v>
      </c>
      <c r="H117" s="267">
        <f t="shared" si="14"/>
        <v>2.9207270639335579</v>
      </c>
      <c r="I117" s="507"/>
      <c r="J117" s="267">
        <f t="shared" si="15"/>
        <v>2.9207270639335579</v>
      </c>
      <c r="K117" s="508"/>
      <c r="Y117" s="7"/>
      <c r="Z117" s="7"/>
    </row>
    <row r="118" spans="2:26" x14ac:dyDescent="0.2">
      <c r="B118" s="514" t="s">
        <v>107</v>
      </c>
      <c r="C118" s="280">
        <f>SUMIFS(Data_Final!$I:$I,Data_Final!$B:$B,$B118,Data_Final!$C:$C,C$100)</f>
        <v>0</v>
      </c>
      <c r="D118" s="280">
        <f>SUMIFS(Data_Final!$I:$I,Data_Final!$B:$B,$B118,Data_Final!$C:$C,D$100)</f>
        <v>0</v>
      </c>
      <c r="E118" s="280">
        <f>SUMIFS(Data_Final!$I:$I,Data_Final!$B:$B,$B118,Data_Final!$C:$C,E$100)</f>
        <v>0</v>
      </c>
      <c r="F118" s="280">
        <f>SUMIFS(Data_Final!$I:$I,Data_Final!$B:$B,$B118,Data_Final!$C:$C,F$100)</f>
        <v>0</v>
      </c>
      <c r="G118" s="280">
        <f>SUMIFS(Data_Final!$I:$I,Data_Final!$B:$B,$B118,Data_Final!$C:$C,G$100)</f>
        <v>0</v>
      </c>
      <c r="H118" s="267"/>
      <c r="I118" s="507"/>
      <c r="J118" s="267"/>
      <c r="K118" s="506"/>
      <c r="Y118" s="7"/>
      <c r="Z118" s="7"/>
    </row>
    <row r="119" spans="2:26" x14ac:dyDescent="0.2">
      <c r="B119" s="514" t="s">
        <v>109</v>
      </c>
      <c r="C119" s="280">
        <f>SUMIFS(Data_Final!$I:$I,Data_Final!$B:$B,$B119,Data_Final!$C:$C,C$100)</f>
        <v>0</v>
      </c>
      <c r="D119" s="280">
        <f>SUMIFS(Data_Final!$I:$I,Data_Final!$B:$B,$B119,Data_Final!$C:$C,D$100)</f>
        <v>0</v>
      </c>
      <c r="E119" s="280">
        <f>SUMIFS(Data_Final!$I:$I,Data_Final!$B:$B,$B119,Data_Final!$C:$C,E$100)</f>
        <v>0</v>
      </c>
      <c r="F119" s="280">
        <f>SUMIFS(Data_Final!$I:$I,Data_Final!$B:$B,$B119,Data_Final!$C:$C,F$100)</f>
        <v>0</v>
      </c>
      <c r="G119" s="280">
        <f>SUMIFS(Data_Final!$I:$I,Data_Final!$B:$B,$B119,Data_Final!$C:$C,G$100)</f>
        <v>0</v>
      </c>
      <c r="H119" s="267"/>
      <c r="I119" s="267"/>
      <c r="J119" s="267"/>
      <c r="K119" s="506"/>
      <c r="Y119" s="7"/>
      <c r="Z119" s="7"/>
    </row>
    <row r="120" spans="2:26" x14ac:dyDescent="0.2">
      <c r="B120" s="514" t="s">
        <v>110</v>
      </c>
      <c r="C120" s="280">
        <f>SUMIFS(Data_Final!$I:$I,Data_Final!$B:$B,$B120,Data_Final!$C:$C,C$100)</f>
        <v>0</v>
      </c>
      <c r="D120" s="280">
        <f>SUMIFS(Data_Final!$I:$I,Data_Final!$B:$B,$B120,Data_Final!$C:$C,D$100)</f>
        <v>0</v>
      </c>
      <c r="E120" s="280">
        <f>SUMIFS(Data_Final!$I:$I,Data_Final!$B:$B,$B120,Data_Final!$C:$C,E$100)</f>
        <v>0</v>
      </c>
      <c r="F120" s="280">
        <f>SUMIFS(Data_Final!$I:$I,Data_Final!$B:$B,$B120,Data_Final!$C:$C,F$100)</f>
        <v>0</v>
      </c>
      <c r="G120" s="280">
        <f>SUMIFS(Data_Final!$I:$I,Data_Final!$B:$B,$B120,Data_Final!$C:$C,G$100)</f>
        <v>0</v>
      </c>
      <c r="H120" s="267"/>
      <c r="I120" s="267"/>
      <c r="J120" s="267"/>
      <c r="K120" s="506"/>
      <c r="Y120" s="7"/>
      <c r="Z120" s="7"/>
    </row>
    <row r="121" spans="2:26" x14ac:dyDescent="0.2">
      <c r="B121" s="514" t="s">
        <v>111</v>
      </c>
      <c r="C121" s="280">
        <f>SUMIFS(Data_Final!$I:$I,Data_Final!$B:$B,$B121,Data_Final!$C:$C,C$100)</f>
        <v>0</v>
      </c>
      <c r="D121" s="280">
        <f>SUMIFS(Data_Final!$I:$I,Data_Final!$B:$B,$B121,Data_Final!$C:$C,D$100)</f>
        <v>0</v>
      </c>
      <c r="E121" s="280">
        <f>SUMIFS(Data_Final!$I:$I,Data_Final!$B:$B,$B121,Data_Final!$C:$C,E$100)</f>
        <v>0</v>
      </c>
      <c r="F121" s="280">
        <f>SUMIFS(Data_Final!$I:$I,Data_Final!$B:$B,$B121,Data_Final!$C:$C,F$100)</f>
        <v>0</v>
      </c>
      <c r="G121" s="280">
        <f>SUMIFS(Data_Final!$I:$I,Data_Final!$B:$B,$B121,Data_Final!$C:$C,G$100)</f>
        <v>0</v>
      </c>
      <c r="H121" s="267"/>
      <c r="I121" s="267"/>
      <c r="J121" s="267"/>
      <c r="K121" s="506"/>
      <c r="Y121" s="7"/>
      <c r="Z121" s="7"/>
    </row>
    <row r="122" spans="2:26" x14ac:dyDescent="0.2">
      <c r="B122" s="515" t="s">
        <v>313</v>
      </c>
      <c r="C122" s="267">
        <f t="shared" ref="C122:J122" si="16">SUM(C101:C117)</f>
        <v>65.694701196096844</v>
      </c>
      <c r="D122" s="267">
        <f t="shared" si="16"/>
        <v>91.477633117500829</v>
      </c>
      <c r="E122" s="267">
        <f t="shared" si="16"/>
        <v>102.786190056348</v>
      </c>
      <c r="F122" s="267">
        <f t="shared" si="16"/>
        <v>114.36704332340807</v>
      </c>
      <c r="G122" s="267">
        <f t="shared" si="16"/>
        <v>127.9411725563308</v>
      </c>
      <c r="H122" s="267">
        <f t="shared" si="16"/>
        <v>502.2667402496844</v>
      </c>
      <c r="I122" s="267">
        <f>SUM(I101:I117)</f>
        <v>493.57299999999998</v>
      </c>
      <c r="J122" s="267">
        <f t="shared" si="16"/>
        <v>995.8397402496845</v>
      </c>
      <c r="K122" s="110"/>
      <c r="Y122" s="7"/>
      <c r="Z122" s="7"/>
    </row>
    <row r="123" spans="2:26" x14ac:dyDescent="0.2">
      <c r="B123" s="199" t="s">
        <v>381</v>
      </c>
      <c r="C123" s="260"/>
      <c r="D123" s="260"/>
      <c r="E123" s="260"/>
      <c r="F123" s="260"/>
      <c r="G123" s="260"/>
      <c r="H123" s="260"/>
      <c r="I123" s="260"/>
      <c r="J123" s="260"/>
      <c r="K123" s="260"/>
      <c r="Y123" s="7"/>
      <c r="Z123" s="7"/>
    </row>
    <row r="124" spans="2:26" ht="51" x14ac:dyDescent="0.2">
      <c r="B124" s="504" t="s">
        <v>312</v>
      </c>
      <c r="C124" s="504" t="s">
        <v>73</v>
      </c>
      <c r="D124" s="504" t="s">
        <v>74</v>
      </c>
      <c r="E124" s="504" t="s">
        <v>75</v>
      </c>
      <c r="F124" s="504" t="s">
        <v>76</v>
      </c>
      <c r="G124" s="504" t="s">
        <v>24</v>
      </c>
      <c r="H124" s="261" t="s">
        <v>377</v>
      </c>
      <c r="I124" s="261" t="s">
        <v>378</v>
      </c>
      <c r="J124" s="261" t="s">
        <v>379</v>
      </c>
      <c r="K124" s="261" t="s">
        <v>380</v>
      </c>
      <c r="Y124" s="7"/>
      <c r="Z124" s="7"/>
    </row>
    <row r="125" spans="2:26" x14ac:dyDescent="0.2">
      <c r="B125" s="514" t="s">
        <v>26</v>
      </c>
      <c r="C125" s="280">
        <f>SUMIFS(Data_Final!$J:$J,Data_Final!$B:$B,$B125,Data_Final!$C:$C,C$124)</f>
        <v>34.686573502436978</v>
      </c>
      <c r="D125" s="280">
        <f>SUMIFS(Data_Final!$J:$J,Data_Final!$B:$B,$B125,Data_Final!$C:$C,D$124)</f>
        <v>33.892515316799297</v>
      </c>
      <c r="E125" s="280">
        <f>SUMIFS(Data_Final!$J:$J,Data_Final!$B:$B,$B125,Data_Final!$C:$C,E$124)</f>
        <v>34.909085327522035</v>
      </c>
      <c r="F125" s="280">
        <f>SUMIFS(Data_Final!$J:$J,Data_Final!$B:$B,$B125,Data_Final!$C:$C,F$124)</f>
        <v>34.011746273884526</v>
      </c>
      <c r="G125" s="280">
        <f>SUMIFS(Data_Final!$J:$J,Data_Final!$B:$B,$B125,Data_Final!$C:$C,G$124)</f>
        <v>31.494375880399012</v>
      </c>
      <c r="H125" s="267">
        <f t="shared" ref="H125:H141" si="17">SUM(C125:G125)</f>
        <v>168.99429630104186</v>
      </c>
      <c r="I125" s="267">
        <v>-98.34</v>
      </c>
      <c r="J125" s="267">
        <f t="shared" ref="J125:J141" si="18">SUM(C125:G125)+I125</f>
        <v>70.654296301041853</v>
      </c>
      <c r="K125" s="509" t="s">
        <v>879</v>
      </c>
      <c r="Y125" s="7"/>
      <c r="Z125" s="7"/>
    </row>
    <row r="126" spans="2:26" x14ac:dyDescent="0.2">
      <c r="B126" s="514" t="s">
        <v>106</v>
      </c>
      <c r="C126" s="280">
        <f>SUMIFS(Data_Final!$J:$J,Data_Final!$B:$B,$B126,Data_Final!$C:$C,C$124)</f>
        <v>0</v>
      </c>
      <c r="D126" s="280">
        <f>SUMIFS(Data_Final!$J:$J,Data_Final!$B:$B,$B126,Data_Final!$C:$C,D$124)</f>
        <v>0</v>
      </c>
      <c r="E126" s="280">
        <f>SUMIFS(Data_Final!$J:$J,Data_Final!$B:$B,$B126,Data_Final!$C:$C,E$124)</f>
        <v>0</v>
      </c>
      <c r="F126" s="280">
        <f>SUMIFS(Data_Final!$J:$J,Data_Final!$B:$B,$B126,Data_Final!$C:$C,F$124)</f>
        <v>0</v>
      </c>
      <c r="G126" s="280">
        <f>SUMIFS(Data_Final!$J:$J,Data_Final!$B:$B,$B126,Data_Final!$C:$C,G$124)</f>
        <v>0</v>
      </c>
      <c r="H126" s="267">
        <f t="shared" si="17"/>
        <v>0</v>
      </c>
      <c r="I126" s="507"/>
      <c r="J126" s="507">
        <f t="shared" si="18"/>
        <v>0</v>
      </c>
      <c r="K126" s="510"/>
      <c r="L126" s="502"/>
      <c r="Y126" s="7"/>
      <c r="Z126" s="7"/>
    </row>
    <row r="127" spans="2:26" x14ac:dyDescent="0.2">
      <c r="B127" s="514" t="s">
        <v>28</v>
      </c>
      <c r="C127" s="280">
        <f>SUMIFS(Data_Final!$J:$J,Data_Final!$B:$B,$B127,Data_Final!$C:$C,C$124)</f>
        <v>0</v>
      </c>
      <c r="D127" s="280">
        <f>SUMIFS(Data_Final!$J:$J,Data_Final!$B:$B,$B127,Data_Final!$C:$C,D$124)</f>
        <v>0</v>
      </c>
      <c r="E127" s="280">
        <f>SUMIFS(Data_Final!$J:$J,Data_Final!$B:$B,$B127,Data_Final!$C:$C,E$124)</f>
        <v>0</v>
      </c>
      <c r="F127" s="280">
        <f>SUMIFS(Data_Final!$J:$J,Data_Final!$B:$B,$B127,Data_Final!$C:$C,F$124)</f>
        <v>0</v>
      </c>
      <c r="G127" s="280">
        <f>SUMIFS(Data_Final!$J:$J,Data_Final!$B:$B,$B127,Data_Final!$C:$C,G$124)</f>
        <v>0</v>
      </c>
      <c r="H127" s="267">
        <f t="shared" si="17"/>
        <v>0</v>
      </c>
      <c r="I127" s="507"/>
      <c r="J127" s="507">
        <f t="shared" si="18"/>
        <v>0</v>
      </c>
      <c r="K127" s="508"/>
      <c r="L127" s="502"/>
      <c r="Y127" s="7"/>
      <c r="Z127" s="7"/>
    </row>
    <row r="128" spans="2:26" x14ac:dyDescent="0.2">
      <c r="B128" s="514" t="s">
        <v>32</v>
      </c>
      <c r="C128" s="280">
        <f>SUMIFS(Data_Final!$J:$J,Data_Final!$B:$B,$B128,Data_Final!$C:$C,C$124)</f>
        <v>27.240200000000002</v>
      </c>
      <c r="D128" s="280">
        <f>SUMIFS(Data_Final!$J:$J,Data_Final!$B:$B,$B128,Data_Final!$C:$C,D$124)</f>
        <v>22.2804</v>
      </c>
      <c r="E128" s="280">
        <f>SUMIFS(Data_Final!$J:$J,Data_Final!$B:$B,$B128,Data_Final!$C:$C,E$124)</f>
        <v>0.48</v>
      </c>
      <c r="F128" s="280">
        <f>SUMIFS(Data_Final!$J:$J,Data_Final!$B:$B,$B128,Data_Final!$C:$C,F$124)</f>
        <v>0</v>
      </c>
      <c r="G128" s="280">
        <f>SUMIFS(Data_Final!$J:$J,Data_Final!$B:$B,$B128,Data_Final!$C:$C,G$124)</f>
        <v>0</v>
      </c>
      <c r="H128" s="267">
        <f t="shared" si="17"/>
        <v>50.000599999999999</v>
      </c>
      <c r="I128" s="507"/>
      <c r="J128" s="507">
        <f t="shared" si="18"/>
        <v>50.000599999999999</v>
      </c>
      <c r="K128" s="508"/>
      <c r="L128" s="502"/>
      <c r="Y128" s="7"/>
      <c r="Z128" s="7"/>
    </row>
    <row r="129" spans="2:26" x14ac:dyDescent="0.2">
      <c r="B129" s="514" t="s">
        <v>30</v>
      </c>
      <c r="C129" s="280">
        <f>SUMIFS(Data_Final!$J:$J,Data_Final!$B:$B,$B129,Data_Final!$C:$C,C$124)</f>
        <v>5.0839999999999996</v>
      </c>
      <c r="D129" s="280">
        <f>SUMIFS(Data_Final!$J:$J,Data_Final!$B:$B,$B129,Data_Final!$C:$C,D$124)</f>
        <v>5.4690000000000003</v>
      </c>
      <c r="E129" s="280">
        <f>SUMIFS(Data_Final!$J:$J,Data_Final!$B:$B,$B129,Data_Final!$C:$C,E$124)</f>
        <v>6.2380000000000004</v>
      </c>
      <c r="F129" s="280">
        <f>SUMIFS(Data_Final!$J:$J,Data_Final!$B:$B,$B129,Data_Final!$C:$C,F$124)</f>
        <v>7.9710000000000001</v>
      </c>
      <c r="G129" s="280">
        <f>SUMIFS(Data_Final!$J:$J,Data_Final!$B:$B,$B129,Data_Final!$C:$C,G$124)</f>
        <v>8.3559999999999999</v>
      </c>
      <c r="H129" s="267">
        <f t="shared" si="17"/>
        <v>33.118000000000002</v>
      </c>
      <c r="I129" s="507"/>
      <c r="J129" s="507">
        <f t="shared" si="18"/>
        <v>33.118000000000002</v>
      </c>
      <c r="K129" s="508"/>
      <c r="L129" s="502"/>
      <c r="Y129" s="7"/>
      <c r="Z129" s="7"/>
    </row>
    <row r="130" spans="2:26" x14ac:dyDescent="0.2">
      <c r="B130" s="514" t="s">
        <v>29</v>
      </c>
      <c r="C130" s="280">
        <f>SUMIFS(Data_Final!$J:$J,Data_Final!$B:$B,$B130,Data_Final!$C:$C,C$124)</f>
        <v>7.8470000000000004</v>
      </c>
      <c r="D130" s="280">
        <f>SUMIFS(Data_Final!$J:$J,Data_Final!$B:$B,$B130,Data_Final!$C:$C,D$124)</f>
        <v>7.8470000000000004</v>
      </c>
      <c r="E130" s="280">
        <f>SUMIFS(Data_Final!$J:$J,Data_Final!$B:$B,$B130,Data_Final!$C:$C,E$124)</f>
        <v>4.9489999999999998</v>
      </c>
      <c r="F130" s="280">
        <f>SUMIFS(Data_Final!$J:$J,Data_Final!$B:$B,$B130,Data_Final!$C:$C,F$124)</f>
        <v>4.9489999999999998</v>
      </c>
      <c r="G130" s="280">
        <f>SUMIFS(Data_Final!$J:$J,Data_Final!$B:$B,$B130,Data_Final!$C:$C,G$124)</f>
        <v>6.3979999999999997</v>
      </c>
      <c r="H130" s="267">
        <f t="shared" si="17"/>
        <v>31.99</v>
      </c>
      <c r="I130" s="443">
        <v>-1.6</v>
      </c>
      <c r="J130" s="507">
        <f t="shared" si="18"/>
        <v>30.389999999999997</v>
      </c>
      <c r="K130" s="510" t="s">
        <v>880</v>
      </c>
      <c r="L130" s="502"/>
      <c r="Y130" s="7"/>
      <c r="Z130" s="7"/>
    </row>
    <row r="131" spans="2:26" x14ac:dyDescent="0.2">
      <c r="B131" s="514" t="s">
        <v>108</v>
      </c>
      <c r="C131" s="280">
        <f>SUMIFS(Data_Final!$J:$J,Data_Final!$B:$B,$B131,Data_Final!$C:$C,C$124)</f>
        <v>0.9</v>
      </c>
      <c r="D131" s="280">
        <f>SUMIFS(Data_Final!$J:$J,Data_Final!$B:$B,$B131,Data_Final!$C:$C,D$124)</f>
        <v>0.9</v>
      </c>
      <c r="E131" s="280">
        <f>SUMIFS(Data_Final!$J:$J,Data_Final!$B:$B,$B131,Data_Final!$C:$C,E$124)</f>
        <v>0.64400000000000002</v>
      </c>
      <c r="F131" s="280">
        <f>SUMIFS(Data_Final!$J:$J,Data_Final!$B:$B,$B131,Data_Final!$C:$C,F$124)</f>
        <v>0.64400000000000002</v>
      </c>
      <c r="G131" s="280">
        <f>SUMIFS(Data_Final!$J:$J,Data_Final!$B:$B,$B131,Data_Final!$C:$C,G$124)</f>
        <v>0.64400000000000002</v>
      </c>
      <c r="H131" s="267">
        <f t="shared" si="17"/>
        <v>3.7320000000000002</v>
      </c>
      <c r="I131" s="443">
        <f>7.298</f>
        <v>7.298</v>
      </c>
      <c r="J131" s="507">
        <f t="shared" si="18"/>
        <v>11.030000000000001</v>
      </c>
      <c r="K131" s="510" t="s">
        <v>881</v>
      </c>
      <c r="L131" s="502"/>
      <c r="Y131" s="7"/>
      <c r="Z131" s="7"/>
    </row>
    <row r="132" spans="2:26" x14ac:dyDescent="0.2">
      <c r="B132" s="514" t="s">
        <v>31</v>
      </c>
      <c r="C132" s="280">
        <f>SUMIFS(Data_Final!$J:$J,Data_Final!$B:$B,$B132,Data_Final!$C:$C,C$124)</f>
        <v>14.6836315839</v>
      </c>
      <c r="D132" s="280">
        <f>SUMIFS(Data_Final!$J:$J,Data_Final!$B:$B,$B132,Data_Final!$C:$C,D$124)</f>
        <v>24.328895877200001</v>
      </c>
      <c r="E132" s="280">
        <f>SUMIFS(Data_Final!$J:$J,Data_Final!$B:$B,$B132,Data_Final!$C:$C,E$124)</f>
        <v>30.854950908300001</v>
      </c>
      <c r="F132" s="280">
        <f>SUMIFS(Data_Final!$J:$J,Data_Final!$B:$B,$B132,Data_Final!$C:$C,F$124)</f>
        <v>27.795380127300003</v>
      </c>
      <c r="G132" s="280">
        <f>SUMIFS(Data_Final!$J:$J,Data_Final!$B:$B,$B132,Data_Final!$C:$C,G$124)</f>
        <v>24.689757718699997</v>
      </c>
      <c r="H132" s="267">
        <f t="shared" si="17"/>
        <v>122.3526162154</v>
      </c>
      <c r="I132" s="507"/>
      <c r="J132" s="507">
        <f t="shared" si="18"/>
        <v>122.3526162154</v>
      </c>
      <c r="K132" s="508"/>
      <c r="L132" s="502"/>
      <c r="Y132" s="7"/>
      <c r="Z132" s="7"/>
    </row>
    <row r="133" spans="2:26" x14ac:dyDescent="0.2">
      <c r="B133" s="514" t="s">
        <v>27</v>
      </c>
      <c r="C133" s="280">
        <f>SUMIFS(Data_Final!$J:$J,Data_Final!$B:$B,$B133,Data_Final!$C:$C,C$124)</f>
        <v>0</v>
      </c>
      <c r="D133" s="280">
        <f>SUMIFS(Data_Final!$J:$J,Data_Final!$B:$B,$B133,Data_Final!$C:$C,D$124)</f>
        <v>0</v>
      </c>
      <c r="E133" s="280">
        <f>SUMIFS(Data_Final!$J:$J,Data_Final!$B:$B,$B133,Data_Final!$C:$C,E$124)</f>
        <v>0</v>
      </c>
      <c r="F133" s="280">
        <f>SUMIFS(Data_Final!$J:$J,Data_Final!$B:$B,$B133,Data_Final!$C:$C,F$124)</f>
        <v>0</v>
      </c>
      <c r="G133" s="280">
        <f>SUMIFS(Data_Final!$J:$J,Data_Final!$B:$B,$B133,Data_Final!$C:$C,G$124)</f>
        <v>0</v>
      </c>
      <c r="H133" s="267">
        <f t="shared" si="17"/>
        <v>0</v>
      </c>
      <c r="I133" s="507">
        <v>66.655000000000001</v>
      </c>
      <c r="J133" s="507">
        <f t="shared" si="18"/>
        <v>66.655000000000001</v>
      </c>
      <c r="K133" s="510" t="s">
        <v>887</v>
      </c>
      <c r="L133" s="502"/>
      <c r="Y133" s="7"/>
      <c r="Z133" s="7"/>
    </row>
    <row r="134" spans="2:26" x14ac:dyDescent="0.2">
      <c r="B134" s="514" t="s">
        <v>33</v>
      </c>
      <c r="C134" s="280">
        <f>SUMIFS(Data_Final!$J:$J,Data_Final!$B:$B,$B134,Data_Final!$C:$C,C$124)</f>
        <v>0.57011538461538502</v>
      </c>
      <c r="D134" s="280">
        <f>SUMIFS(Data_Final!$J:$J,Data_Final!$B:$B,$B134,Data_Final!$C:$C,D$124)</f>
        <v>0.57011538461538502</v>
      </c>
      <c r="E134" s="280">
        <f>SUMIFS(Data_Final!$J:$J,Data_Final!$B:$B,$B134,Data_Final!$C:$C,E$124)</f>
        <v>0.57011538461538502</v>
      </c>
      <c r="F134" s="280">
        <f>SUMIFS(Data_Final!$J:$J,Data_Final!$B:$B,$B134,Data_Final!$C:$C,F$124)</f>
        <v>0.57011538461538502</v>
      </c>
      <c r="G134" s="280">
        <f>SUMIFS(Data_Final!$J:$J,Data_Final!$B:$B,$B134,Data_Final!$C:$C,G$124)</f>
        <v>0.57011538461538502</v>
      </c>
      <c r="H134" s="267">
        <f t="shared" si="17"/>
        <v>2.8505769230769253</v>
      </c>
      <c r="I134" s="507"/>
      <c r="J134" s="507">
        <f t="shared" si="18"/>
        <v>2.8505769230769253</v>
      </c>
      <c r="K134" s="508"/>
      <c r="L134" s="502"/>
      <c r="Y134" s="7"/>
      <c r="Z134" s="7"/>
    </row>
    <row r="135" spans="2:26" x14ac:dyDescent="0.2">
      <c r="B135" s="514" t="s">
        <v>34</v>
      </c>
      <c r="C135" s="280">
        <f>SUMIFS(Data_Final!$J:$J,Data_Final!$B:$B,$B135,Data_Final!$C:$C,C$124)</f>
        <v>0</v>
      </c>
      <c r="D135" s="280">
        <f>SUMIFS(Data_Final!$J:$J,Data_Final!$B:$B,$B135,Data_Final!$C:$C,D$124)</f>
        <v>0</v>
      </c>
      <c r="E135" s="280">
        <f>SUMIFS(Data_Final!$J:$J,Data_Final!$B:$B,$B135,Data_Final!$C:$C,E$124)</f>
        <v>0</v>
      </c>
      <c r="F135" s="280">
        <f>SUMIFS(Data_Final!$J:$J,Data_Final!$B:$B,$B135,Data_Final!$C:$C,F$124)</f>
        <v>0</v>
      </c>
      <c r="G135" s="280">
        <f>SUMIFS(Data_Final!$J:$J,Data_Final!$B:$B,$B135,Data_Final!$C:$C,G$124)</f>
        <v>0</v>
      </c>
      <c r="H135" s="267">
        <f t="shared" si="17"/>
        <v>0</v>
      </c>
      <c r="I135" s="507">
        <v>71.863</v>
      </c>
      <c r="J135" s="507">
        <f t="shared" si="18"/>
        <v>71.863</v>
      </c>
      <c r="K135" s="510" t="s">
        <v>885</v>
      </c>
      <c r="L135" s="502"/>
      <c r="Y135" s="7"/>
      <c r="Z135" s="7"/>
    </row>
    <row r="136" spans="2:26" x14ac:dyDescent="0.2">
      <c r="B136" s="514" t="s">
        <v>35</v>
      </c>
      <c r="C136" s="280">
        <f>SUMIFS(Data_Final!$J:$J,Data_Final!$B:$B,$B136,Data_Final!$C:$C,C$124)</f>
        <v>9.08</v>
      </c>
      <c r="D136" s="280">
        <f>SUMIFS(Data_Final!$J:$J,Data_Final!$B:$B,$B136,Data_Final!$C:$C,D$124)</f>
        <v>9.08</v>
      </c>
      <c r="E136" s="280">
        <f>SUMIFS(Data_Final!$J:$J,Data_Final!$B:$B,$B136,Data_Final!$C:$C,E$124)</f>
        <v>9.08</v>
      </c>
      <c r="F136" s="280">
        <f>SUMIFS(Data_Final!$J:$J,Data_Final!$B:$B,$B136,Data_Final!$C:$C,F$124)</f>
        <v>9.08</v>
      </c>
      <c r="G136" s="280">
        <f>SUMIFS(Data_Final!$J:$J,Data_Final!$B:$B,$B136,Data_Final!$C:$C,G$124)</f>
        <v>9.08</v>
      </c>
      <c r="H136" s="267">
        <f t="shared" si="17"/>
        <v>45.4</v>
      </c>
      <c r="I136" s="507"/>
      <c r="J136" s="507">
        <f t="shared" si="18"/>
        <v>45.4</v>
      </c>
      <c r="K136" s="508"/>
      <c r="L136" s="502"/>
      <c r="Y136" s="7"/>
      <c r="Z136" s="7"/>
    </row>
    <row r="137" spans="2:26" x14ac:dyDescent="0.2">
      <c r="B137" s="514" t="s">
        <v>36</v>
      </c>
      <c r="C137" s="280">
        <f>SUMIFS(Data_Final!$J:$J,Data_Final!$B:$B,$B137,Data_Final!$C:$C,C$124)</f>
        <v>0.69599999999999995</v>
      </c>
      <c r="D137" s="280">
        <f>SUMIFS(Data_Final!$J:$J,Data_Final!$B:$B,$B137,Data_Final!$C:$C,D$124)</f>
        <v>0.69599999999999995</v>
      </c>
      <c r="E137" s="280">
        <f>SUMIFS(Data_Final!$J:$J,Data_Final!$B:$B,$B137,Data_Final!$C:$C,E$124)</f>
        <v>0.69599999999999995</v>
      </c>
      <c r="F137" s="280">
        <f>SUMIFS(Data_Final!$J:$J,Data_Final!$B:$B,$B137,Data_Final!$C:$C,F$124)</f>
        <v>0.69599999999999995</v>
      </c>
      <c r="G137" s="280">
        <f>SUMIFS(Data_Final!$J:$J,Data_Final!$B:$B,$B137,Data_Final!$C:$C,G$124)</f>
        <v>0.69599999999999995</v>
      </c>
      <c r="H137" s="267">
        <f t="shared" si="17"/>
        <v>3.4799999999999995</v>
      </c>
      <c r="I137" s="507"/>
      <c r="J137" s="507">
        <f t="shared" si="18"/>
        <v>3.4799999999999995</v>
      </c>
      <c r="K137" s="508"/>
      <c r="L137" s="502"/>
      <c r="Y137" s="7"/>
      <c r="Z137" s="7"/>
    </row>
    <row r="138" spans="2:26" x14ac:dyDescent="0.2">
      <c r="B138" s="514" t="s">
        <v>37</v>
      </c>
      <c r="C138" s="280">
        <f>SUMIFS(Data_Final!$J:$J,Data_Final!$B:$B,$B138,Data_Final!$C:$C,C$124)</f>
        <v>1.1599999999999999</v>
      </c>
      <c r="D138" s="280">
        <f>SUMIFS(Data_Final!$J:$J,Data_Final!$B:$B,$B138,Data_Final!$C:$C,D$124)</f>
        <v>0.38700000000000001</v>
      </c>
      <c r="E138" s="280">
        <f>SUMIFS(Data_Final!$J:$J,Data_Final!$B:$B,$B138,Data_Final!$C:$C,E$124)</f>
        <v>0</v>
      </c>
      <c r="F138" s="280">
        <f>SUMIFS(Data_Final!$J:$J,Data_Final!$B:$B,$B138,Data_Final!$C:$C,F$124)</f>
        <v>0</v>
      </c>
      <c r="G138" s="280">
        <f>SUMIFS(Data_Final!$J:$J,Data_Final!$B:$B,$B138,Data_Final!$C:$C,G$124)</f>
        <v>0</v>
      </c>
      <c r="H138" s="267">
        <f t="shared" si="17"/>
        <v>1.5469999999999999</v>
      </c>
      <c r="I138" s="507"/>
      <c r="J138" s="507">
        <f t="shared" si="18"/>
        <v>1.5469999999999999</v>
      </c>
      <c r="K138" s="508"/>
      <c r="L138" s="502"/>
      <c r="Y138" s="7"/>
      <c r="Z138" s="7"/>
    </row>
    <row r="139" spans="2:26" x14ac:dyDescent="0.2">
      <c r="B139" s="514" t="s">
        <v>40</v>
      </c>
      <c r="C139" s="280">
        <f>SUMIFS(Data_Final!$J:$J,Data_Final!$B:$B,$B139,Data_Final!$C:$C,C$124)</f>
        <v>0</v>
      </c>
      <c r="D139" s="280">
        <f>SUMIFS(Data_Final!$J:$J,Data_Final!$B:$B,$B139,Data_Final!$C:$C,D$124)</f>
        <v>0</v>
      </c>
      <c r="E139" s="280">
        <f>SUMIFS(Data_Final!$J:$J,Data_Final!$B:$B,$B139,Data_Final!$C:$C,E$124)</f>
        <v>0</v>
      </c>
      <c r="F139" s="280">
        <f>SUMIFS(Data_Final!$J:$J,Data_Final!$B:$B,$B139,Data_Final!$C:$C,F$124)</f>
        <v>0</v>
      </c>
      <c r="G139" s="280">
        <f>SUMIFS(Data_Final!$J:$J,Data_Final!$B:$B,$B139,Data_Final!$C:$C,G$124)</f>
        <v>0</v>
      </c>
      <c r="H139" s="267">
        <f t="shared" si="17"/>
        <v>0</v>
      </c>
      <c r="I139" s="507">
        <v>14.951000000000001</v>
      </c>
      <c r="J139" s="507">
        <f t="shared" si="18"/>
        <v>14.951000000000001</v>
      </c>
      <c r="K139" s="510" t="s">
        <v>886</v>
      </c>
      <c r="L139" s="502"/>
      <c r="Y139" s="7"/>
      <c r="Z139" s="7"/>
    </row>
    <row r="140" spans="2:26" ht="43.15" customHeight="1" x14ac:dyDescent="0.2">
      <c r="B140" s="514" t="s">
        <v>38</v>
      </c>
      <c r="C140" s="280">
        <f>SUMIFS(Data_Final!$J:$J,Data_Final!$B:$B,$B140,Data_Final!$C:$C,C$124)</f>
        <v>7.1065977424167199</v>
      </c>
      <c r="D140" s="280">
        <f>SUMIFS(Data_Final!$J:$J,Data_Final!$B:$B,$B140,Data_Final!$C:$C,D$124)</f>
        <v>22.843408929451002</v>
      </c>
      <c r="E140" s="280">
        <f>SUMIFS(Data_Final!$J:$J,Data_Final!$B:$B,$B140,Data_Final!$C:$C,E$124)</f>
        <v>25.432594405309999</v>
      </c>
      <c r="F140" s="280">
        <f>SUMIFS(Data_Final!$J:$J,Data_Final!$B:$B,$B140,Data_Final!$C:$C,F$124)</f>
        <v>13.25358265142992</v>
      </c>
      <c r="G140" s="280">
        <f>SUMIFS(Data_Final!$J:$J,Data_Final!$B:$B,$B140,Data_Final!$C:$C,G$124)</f>
        <v>15.818608838736161</v>
      </c>
      <c r="H140" s="267">
        <f t="shared" si="17"/>
        <v>84.454792567343816</v>
      </c>
      <c r="I140" s="507"/>
      <c r="J140" s="507">
        <f t="shared" si="18"/>
        <v>84.454792567343816</v>
      </c>
      <c r="K140" s="510" t="s">
        <v>890</v>
      </c>
      <c r="L140" s="502"/>
      <c r="Y140" s="7"/>
      <c r="Z140" s="7"/>
    </row>
    <row r="141" spans="2:26" x14ac:dyDescent="0.2">
      <c r="B141" s="514" t="s">
        <v>39</v>
      </c>
      <c r="C141" s="280">
        <f>SUMIFS(Data_Final!$J:$J,Data_Final!$B:$B,$B141,Data_Final!$C:$C,C$124)</f>
        <v>1.9620772750048401</v>
      </c>
      <c r="D141" s="280">
        <f>SUMIFS(Data_Final!$J:$J,Data_Final!$B:$B,$B141,Data_Final!$C:$C,D$124)</f>
        <v>1.9620772750048401</v>
      </c>
      <c r="E141" s="280">
        <f>SUMIFS(Data_Final!$J:$J,Data_Final!$B:$B,$B141,Data_Final!$C:$C,E$124)</f>
        <v>1.9620772750048401</v>
      </c>
      <c r="F141" s="280">
        <f>SUMIFS(Data_Final!$J:$J,Data_Final!$B:$B,$B141,Data_Final!$C:$C,F$124)</f>
        <v>1.9620772750048401</v>
      </c>
      <c r="G141" s="280">
        <f>SUMIFS(Data_Final!$J:$J,Data_Final!$B:$B,$B141,Data_Final!$C:$C,G$124)</f>
        <v>1.9620772750048401</v>
      </c>
      <c r="H141" s="267">
        <f t="shared" si="17"/>
        <v>9.8103863750242013</v>
      </c>
      <c r="I141" s="267"/>
      <c r="J141" s="267">
        <f t="shared" si="18"/>
        <v>9.8103863750242013</v>
      </c>
      <c r="K141" s="506"/>
      <c r="Y141" s="7"/>
      <c r="Z141" s="7"/>
    </row>
    <row r="142" spans="2:26" x14ac:dyDescent="0.2">
      <c r="B142" s="514" t="s">
        <v>107</v>
      </c>
      <c r="C142" s="280">
        <f>SUMIFS(Data_Final!$J:$J,Data_Final!$B:$B,$B142,Data_Final!$C:$C,C$124)</f>
        <v>0</v>
      </c>
      <c r="D142" s="280">
        <f>SUMIFS(Data_Final!$J:$J,Data_Final!$B:$B,$B142,Data_Final!$C:$C,D$124)</f>
        <v>0</v>
      </c>
      <c r="E142" s="280">
        <f>SUMIFS(Data_Final!$J:$J,Data_Final!$B:$B,$B142,Data_Final!$C:$C,E$124)</f>
        <v>0</v>
      </c>
      <c r="F142" s="280">
        <f>SUMIFS(Data_Final!$J:$J,Data_Final!$B:$B,$B142,Data_Final!$C:$C,F$124)</f>
        <v>0</v>
      </c>
      <c r="G142" s="280">
        <f>SUMIFS(Data_Final!$J:$J,Data_Final!$B:$B,$B142,Data_Final!$C:$C,G$124)</f>
        <v>0</v>
      </c>
      <c r="H142" s="267"/>
      <c r="I142" s="267"/>
      <c r="J142" s="267"/>
      <c r="K142" s="110"/>
      <c r="Y142" s="7"/>
      <c r="Z142" s="7"/>
    </row>
    <row r="143" spans="2:26" x14ac:dyDescent="0.2">
      <c r="B143" s="514" t="s">
        <v>109</v>
      </c>
      <c r="C143" s="280">
        <f>SUMIFS(Data_Final!$J:$J,Data_Final!$B:$B,$B143,Data_Final!$C:$C,C$124)</f>
        <v>0</v>
      </c>
      <c r="D143" s="280">
        <f>SUMIFS(Data_Final!$J:$J,Data_Final!$B:$B,$B143,Data_Final!$C:$C,D$124)</f>
        <v>0</v>
      </c>
      <c r="E143" s="280">
        <f>SUMIFS(Data_Final!$J:$J,Data_Final!$B:$B,$B143,Data_Final!$C:$C,E$124)</f>
        <v>0</v>
      </c>
      <c r="F143" s="280">
        <f>SUMIFS(Data_Final!$J:$J,Data_Final!$B:$B,$B143,Data_Final!$C:$C,F$124)</f>
        <v>0</v>
      </c>
      <c r="G143" s="280">
        <f>SUMIFS(Data_Final!$J:$J,Data_Final!$B:$B,$B143,Data_Final!$C:$C,G$124)</f>
        <v>0</v>
      </c>
      <c r="H143" s="267"/>
      <c r="I143" s="267"/>
      <c r="J143" s="267"/>
      <c r="K143" s="110"/>
      <c r="Y143" s="7"/>
      <c r="Z143" s="7"/>
    </row>
    <row r="144" spans="2:26" x14ac:dyDescent="0.2">
      <c r="B144" s="514" t="s">
        <v>110</v>
      </c>
      <c r="C144" s="280">
        <f>SUMIFS(Data_Final!$J:$J,Data_Final!$B:$B,$B144,Data_Final!$C:$C,C$124)</f>
        <v>0</v>
      </c>
      <c r="D144" s="280">
        <f>SUMIFS(Data_Final!$J:$J,Data_Final!$B:$B,$B144,Data_Final!$C:$C,D$124)</f>
        <v>0</v>
      </c>
      <c r="E144" s="280">
        <f>SUMIFS(Data_Final!$J:$J,Data_Final!$B:$B,$B144,Data_Final!$C:$C,E$124)</f>
        <v>0</v>
      </c>
      <c r="F144" s="280">
        <f>SUMIFS(Data_Final!$J:$J,Data_Final!$B:$B,$B144,Data_Final!$C:$C,F$124)</f>
        <v>0</v>
      </c>
      <c r="G144" s="280">
        <f>SUMIFS(Data_Final!$J:$J,Data_Final!$B:$B,$B144,Data_Final!$C:$C,G$124)</f>
        <v>0</v>
      </c>
      <c r="H144" s="267"/>
      <c r="I144" s="267"/>
      <c r="J144" s="267"/>
      <c r="K144" s="110"/>
      <c r="Y144" s="7"/>
      <c r="Z144" s="7"/>
    </row>
    <row r="145" spans="2:26" x14ac:dyDescent="0.2">
      <c r="B145" s="514" t="s">
        <v>111</v>
      </c>
      <c r="C145" s="280">
        <f>SUMIFS(Data_Final!$J:$J,Data_Final!$B:$B,$B145,Data_Final!$C:$C,C$124)</f>
        <v>0</v>
      </c>
      <c r="D145" s="280">
        <f>SUMIFS(Data_Final!$J:$J,Data_Final!$B:$B,$B145,Data_Final!$C:$C,D$124)</f>
        <v>0</v>
      </c>
      <c r="E145" s="280">
        <f>SUMIFS(Data_Final!$J:$J,Data_Final!$B:$B,$B145,Data_Final!$C:$C,E$124)</f>
        <v>0</v>
      </c>
      <c r="F145" s="280">
        <f>SUMIFS(Data_Final!$J:$J,Data_Final!$B:$B,$B145,Data_Final!$C:$C,F$124)</f>
        <v>0</v>
      </c>
      <c r="G145" s="280">
        <f>SUMIFS(Data_Final!$J:$J,Data_Final!$B:$B,$B145,Data_Final!$C:$C,G$124)</f>
        <v>0</v>
      </c>
      <c r="H145" s="267"/>
      <c r="I145" s="267"/>
      <c r="J145" s="267"/>
      <c r="K145" s="110"/>
      <c r="Y145" s="7"/>
      <c r="Z145" s="7"/>
    </row>
    <row r="146" spans="2:26" x14ac:dyDescent="0.2">
      <c r="B146" s="515" t="s">
        <v>313</v>
      </c>
      <c r="C146" s="267">
        <f t="shared" ref="C146:G146" si="19">SUM(C125:C141)</f>
        <v>111.01619548837392</v>
      </c>
      <c r="D146" s="267">
        <f t="shared" si="19"/>
        <v>130.25641278307052</v>
      </c>
      <c r="E146" s="267">
        <f t="shared" si="19"/>
        <v>115.81582330075226</v>
      </c>
      <c r="F146" s="267">
        <f t="shared" si="19"/>
        <v>100.93290171223468</v>
      </c>
      <c r="G146" s="267">
        <f t="shared" si="19"/>
        <v>99.708935097455395</v>
      </c>
      <c r="H146" s="267">
        <f t="shared" ref="H146:J146" si="20">SUM(H125:H141)</f>
        <v>557.73026838188684</v>
      </c>
      <c r="I146" s="267">
        <f>SUM(I125:I141)</f>
        <v>60.827000000000005</v>
      </c>
      <c r="J146" s="267">
        <f t="shared" si="20"/>
        <v>618.55726838188673</v>
      </c>
      <c r="K146" s="110"/>
      <c r="Y146" s="7"/>
      <c r="Z146" s="7"/>
    </row>
    <row r="147" spans="2:26" x14ac:dyDescent="0.2">
      <c r="B147" s="260"/>
      <c r="C147" s="260"/>
      <c r="D147" s="260"/>
      <c r="E147" s="260"/>
      <c r="F147" s="260"/>
      <c r="G147" s="260"/>
      <c r="H147" s="260"/>
      <c r="I147" s="260"/>
      <c r="J147" s="260"/>
      <c r="K147" s="260"/>
      <c r="Y147" s="7"/>
      <c r="Z147" s="7"/>
    </row>
    <row r="148" spans="2:26" x14ac:dyDescent="0.2">
      <c r="B148" s="199" t="s">
        <v>382</v>
      </c>
      <c r="C148" s="262"/>
      <c r="D148" s="262"/>
      <c r="E148" s="262"/>
      <c r="F148" s="262"/>
      <c r="G148" s="262"/>
      <c r="H148" s="262"/>
      <c r="I148" s="262"/>
      <c r="J148" s="262"/>
      <c r="K148" s="262"/>
      <c r="Y148" s="7"/>
      <c r="Z148" s="7"/>
    </row>
    <row r="149" spans="2:26" ht="51" x14ac:dyDescent="0.2">
      <c r="B149" s="504" t="s">
        <v>312</v>
      </c>
      <c r="C149" s="504" t="s">
        <v>73</v>
      </c>
      <c r="D149" s="504" t="s">
        <v>74</v>
      </c>
      <c r="E149" s="504" t="s">
        <v>75</v>
      </c>
      <c r="F149" s="504" t="s">
        <v>76</v>
      </c>
      <c r="G149" s="504" t="s">
        <v>24</v>
      </c>
      <c r="H149" s="261" t="s">
        <v>377</v>
      </c>
      <c r="I149" s="261" t="s">
        <v>378</v>
      </c>
      <c r="J149" s="261" t="s">
        <v>379</v>
      </c>
      <c r="K149" s="261" t="s">
        <v>380</v>
      </c>
      <c r="Y149" s="7"/>
      <c r="Z149" s="7"/>
    </row>
    <row r="150" spans="2:26" x14ac:dyDescent="0.2">
      <c r="B150" s="514" t="s">
        <v>26</v>
      </c>
      <c r="C150" s="280">
        <f>SUMIFS(Data_Final!$P:$P,Data_Final!$B:$B,$B150,Data_Final!$C:$C,C$149)</f>
        <v>1.97234821647926E-2</v>
      </c>
      <c r="D150" s="280">
        <f>SUMIFS(Data_Final!$P:$P,Data_Final!$B:$B,$B150,Data_Final!$C:$C,D$149)</f>
        <v>0.15331519304492899</v>
      </c>
      <c r="E150" s="280">
        <f>SUMIFS(Data_Final!$P:$P,Data_Final!$B:$B,$B150,Data_Final!$C:$C,E$149)</f>
        <v>0.26482995826276401</v>
      </c>
      <c r="F150" s="280">
        <f>SUMIFS(Data_Final!$P:$P,Data_Final!$B:$B,$B150,Data_Final!$C:$C,F$149)</f>
        <v>0.30753104823482202</v>
      </c>
      <c r="G150" s="280">
        <f>SUMIFS(Data_Final!$P:$P,Data_Final!$B:$B,$B150,Data_Final!$C:$C,G$149)</f>
        <v>0.347805521051682</v>
      </c>
      <c r="H150" s="267">
        <f t="shared" ref="H150:H166" si="21">SUM(C150:G150)</f>
        <v>1.0932052027589896</v>
      </c>
      <c r="I150" s="267">
        <f>4.637+4.015</f>
        <v>8.6519999999999992</v>
      </c>
      <c r="J150" s="267">
        <f t="shared" ref="J150:J166" si="22">SUM(C150:G150)+I150</f>
        <v>9.7452052027589886</v>
      </c>
      <c r="K150" s="511" t="s">
        <v>883</v>
      </c>
      <c r="Y150" s="7"/>
      <c r="Z150" s="7"/>
    </row>
    <row r="151" spans="2:26" x14ac:dyDescent="0.2">
      <c r="B151" s="514" t="s">
        <v>106</v>
      </c>
      <c r="C151" s="280">
        <f>SUMIFS(Data_Final!$P:$P,Data_Final!$B:$B,$B151,Data_Final!$C:$C,C$149)</f>
        <v>0</v>
      </c>
      <c r="D151" s="280">
        <f>SUMIFS(Data_Final!$P:$P,Data_Final!$B:$B,$B151,Data_Final!$C:$C,D$149)</f>
        <v>0</v>
      </c>
      <c r="E151" s="280">
        <f>SUMIFS(Data_Final!$P:$P,Data_Final!$B:$B,$B151,Data_Final!$C:$C,E$149)</f>
        <v>0</v>
      </c>
      <c r="F151" s="280">
        <f>SUMIFS(Data_Final!$P:$P,Data_Final!$B:$B,$B151,Data_Final!$C:$C,F$149)</f>
        <v>0</v>
      </c>
      <c r="G151" s="280">
        <f>SUMIFS(Data_Final!$P:$P,Data_Final!$B:$B,$B151,Data_Final!$C:$C,G$149)</f>
        <v>0</v>
      </c>
      <c r="H151" s="267">
        <f t="shared" si="21"/>
        <v>0</v>
      </c>
      <c r="I151" s="267"/>
      <c r="J151" s="267">
        <f t="shared" si="22"/>
        <v>0</v>
      </c>
      <c r="K151" s="512"/>
      <c r="Y151" s="7"/>
      <c r="Z151" s="7"/>
    </row>
    <row r="152" spans="2:26" x14ac:dyDescent="0.2">
      <c r="B152" s="514" t="s">
        <v>28</v>
      </c>
      <c r="C152" s="280">
        <f>SUMIFS(Data_Final!$P:$P,Data_Final!$B:$B,$B152,Data_Final!$C:$C,C$149)</f>
        <v>0</v>
      </c>
      <c r="D152" s="280">
        <f>SUMIFS(Data_Final!$P:$P,Data_Final!$B:$B,$B152,Data_Final!$C:$C,D$149)</f>
        <v>0</v>
      </c>
      <c r="E152" s="280">
        <f>SUMIFS(Data_Final!$P:$P,Data_Final!$B:$B,$B152,Data_Final!$C:$C,E$149)</f>
        <v>0</v>
      </c>
      <c r="F152" s="280">
        <f>SUMIFS(Data_Final!$P:$P,Data_Final!$B:$B,$B152,Data_Final!$C:$C,F$149)</f>
        <v>0</v>
      </c>
      <c r="G152" s="280">
        <f>SUMIFS(Data_Final!$P:$P,Data_Final!$B:$B,$B152,Data_Final!$C:$C,G$149)</f>
        <v>0</v>
      </c>
      <c r="H152" s="267">
        <f t="shared" si="21"/>
        <v>0</v>
      </c>
      <c r="I152" s="267"/>
      <c r="J152" s="267">
        <f t="shared" si="22"/>
        <v>0</v>
      </c>
      <c r="K152" s="513"/>
      <c r="Y152" s="7"/>
      <c r="Z152" s="7"/>
    </row>
    <row r="153" spans="2:26" x14ac:dyDescent="0.2">
      <c r="B153" s="514" t="s">
        <v>32</v>
      </c>
      <c r="C153" s="280">
        <f>SUMIFS(Data_Final!$P:$P,Data_Final!$B:$B,$B153,Data_Final!$C:$C,C$149)</f>
        <v>2.5999999999999999E-2</v>
      </c>
      <c r="D153" s="280">
        <f>SUMIFS(Data_Final!$P:$P,Data_Final!$B:$B,$B153,Data_Final!$C:$C,D$149)</f>
        <v>2.7E-2</v>
      </c>
      <c r="E153" s="280">
        <f>SUMIFS(Data_Final!$P:$P,Data_Final!$B:$B,$B153,Data_Final!$C:$C,E$149)</f>
        <v>3.3000000000000002E-2</v>
      </c>
      <c r="F153" s="280">
        <f>SUMIFS(Data_Final!$P:$P,Data_Final!$B:$B,$B153,Data_Final!$C:$C,F$149)</f>
        <v>3.9E-2</v>
      </c>
      <c r="G153" s="280">
        <f>SUMIFS(Data_Final!$P:$P,Data_Final!$B:$B,$B153,Data_Final!$C:$C,G$149)</f>
        <v>4.5999999999999999E-2</v>
      </c>
      <c r="H153" s="267">
        <f t="shared" si="21"/>
        <v>0.17099999999999999</v>
      </c>
      <c r="I153" s="267"/>
      <c r="J153" s="267">
        <f t="shared" si="22"/>
        <v>0.17099999999999999</v>
      </c>
      <c r="K153" s="513"/>
      <c r="Y153" s="7"/>
      <c r="Z153" s="7"/>
    </row>
    <row r="154" spans="2:26" x14ac:dyDescent="0.2">
      <c r="B154" s="514" t="s">
        <v>30</v>
      </c>
      <c r="C154" s="280">
        <f>SUMIFS(Data_Final!$P:$P,Data_Final!$B:$B,$B154,Data_Final!$C:$C,C$149)</f>
        <v>0.2</v>
      </c>
      <c r="D154" s="280">
        <f>SUMIFS(Data_Final!$P:$P,Data_Final!$B:$B,$B154,Data_Final!$C:$C,D$149)</f>
        <v>0.2</v>
      </c>
      <c r="E154" s="280">
        <f>SUMIFS(Data_Final!$P:$P,Data_Final!$B:$B,$B154,Data_Final!$C:$C,E$149)</f>
        <v>0.2</v>
      </c>
      <c r="F154" s="280">
        <f>SUMIFS(Data_Final!$P:$P,Data_Final!$B:$B,$B154,Data_Final!$C:$C,F$149)</f>
        <v>0.2</v>
      </c>
      <c r="G154" s="280">
        <f>SUMIFS(Data_Final!$P:$P,Data_Final!$B:$B,$B154,Data_Final!$C:$C,G$149)</f>
        <v>0.2</v>
      </c>
      <c r="H154" s="267">
        <f t="shared" si="21"/>
        <v>1</v>
      </c>
      <c r="I154" s="267"/>
      <c r="J154" s="267">
        <f t="shared" si="22"/>
        <v>1</v>
      </c>
      <c r="K154" s="513"/>
      <c r="Y154" s="7"/>
      <c r="Z154" s="7"/>
    </row>
    <row r="155" spans="2:26" x14ac:dyDescent="0.2">
      <c r="B155" s="514" t="s">
        <v>29</v>
      </c>
      <c r="C155" s="280">
        <f>SUMIFS(Data_Final!$P:$P,Data_Final!$B:$B,$B155,Data_Final!$C:$C,C$149)</f>
        <v>0</v>
      </c>
      <c r="D155" s="280">
        <f>SUMIFS(Data_Final!$P:$P,Data_Final!$B:$B,$B155,Data_Final!$C:$C,D$149)</f>
        <v>0</v>
      </c>
      <c r="E155" s="280">
        <f>SUMIFS(Data_Final!$P:$P,Data_Final!$B:$B,$B155,Data_Final!$C:$C,E$149)</f>
        <v>0</v>
      </c>
      <c r="F155" s="280">
        <f>SUMIFS(Data_Final!$P:$P,Data_Final!$B:$B,$B155,Data_Final!$C:$C,F$149)</f>
        <v>0</v>
      </c>
      <c r="G155" s="280">
        <f>SUMIFS(Data_Final!$P:$P,Data_Final!$B:$B,$B155,Data_Final!$C:$C,G$149)</f>
        <v>0</v>
      </c>
      <c r="H155" s="267">
        <f t="shared" si="21"/>
        <v>0</v>
      </c>
      <c r="I155" s="267"/>
      <c r="J155" s="267">
        <f t="shared" si="22"/>
        <v>0</v>
      </c>
      <c r="K155" s="513"/>
      <c r="Y155" s="7"/>
      <c r="Z155" s="7"/>
    </row>
    <row r="156" spans="2:26" x14ac:dyDescent="0.2">
      <c r="B156" s="514" t="s">
        <v>108</v>
      </c>
      <c r="C156" s="280">
        <f>SUMIFS(Data_Final!$P:$P,Data_Final!$B:$B,$B156,Data_Final!$C:$C,C$149)</f>
        <v>0</v>
      </c>
      <c r="D156" s="280">
        <f>SUMIFS(Data_Final!$P:$P,Data_Final!$B:$B,$B156,Data_Final!$C:$C,D$149)</f>
        <v>0</v>
      </c>
      <c r="E156" s="280">
        <f>SUMIFS(Data_Final!$P:$P,Data_Final!$B:$B,$B156,Data_Final!$C:$C,E$149)</f>
        <v>0</v>
      </c>
      <c r="F156" s="280">
        <f>SUMIFS(Data_Final!$P:$P,Data_Final!$B:$B,$B156,Data_Final!$C:$C,F$149)</f>
        <v>0</v>
      </c>
      <c r="G156" s="280">
        <f>SUMIFS(Data_Final!$P:$P,Data_Final!$B:$B,$B156,Data_Final!$C:$C,G$149)</f>
        <v>0</v>
      </c>
      <c r="H156" s="267">
        <f t="shared" si="21"/>
        <v>0</v>
      </c>
      <c r="I156" s="267"/>
      <c r="J156" s="267">
        <f t="shared" si="22"/>
        <v>0</v>
      </c>
      <c r="K156" s="513"/>
      <c r="Y156" s="7"/>
      <c r="Z156" s="7"/>
    </row>
    <row r="157" spans="2:26" x14ac:dyDescent="0.2">
      <c r="B157" s="514" t="s">
        <v>31</v>
      </c>
      <c r="C157" s="280">
        <f>SUMIFS(Data_Final!$P:$P,Data_Final!$B:$B,$B157,Data_Final!$C:$C,C$149)</f>
        <v>2.6499992147000002</v>
      </c>
      <c r="D157" s="280">
        <f>SUMIFS(Data_Final!$P:$P,Data_Final!$B:$B,$B157,Data_Final!$C:$C,D$149)</f>
        <v>3.0979260051000002</v>
      </c>
      <c r="E157" s="280">
        <f>SUMIFS(Data_Final!$P:$P,Data_Final!$B:$B,$B157,Data_Final!$C:$C,E$149)</f>
        <v>3.7529784263999999</v>
      </c>
      <c r="F157" s="280">
        <f>SUMIFS(Data_Final!$P:$P,Data_Final!$B:$B,$B157,Data_Final!$C:$C,F$149)</f>
        <v>1.5100922797</v>
      </c>
      <c r="G157" s="280">
        <f>SUMIFS(Data_Final!$P:$P,Data_Final!$B:$B,$B157,Data_Final!$C:$C,G$149)</f>
        <v>1.7229922402</v>
      </c>
      <c r="H157" s="267">
        <f t="shared" si="21"/>
        <v>12.733988166100001</v>
      </c>
      <c r="I157" s="267"/>
      <c r="J157" s="267">
        <f t="shared" si="22"/>
        <v>12.733988166100001</v>
      </c>
      <c r="K157" s="513"/>
      <c r="Y157" s="7"/>
      <c r="Z157" s="7"/>
    </row>
    <row r="158" spans="2:26" x14ac:dyDescent="0.2">
      <c r="B158" s="514" t="s">
        <v>27</v>
      </c>
      <c r="C158" s="280">
        <f>SUMIFS(Data_Final!$P:$P,Data_Final!$B:$B,$B158,Data_Final!$C:$C,C$149)</f>
        <v>0.23599999999999999</v>
      </c>
      <c r="D158" s="280">
        <f>SUMIFS(Data_Final!$P:$P,Data_Final!$B:$B,$B158,Data_Final!$C:$C,D$149)</f>
        <v>0.23400000000000001</v>
      </c>
      <c r="E158" s="280">
        <f>SUMIFS(Data_Final!$P:$P,Data_Final!$B:$B,$B158,Data_Final!$C:$C,E$149)</f>
        <v>0.23200000000000001</v>
      </c>
      <c r="F158" s="280">
        <f>SUMIFS(Data_Final!$P:$P,Data_Final!$B:$B,$B158,Data_Final!$C:$C,F$149)</f>
        <v>0.22900000000000001</v>
      </c>
      <c r="G158" s="280">
        <f>SUMIFS(Data_Final!$P:$P,Data_Final!$B:$B,$B158,Data_Final!$C:$C,G$149)</f>
        <v>0.22800000000000001</v>
      </c>
      <c r="H158" s="267">
        <f t="shared" si="21"/>
        <v>1.159</v>
      </c>
      <c r="I158" s="507"/>
      <c r="J158" s="267">
        <f t="shared" si="22"/>
        <v>1.159</v>
      </c>
      <c r="K158" s="513"/>
      <c r="Y158" s="7"/>
      <c r="Z158" s="7"/>
    </row>
    <row r="159" spans="2:26" x14ac:dyDescent="0.2">
      <c r="B159" s="514" t="s">
        <v>33</v>
      </c>
      <c r="C159" s="280">
        <f>SUMIFS(Data_Final!$P:$P,Data_Final!$B:$B,$B159,Data_Final!$C:$C,C$149)</f>
        <v>0.37</v>
      </c>
      <c r="D159" s="280">
        <f>SUMIFS(Data_Final!$P:$P,Data_Final!$B:$B,$B159,Data_Final!$C:$C,D$149)</f>
        <v>0.73</v>
      </c>
      <c r="E159" s="280">
        <f>SUMIFS(Data_Final!$P:$P,Data_Final!$B:$B,$B159,Data_Final!$C:$C,E$149)</f>
        <v>1.1000000000000001</v>
      </c>
      <c r="F159" s="280">
        <f>SUMIFS(Data_Final!$P:$P,Data_Final!$B:$B,$B159,Data_Final!$C:$C,F$149)</f>
        <v>1.46</v>
      </c>
      <c r="G159" s="280">
        <f>SUMIFS(Data_Final!$P:$P,Data_Final!$B:$B,$B159,Data_Final!$C:$C,G$149)</f>
        <v>1.83</v>
      </c>
      <c r="H159" s="267">
        <f t="shared" si="21"/>
        <v>5.49</v>
      </c>
      <c r="I159" s="267"/>
      <c r="J159" s="267">
        <f t="shared" si="22"/>
        <v>5.49</v>
      </c>
      <c r="K159" s="513"/>
      <c r="Y159" s="7"/>
      <c r="Z159" s="7"/>
    </row>
    <row r="160" spans="2:26" x14ac:dyDescent="0.2">
      <c r="B160" s="514" t="s">
        <v>34</v>
      </c>
      <c r="C160" s="280">
        <f>SUMIFS(Data_Final!$P:$P,Data_Final!$B:$B,$B160,Data_Final!$C:$C,C$149)</f>
        <v>0</v>
      </c>
      <c r="D160" s="280">
        <f>SUMIFS(Data_Final!$P:$P,Data_Final!$B:$B,$B160,Data_Final!$C:$C,D$149)</f>
        <v>0</v>
      </c>
      <c r="E160" s="280">
        <f>SUMIFS(Data_Final!$P:$P,Data_Final!$B:$B,$B160,Data_Final!$C:$C,E$149)</f>
        <v>0</v>
      </c>
      <c r="F160" s="280">
        <f>SUMIFS(Data_Final!$P:$P,Data_Final!$B:$B,$B160,Data_Final!$C:$C,F$149)</f>
        <v>0</v>
      </c>
      <c r="G160" s="280">
        <f>SUMIFS(Data_Final!$P:$P,Data_Final!$B:$B,$B160,Data_Final!$C:$C,G$149)</f>
        <v>0</v>
      </c>
      <c r="H160" s="267">
        <f t="shared" si="21"/>
        <v>0</v>
      </c>
      <c r="I160" s="267"/>
      <c r="J160" s="267">
        <f t="shared" si="22"/>
        <v>0</v>
      </c>
      <c r="K160" s="513"/>
      <c r="Y160" s="7"/>
      <c r="Z160" s="7"/>
    </row>
    <row r="161" spans="2:26" x14ac:dyDescent="0.2">
      <c r="B161" s="514" t="s">
        <v>35</v>
      </c>
      <c r="C161" s="280">
        <f>SUMIFS(Data_Final!$P:$P,Data_Final!$B:$B,$B161,Data_Final!$C:$C,C$149)</f>
        <v>0</v>
      </c>
      <c r="D161" s="280">
        <f>SUMIFS(Data_Final!$P:$P,Data_Final!$B:$B,$B161,Data_Final!$C:$C,D$149)</f>
        <v>0</v>
      </c>
      <c r="E161" s="280">
        <f>SUMIFS(Data_Final!$P:$P,Data_Final!$B:$B,$B161,Data_Final!$C:$C,E$149)</f>
        <v>0</v>
      </c>
      <c r="F161" s="280">
        <f>SUMIFS(Data_Final!$P:$P,Data_Final!$B:$B,$B161,Data_Final!$C:$C,F$149)</f>
        <v>0</v>
      </c>
      <c r="G161" s="280">
        <f>SUMIFS(Data_Final!$P:$P,Data_Final!$B:$B,$B161,Data_Final!$C:$C,G$149)</f>
        <v>0</v>
      </c>
      <c r="H161" s="267">
        <f t="shared" si="21"/>
        <v>0</v>
      </c>
      <c r="I161" s="267"/>
      <c r="J161" s="267">
        <f t="shared" si="22"/>
        <v>0</v>
      </c>
      <c r="K161" s="513"/>
      <c r="Y161" s="7"/>
      <c r="Z161" s="7"/>
    </row>
    <row r="162" spans="2:26" x14ac:dyDescent="0.2">
      <c r="B162" s="514" t="s">
        <v>36</v>
      </c>
      <c r="C162" s="280">
        <f>SUMIFS(Data_Final!$P:$P,Data_Final!$B:$B,$B162,Data_Final!$C:$C,C$149)</f>
        <v>0</v>
      </c>
      <c r="D162" s="280">
        <f>SUMIFS(Data_Final!$P:$P,Data_Final!$B:$B,$B162,Data_Final!$C:$C,D$149)</f>
        <v>0</v>
      </c>
      <c r="E162" s="280">
        <f>SUMIFS(Data_Final!$P:$P,Data_Final!$B:$B,$B162,Data_Final!$C:$C,E$149)</f>
        <v>0</v>
      </c>
      <c r="F162" s="280">
        <f>SUMIFS(Data_Final!$P:$P,Data_Final!$B:$B,$B162,Data_Final!$C:$C,F$149)</f>
        <v>0</v>
      </c>
      <c r="G162" s="280">
        <f>SUMIFS(Data_Final!$P:$P,Data_Final!$B:$B,$B162,Data_Final!$C:$C,G$149)</f>
        <v>0</v>
      </c>
      <c r="H162" s="267">
        <f t="shared" si="21"/>
        <v>0</v>
      </c>
      <c r="I162" s="267"/>
      <c r="J162" s="267">
        <f t="shared" si="22"/>
        <v>0</v>
      </c>
      <c r="K162" s="513"/>
      <c r="Y162" s="7"/>
      <c r="Z162" s="7"/>
    </row>
    <row r="163" spans="2:26" x14ac:dyDescent="0.2">
      <c r="B163" s="514" t="s">
        <v>37</v>
      </c>
      <c r="C163" s="280">
        <f>SUMIFS(Data_Final!$P:$P,Data_Final!$B:$B,$B163,Data_Final!$C:$C,C$149)</f>
        <v>0</v>
      </c>
      <c r="D163" s="280">
        <f>SUMIFS(Data_Final!$P:$P,Data_Final!$B:$B,$B163,Data_Final!$C:$C,D$149)</f>
        <v>0</v>
      </c>
      <c r="E163" s="280">
        <f>SUMIFS(Data_Final!$P:$P,Data_Final!$B:$B,$B163,Data_Final!$C:$C,E$149)</f>
        <v>0</v>
      </c>
      <c r="F163" s="280">
        <f>SUMIFS(Data_Final!$P:$P,Data_Final!$B:$B,$B163,Data_Final!$C:$C,F$149)</f>
        <v>0</v>
      </c>
      <c r="G163" s="280">
        <f>SUMIFS(Data_Final!$P:$P,Data_Final!$B:$B,$B163,Data_Final!$C:$C,G$149)</f>
        <v>0</v>
      </c>
      <c r="H163" s="267">
        <f t="shared" si="21"/>
        <v>0</v>
      </c>
      <c r="I163" s="267"/>
      <c r="J163" s="267">
        <f t="shared" si="22"/>
        <v>0</v>
      </c>
      <c r="K163" s="513"/>
      <c r="Y163" s="7"/>
      <c r="Z163" s="7"/>
    </row>
    <row r="164" spans="2:26" x14ac:dyDescent="0.2">
      <c r="B164" s="514" t="s">
        <v>40</v>
      </c>
      <c r="C164" s="280">
        <f>SUMIFS(Data_Final!$P:$P,Data_Final!$B:$B,$B164,Data_Final!$C:$C,C$149)</f>
        <v>0</v>
      </c>
      <c r="D164" s="280">
        <f>SUMIFS(Data_Final!$P:$P,Data_Final!$B:$B,$B164,Data_Final!$C:$C,D$149)</f>
        <v>0</v>
      </c>
      <c r="E164" s="280">
        <f>SUMIFS(Data_Final!$P:$P,Data_Final!$B:$B,$B164,Data_Final!$C:$C,E$149)</f>
        <v>0</v>
      </c>
      <c r="F164" s="280">
        <f>SUMIFS(Data_Final!$P:$P,Data_Final!$B:$B,$B164,Data_Final!$C:$C,F$149)</f>
        <v>0</v>
      </c>
      <c r="G164" s="280">
        <f>SUMIFS(Data_Final!$P:$P,Data_Final!$B:$B,$B164,Data_Final!$C:$C,G$149)</f>
        <v>0</v>
      </c>
      <c r="H164" s="267">
        <f t="shared" si="21"/>
        <v>0</v>
      </c>
      <c r="I164" s="267"/>
      <c r="J164" s="267">
        <f t="shared" si="22"/>
        <v>0</v>
      </c>
      <c r="K164" s="513"/>
      <c r="Y164" s="7"/>
      <c r="Z164" s="7"/>
    </row>
    <row r="165" spans="2:26" x14ac:dyDescent="0.2">
      <c r="B165" s="514" t="s">
        <v>38</v>
      </c>
      <c r="C165" s="280">
        <f>SUMIFS(Data_Final!$P:$P,Data_Final!$B:$B,$B165,Data_Final!$C:$C,C$149)</f>
        <v>0</v>
      </c>
      <c r="D165" s="280">
        <f>SUMIFS(Data_Final!$P:$P,Data_Final!$B:$B,$B165,Data_Final!$C:$C,D$149)</f>
        <v>0</v>
      </c>
      <c r="E165" s="280">
        <f>SUMIFS(Data_Final!$P:$P,Data_Final!$B:$B,$B165,Data_Final!$C:$C,E$149)</f>
        <v>0</v>
      </c>
      <c r="F165" s="280">
        <f>SUMIFS(Data_Final!$P:$P,Data_Final!$B:$B,$B165,Data_Final!$C:$C,F$149)</f>
        <v>0.1775216914403519</v>
      </c>
      <c r="G165" s="280">
        <f>SUMIFS(Data_Final!$P:$P,Data_Final!$B:$B,$B165,Data_Final!$C:$C,G$149)</f>
        <v>0.17552457241164798</v>
      </c>
      <c r="H165" s="267">
        <f t="shared" si="21"/>
        <v>0.35304626385199989</v>
      </c>
      <c r="I165" s="267"/>
      <c r="J165" s="267">
        <f t="shared" si="22"/>
        <v>0.35304626385199989</v>
      </c>
      <c r="K165" s="513"/>
      <c r="Y165" s="7"/>
      <c r="Z165" s="7"/>
    </row>
    <row r="166" spans="2:26" x14ac:dyDescent="0.2">
      <c r="B166" s="514" t="s">
        <v>39</v>
      </c>
      <c r="C166" s="280">
        <f>SUMIFS(Data_Final!$P:$P,Data_Final!$B:$B,$B166,Data_Final!$C:$C,C$149)</f>
        <v>0</v>
      </c>
      <c r="D166" s="280">
        <f>SUMIFS(Data_Final!$P:$P,Data_Final!$B:$B,$B166,Data_Final!$C:$C,D$149)</f>
        <v>0</v>
      </c>
      <c r="E166" s="280">
        <f>SUMIFS(Data_Final!$P:$P,Data_Final!$B:$B,$B166,Data_Final!$C:$C,E$149)</f>
        <v>0</v>
      </c>
      <c r="F166" s="280">
        <f>SUMIFS(Data_Final!$P:$P,Data_Final!$B:$B,$B166,Data_Final!$C:$C,F$149)</f>
        <v>0</v>
      </c>
      <c r="G166" s="280">
        <f>SUMIFS(Data_Final!$P:$P,Data_Final!$B:$B,$B166,Data_Final!$C:$C,G$149)</f>
        <v>0</v>
      </c>
      <c r="H166" s="267">
        <f t="shared" si="21"/>
        <v>0</v>
      </c>
      <c r="I166" s="267"/>
      <c r="J166" s="267">
        <f t="shared" si="22"/>
        <v>0</v>
      </c>
      <c r="K166" s="513"/>
      <c r="Y166" s="7"/>
      <c r="Z166" s="7"/>
    </row>
    <row r="167" spans="2:26" x14ac:dyDescent="0.2">
      <c r="B167" s="514" t="s">
        <v>107</v>
      </c>
      <c r="C167" s="280">
        <f>SUMIFS(Data_Final!$P:$P,Data_Final!$B:$B,$B167,Data_Final!$C:$C,C$149)</f>
        <v>0</v>
      </c>
      <c r="D167" s="280">
        <f>SUMIFS(Data_Final!$P:$P,Data_Final!$B:$B,$B167,Data_Final!$C:$C,D$149)</f>
        <v>0</v>
      </c>
      <c r="E167" s="280">
        <f>SUMIFS(Data_Final!$P:$P,Data_Final!$B:$B,$B167,Data_Final!$C:$C,E$149)</f>
        <v>0</v>
      </c>
      <c r="F167" s="280">
        <f>SUMIFS(Data_Final!$P:$P,Data_Final!$B:$B,$B167,Data_Final!$C:$C,F$149)</f>
        <v>0</v>
      </c>
      <c r="G167" s="280">
        <f>SUMIFS(Data_Final!$P:$P,Data_Final!$B:$B,$B167,Data_Final!$C:$C,G$149)</f>
        <v>0</v>
      </c>
      <c r="H167" s="267"/>
      <c r="I167" s="267"/>
      <c r="J167" s="267"/>
      <c r="K167" s="512"/>
      <c r="Y167" s="7"/>
      <c r="Z167" s="7"/>
    </row>
    <row r="168" spans="2:26" x14ac:dyDescent="0.2">
      <c r="B168" s="514" t="s">
        <v>109</v>
      </c>
      <c r="C168" s="280">
        <f>SUMIFS(Data_Final!$P:$P,Data_Final!$B:$B,$B168,Data_Final!$C:$C,C$149)</f>
        <v>0</v>
      </c>
      <c r="D168" s="280">
        <f>SUMIFS(Data_Final!$P:$P,Data_Final!$B:$B,$B168,Data_Final!$C:$C,D$149)</f>
        <v>0</v>
      </c>
      <c r="E168" s="280">
        <f>SUMIFS(Data_Final!$P:$P,Data_Final!$B:$B,$B168,Data_Final!$C:$C,E$149)</f>
        <v>0</v>
      </c>
      <c r="F168" s="280">
        <f>SUMIFS(Data_Final!$P:$P,Data_Final!$B:$B,$B168,Data_Final!$C:$C,F$149)</f>
        <v>0</v>
      </c>
      <c r="G168" s="280">
        <f>SUMIFS(Data_Final!$P:$P,Data_Final!$B:$B,$B168,Data_Final!$C:$C,G$149)</f>
        <v>0</v>
      </c>
      <c r="H168" s="267"/>
      <c r="I168" s="267"/>
      <c r="J168" s="267"/>
      <c r="K168" s="512"/>
      <c r="Y168" s="7"/>
      <c r="Z168" s="7"/>
    </row>
    <row r="169" spans="2:26" x14ac:dyDescent="0.2">
      <c r="B169" s="514" t="s">
        <v>110</v>
      </c>
      <c r="C169" s="280">
        <f>SUMIFS(Data_Final!$P:$P,Data_Final!$B:$B,$B169,Data_Final!$C:$C,C$149)</f>
        <v>0</v>
      </c>
      <c r="D169" s="280">
        <f>SUMIFS(Data_Final!$P:$P,Data_Final!$B:$B,$B169,Data_Final!$C:$C,D$149)</f>
        <v>0</v>
      </c>
      <c r="E169" s="280">
        <f>SUMIFS(Data_Final!$P:$P,Data_Final!$B:$B,$B169,Data_Final!$C:$C,E$149)</f>
        <v>0</v>
      </c>
      <c r="F169" s="280">
        <f>SUMIFS(Data_Final!$P:$P,Data_Final!$B:$B,$B169,Data_Final!$C:$C,F$149)</f>
        <v>0</v>
      </c>
      <c r="G169" s="280">
        <f>SUMIFS(Data_Final!$P:$P,Data_Final!$B:$B,$B169,Data_Final!$C:$C,G$149)</f>
        <v>0</v>
      </c>
      <c r="H169" s="267"/>
      <c r="I169" s="267"/>
      <c r="J169" s="267"/>
      <c r="K169" s="512"/>
      <c r="Y169" s="7"/>
      <c r="Z169" s="7"/>
    </row>
    <row r="170" spans="2:26" x14ac:dyDescent="0.2">
      <c r="B170" s="514" t="s">
        <v>111</v>
      </c>
      <c r="C170" s="280">
        <f>SUMIFS(Data_Final!$P:$P,Data_Final!$B:$B,$B170,Data_Final!$C:$C,C$149)</f>
        <v>0</v>
      </c>
      <c r="D170" s="280">
        <f>SUMIFS(Data_Final!$P:$P,Data_Final!$B:$B,$B170,Data_Final!$C:$C,D$149)</f>
        <v>0</v>
      </c>
      <c r="E170" s="280">
        <f>SUMIFS(Data_Final!$P:$P,Data_Final!$B:$B,$B170,Data_Final!$C:$C,E$149)</f>
        <v>0</v>
      </c>
      <c r="F170" s="280">
        <f>SUMIFS(Data_Final!$P:$P,Data_Final!$B:$B,$B170,Data_Final!$C:$C,F$149)</f>
        <v>0</v>
      </c>
      <c r="G170" s="280">
        <f>SUMIFS(Data_Final!$P:$P,Data_Final!$B:$B,$B170,Data_Final!$C:$C,G$149)</f>
        <v>0</v>
      </c>
      <c r="H170" s="267"/>
      <c r="I170" s="267"/>
      <c r="J170" s="267"/>
      <c r="K170" s="512"/>
      <c r="Y170" s="7"/>
      <c r="Z170" s="7"/>
    </row>
    <row r="171" spans="2:26" x14ac:dyDescent="0.2">
      <c r="B171" s="515" t="s">
        <v>313</v>
      </c>
      <c r="C171" s="267">
        <f>SUM(C150:C166)</f>
        <v>3.5017226968647925</v>
      </c>
      <c r="D171" s="267">
        <f>SUM(D150:D166)</f>
        <v>4.442241198144929</v>
      </c>
      <c r="E171" s="267">
        <f>SUM(E150:E166)</f>
        <v>5.5828083846627639</v>
      </c>
      <c r="F171" s="267">
        <f>SUM(F150:F166)</f>
        <v>3.9231450193751742</v>
      </c>
      <c r="G171" s="267">
        <f>SUM(G150:G166)</f>
        <v>4.5503223336633303</v>
      </c>
      <c r="H171" s="267">
        <f t="shared" ref="H171" si="23">SUM(H150:H166)</f>
        <v>22.000239632710993</v>
      </c>
      <c r="I171" s="267">
        <f>SUM(I150:I166)</f>
        <v>8.6519999999999992</v>
      </c>
      <c r="J171" s="267">
        <f t="shared" ref="J171" si="24">SUM(J150:J166)</f>
        <v>30.652239632710987</v>
      </c>
      <c r="K171" s="512"/>
      <c r="Y171" s="7"/>
      <c r="Z171" s="7"/>
    </row>
    <row r="172" spans="2:26" x14ac:dyDescent="0.2">
      <c r="B172" s="260"/>
      <c r="C172" s="260"/>
      <c r="D172" s="260"/>
      <c r="E172" s="260"/>
      <c r="F172" s="260"/>
      <c r="G172" s="260"/>
      <c r="H172" s="260"/>
      <c r="I172" s="260"/>
      <c r="J172" s="260"/>
      <c r="K172" s="260"/>
      <c r="Y172" s="7"/>
      <c r="Z172" s="7"/>
    </row>
    <row r="173" spans="2:26" x14ac:dyDescent="0.2">
      <c r="B173" s="199" t="s">
        <v>383</v>
      </c>
      <c r="C173" s="260"/>
      <c r="D173" s="260"/>
      <c r="E173" s="260"/>
      <c r="F173" s="260"/>
      <c r="G173" s="260"/>
      <c r="H173" s="260"/>
      <c r="I173" s="260"/>
      <c r="J173" s="260"/>
      <c r="K173" s="260"/>
      <c r="Y173" s="7"/>
      <c r="Z173" s="7"/>
    </row>
    <row r="174" spans="2:26" ht="51" x14ac:dyDescent="0.2">
      <c r="B174" s="504" t="s">
        <v>312</v>
      </c>
      <c r="C174" s="504" t="s">
        <v>73</v>
      </c>
      <c r="D174" s="504" t="s">
        <v>74</v>
      </c>
      <c r="E174" s="504" t="s">
        <v>75</v>
      </c>
      <c r="F174" s="504" t="s">
        <v>76</v>
      </c>
      <c r="G174" s="504" t="s">
        <v>24</v>
      </c>
      <c r="H174" s="261" t="s">
        <v>377</v>
      </c>
      <c r="I174" s="261" t="s">
        <v>378</v>
      </c>
      <c r="J174" s="261" t="s">
        <v>379</v>
      </c>
      <c r="K174" s="261" t="s">
        <v>380</v>
      </c>
      <c r="Y174" s="7"/>
      <c r="Z174" s="7"/>
    </row>
    <row r="175" spans="2:26" x14ac:dyDescent="0.2">
      <c r="B175" s="514" t="s">
        <v>26</v>
      </c>
      <c r="C175" s="280">
        <f>SUMIFS(Data_Final!$Q:$Q,Data_Final!$B:$B,$B175,Data_Final!$C:$C,C$174)</f>
        <v>21.126960090133601</v>
      </c>
      <c r="D175" s="280">
        <f>SUMIFS(Data_Final!$Q:$Q,Data_Final!$B:$B,$B175,Data_Final!$C:$C,D$174)</f>
        <v>9.1697011855126096</v>
      </c>
      <c r="E175" s="280">
        <f>SUMIFS(Data_Final!$Q:$Q,Data_Final!$B:$B,$B175,Data_Final!$C:$C,E$174)</f>
        <v>11.3713438938855</v>
      </c>
      <c r="F175" s="280">
        <f>SUMIFS(Data_Final!$Q:$Q,Data_Final!$B:$B,$B175,Data_Final!$C:$C,F$174)</f>
        <v>13.619360354646</v>
      </c>
      <c r="G175" s="280">
        <f>SUMIFS(Data_Final!$Q:$Q,Data_Final!$B:$B,$B175,Data_Final!$C:$C,G$174)</f>
        <v>14.325490464258801</v>
      </c>
      <c r="H175" s="267">
        <f t="shared" ref="H175:H191" si="25">SUM(C175:G175)</f>
        <v>69.612855988436507</v>
      </c>
      <c r="I175" s="267">
        <v>-63.328000000000003</v>
      </c>
      <c r="J175" s="267">
        <f t="shared" ref="J175:J191" si="26">SUM(C175:G175)+I175</f>
        <v>6.2848559884365045</v>
      </c>
      <c r="K175" s="509" t="s">
        <v>882</v>
      </c>
      <c r="Y175" s="7"/>
      <c r="Z175" s="7"/>
    </row>
    <row r="176" spans="2:26" x14ac:dyDescent="0.2">
      <c r="B176" s="514" t="s">
        <v>106</v>
      </c>
      <c r="C176" s="280">
        <f>SUMIFS(Data_Final!$Q:$Q,Data_Final!$B:$B,$B176,Data_Final!$C:$C,C$174)</f>
        <v>0</v>
      </c>
      <c r="D176" s="280">
        <f>SUMIFS(Data_Final!$Q:$Q,Data_Final!$B:$B,$B176,Data_Final!$C:$C,D$174)</f>
        <v>0</v>
      </c>
      <c r="E176" s="280">
        <f>SUMIFS(Data_Final!$Q:$Q,Data_Final!$B:$B,$B176,Data_Final!$C:$C,E$174)</f>
        <v>0</v>
      </c>
      <c r="F176" s="280">
        <f>SUMIFS(Data_Final!$Q:$Q,Data_Final!$B:$B,$B176,Data_Final!$C:$C,F$174)</f>
        <v>0</v>
      </c>
      <c r="G176" s="280">
        <f>SUMIFS(Data_Final!$Q:$Q,Data_Final!$B:$B,$B176,Data_Final!$C:$C,G$174)</f>
        <v>0</v>
      </c>
      <c r="H176" s="267">
        <f t="shared" si="25"/>
        <v>0</v>
      </c>
      <c r="I176" s="267"/>
      <c r="J176" s="267">
        <f t="shared" si="26"/>
        <v>0</v>
      </c>
      <c r="K176" s="110"/>
      <c r="Y176" s="7"/>
      <c r="Z176" s="7"/>
    </row>
    <row r="177" spans="2:26" x14ac:dyDescent="0.2">
      <c r="B177" s="514" t="s">
        <v>28</v>
      </c>
      <c r="C177" s="280">
        <f>SUMIFS(Data_Final!$Q:$Q,Data_Final!$B:$B,$B177,Data_Final!$C:$C,C$174)</f>
        <v>0</v>
      </c>
      <c r="D177" s="280">
        <f>SUMIFS(Data_Final!$Q:$Q,Data_Final!$B:$B,$B177,Data_Final!$C:$C,D$174)</f>
        <v>0</v>
      </c>
      <c r="E177" s="280">
        <f>SUMIFS(Data_Final!$Q:$Q,Data_Final!$B:$B,$B177,Data_Final!$C:$C,E$174)</f>
        <v>0</v>
      </c>
      <c r="F177" s="280">
        <f>SUMIFS(Data_Final!$Q:$Q,Data_Final!$B:$B,$B177,Data_Final!$C:$C,F$174)</f>
        <v>0</v>
      </c>
      <c r="G177" s="280">
        <f>SUMIFS(Data_Final!$Q:$Q,Data_Final!$B:$B,$B177,Data_Final!$C:$C,G$174)</f>
        <v>0</v>
      </c>
      <c r="H177" s="267">
        <f t="shared" si="25"/>
        <v>0</v>
      </c>
      <c r="I177" s="267"/>
      <c r="J177" s="267">
        <f t="shared" si="26"/>
        <v>0</v>
      </c>
      <c r="K177" s="509"/>
      <c r="Y177" s="7"/>
      <c r="Z177" s="7"/>
    </row>
    <row r="178" spans="2:26" x14ac:dyDescent="0.2">
      <c r="B178" s="514" t="s">
        <v>32</v>
      </c>
      <c r="C178" s="280">
        <f>SUMIFS(Data_Final!$Q:$Q,Data_Final!$B:$B,$B178,Data_Final!$C:$C,C$174)</f>
        <v>0.20580277314335399</v>
      </c>
      <c r="D178" s="280">
        <f>SUMIFS(Data_Final!$Q:$Q,Data_Final!$B:$B,$B178,Data_Final!$C:$C,D$174)</f>
        <v>0.20681161026660499</v>
      </c>
      <c r="E178" s="280">
        <f>SUMIFS(Data_Final!$Q:$Q,Data_Final!$B:$B,$B178,Data_Final!$C:$C,E$174)</f>
        <v>0.20731850146823899</v>
      </c>
      <c r="F178" s="280">
        <f>SUMIFS(Data_Final!$Q:$Q,Data_Final!$B:$B,$B178,Data_Final!$C:$C,F$174)</f>
        <v>0.20731850146823899</v>
      </c>
      <c r="G178" s="280">
        <f>SUMIFS(Data_Final!$Q:$Q,Data_Final!$B:$B,$B178,Data_Final!$C:$C,G$174)</f>
        <v>0.20731850146823899</v>
      </c>
      <c r="H178" s="267">
        <f t="shared" si="25"/>
        <v>1.0345698878146761</v>
      </c>
      <c r="I178" s="267"/>
      <c r="J178" s="267">
        <f t="shared" si="26"/>
        <v>1.0345698878146761</v>
      </c>
      <c r="K178" s="506"/>
      <c r="Y178" s="7"/>
      <c r="Z178" s="7"/>
    </row>
    <row r="179" spans="2:26" x14ac:dyDescent="0.2">
      <c r="B179" s="514" t="s">
        <v>30</v>
      </c>
      <c r="C179" s="280">
        <f>SUMIFS(Data_Final!$Q:$Q,Data_Final!$B:$B,$B179,Data_Final!$C:$C,C$174)</f>
        <v>7.282</v>
      </c>
      <c r="D179" s="280">
        <f>SUMIFS(Data_Final!$Q:$Q,Data_Final!$B:$B,$B179,Data_Final!$C:$C,D$174)</f>
        <v>7.282</v>
      </c>
      <c r="E179" s="280">
        <f>SUMIFS(Data_Final!$Q:$Q,Data_Final!$B:$B,$B179,Data_Final!$C:$C,E$174)</f>
        <v>7.282</v>
      </c>
      <c r="F179" s="280">
        <f>SUMIFS(Data_Final!$Q:$Q,Data_Final!$B:$B,$B179,Data_Final!$C:$C,F$174)</f>
        <v>7.282</v>
      </c>
      <c r="G179" s="280">
        <f>SUMIFS(Data_Final!$Q:$Q,Data_Final!$B:$B,$B179,Data_Final!$C:$C,G$174)</f>
        <v>7.282</v>
      </c>
      <c r="H179" s="267">
        <f t="shared" si="25"/>
        <v>36.409999999999997</v>
      </c>
      <c r="I179" s="267"/>
      <c r="J179" s="267">
        <f t="shared" si="26"/>
        <v>36.409999999999997</v>
      </c>
      <c r="K179" s="506"/>
      <c r="Y179" s="7"/>
      <c r="Z179" s="7"/>
    </row>
    <row r="180" spans="2:26" x14ac:dyDescent="0.2">
      <c r="B180" s="514" t="s">
        <v>29</v>
      </c>
      <c r="C180" s="280">
        <f>SUMIFS(Data_Final!$Q:$Q,Data_Final!$B:$B,$B180,Data_Final!$C:$C,C$174)</f>
        <v>0.92113</v>
      </c>
      <c r="D180" s="280">
        <f>SUMIFS(Data_Final!$Q:$Q,Data_Final!$B:$B,$B180,Data_Final!$C:$C,D$174)</f>
        <v>0.92113</v>
      </c>
      <c r="E180" s="280">
        <f>SUMIFS(Data_Final!$Q:$Q,Data_Final!$B:$B,$B180,Data_Final!$C:$C,E$174)</f>
        <v>0.92113</v>
      </c>
      <c r="F180" s="280">
        <f>SUMIFS(Data_Final!$Q:$Q,Data_Final!$B:$B,$B180,Data_Final!$C:$C,F$174)</f>
        <v>0.92113</v>
      </c>
      <c r="G180" s="280">
        <f>SUMIFS(Data_Final!$Q:$Q,Data_Final!$B:$B,$B180,Data_Final!$C:$C,G$174)</f>
        <v>0.92113</v>
      </c>
      <c r="H180" s="267">
        <f t="shared" si="25"/>
        <v>4.6056499999999998</v>
      </c>
      <c r="I180" s="507"/>
      <c r="J180" s="507">
        <f t="shared" si="26"/>
        <v>4.6056499999999998</v>
      </c>
      <c r="K180" s="508"/>
      <c r="Y180" s="7"/>
      <c r="Z180" s="7"/>
    </row>
    <row r="181" spans="2:26" x14ac:dyDescent="0.2">
      <c r="B181" s="514" t="s">
        <v>108</v>
      </c>
      <c r="C181" s="280">
        <f>SUMIFS(Data_Final!$Q:$Q,Data_Final!$B:$B,$B181,Data_Final!$C:$C,C$174)</f>
        <v>0.04</v>
      </c>
      <c r="D181" s="280">
        <f>SUMIFS(Data_Final!$Q:$Q,Data_Final!$B:$B,$B181,Data_Final!$C:$C,D$174)</f>
        <v>0.04</v>
      </c>
      <c r="E181" s="280">
        <f>SUMIFS(Data_Final!$Q:$Q,Data_Final!$B:$B,$B181,Data_Final!$C:$C,E$174)</f>
        <v>0.04</v>
      </c>
      <c r="F181" s="280">
        <f>SUMIFS(Data_Final!$Q:$Q,Data_Final!$B:$B,$B181,Data_Final!$C:$C,F$174)</f>
        <v>0.04</v>
      </c>
      <c r="G181" s="280">
        <f>SUMIFS(Data_Final!$Q:$Q,Data_Final!$B:$B,$B181,Data_Final!$C:$C,G$174)</f>
        <v>0.04</v>
      </c>
      <c r="H181" s="267">
        <f t="shared" si="25"/>
        <v>0.2</v>
      </c>
      <c r="I181" s="443">
        <v>3.9</v>
      </c>
      <c r="J181" s="507">
        <f t="shared" si="26"/>
        <v>4.0999999999999996</v>
      </c>
      <c r="K181" s="509" t="s">
        <v>891</v>
      </c>
      <c r="Y181" s="7"/>
      <c r="Z181" s="7"/>
    </row>
    <row r="182" spans="2:26" x14ac:dyDescent="0.2">
      <c r="B182" s="514" t="s">
        <v>31</v>
      </c>
      <c r="C182" s="280">
        <f>SUMIFS(Data_Final!$Q:$Q,Data_Final!$B:$B,$B182,Data_Final!$C:$C,C$174)</f>
        <v>15.275597854799999</v>
      </c>
      <c r="D182" s="280">
        <f>SUMIFS(Data_Final!$Q:$Q,Data_Final!$B:$B,$B182,Data_Final!$C:$C,D$174)</f>
        <v>15.2755990433</v>
      </c>
      <c r="E182" s="280">
        <f>SUMIFS(Data_Final!$Q:$Q,Data_Final!$B:$B,$B182,Data_Final!$C:$C,E$174)</f>
        <v>15.2755964056</v>
      </c>
      <c r="F182" s="280">
        <f>SUMIFS(Data_Final!$Q:$Q,Data_Final!$B:$B,$B182,Data_Final!$C:$C,F$174)</f>
        <v>15.2755967927</v>
      </c>
      <c r="G182" s="280">
        <f>SUMIFS(Data_Final!$Q:$Q,Data_Final!$B:$B,$B182,Data_Final!$C:$C,G$174)</f>
        <v>15.2755970272</v>
      </c>
      <c r="H182" s="267">
        <f t="shared" si="25"/>
        <v>76.377987123600008</v>
      </c>
      <c r="I182" s="507"/>
      <c r="J182" s="507">
        <f t="shared" si="26"/>
        <v>76.377987123600008</v>
      </c>
      <c r="K182" s="508"/>
      <c r="Y182" s="7"/>
      <c r="Z182" s="7"/>
    </row>
    <row r="183" spans="2:26" x14ac:dyDescent="0.2">
      <c r="B183" s="514" t="s">
        <v>27</v>
      </c>
      <c r="C183" s="280">
        <f>SUMIFS(Data_Final!$Q:$Q,Data_Final!$B:$B,$B183,Data_Final!$C:$C,C$174)</f>
        <v>0</v>
      </c>
      <c r="D183" s="280">
        <f>SUMIFS(Data_Final!$Q:$Q,Data_Final!$B:$B,$B183,Data_Final!$C:$C,D$174)</f>
        <v>0</v>
      </c>
      <c r="E183" s="280">
        <f>SUMIFS(Data_Final!$Q:$Q,Data_Final!$B:$B,$B183,Data_Final!$C:$C,E$174)</f>
        <v>0</v>
      </c>
      <c r="F183" s="280">
        <f>SUMIFS(Data_Final!$Q:$Q,Data_Final!$B:$B,$B183,Data_Final!$C:$C,F$174)</f>
        <v>0</v>
      </c>
      <c r="G183" s="280">
        <f>SUMIFS(Data_Final!$Q:$Q,Data_Final!$B:$B,$B183,Data_Final!$C:$C,G$174)</f>
        <v>0</v>
      </c>
      <c r="H183" s="267">
        <f t="shared" si="25"/>
        <v>0</v>
      </c>
      <c r="I183" s="507"/>
      <c r="J183" s="507">
        <f t="shared" si="26"/>
        <v>0</v>
      </c>
      <c r="K183" s="508"/>
      <c r="Y183" s="7"/>
      <c r="Z183" s="7"/>
    </row>
    <row r="184" spans="2:26" x14ac:dyDescent="0.2">
      <c r="B184" s="514" t="s">
        <v>33</v>
      </c>
      <c r="C184" s="280">
        <f>SUMIFS(Data_Final!$Q:$Q,Data_Final!$B:$B,$B184,Data_Final!$C:$C,C$174)</f>
        <v>0</v>
      </c>
      <c r="D184" s="280">
        <f>SUMIFS(Data_Final!$Q:$Q,Data_Final!$B:$B,$B184,Data_Final!$C:$C,D$174)</f>
        <v>0</v>
      </c>
      <c r="E184" s="280">
        <f>SUMIFS(Data_Final!$Q:$Q,Data_Final!$B:$B,$B184,Data_Final!$C:$C,E$174)</f>
        <v>0</v>
      </c>
      <c r="F184" s="280">
        <f>SUMIFS(Data_Final!$Q:$Q,Data_Final!$B:$B,$B184,Data_Final!$C:$C,F$174)</f>
        <v>0</v>
      </c>
      <c r="G184" s="280">
        <f>SUMIFS(Data_Final!$Q:$Q,Data_Final!$B:$B,$B184,Data_Final!$C:$C,G$174)</f>
        <v>0</v>
      </c>
      <c r="H184" s="267">
        <f t="shared" si="25"/>
        <v>0</v>
      </c>
      <c r="I184" s="507"/>
      <c r="J184" s="507">
        <f t="shared" si="26"/>
        <v>0</v>
      </c>
      <c r="K184" s="508"/>
      <c r="Y184" s="7"/>
      <c r="Z184" s="7"/>
    </row>
    <row r="185" spans="2:26" x14ac:dyDescent="0.2">
      <c r="B185" s="514" t="s">
        <v>34</v>
      </c>
      <c r="C185" s="280">
        <f>SUMIFS(Data_Final!$Q:$Q,Data_Final!$B:$B,$B185,Data_Final!$C:$C,C$174)</f>
        <v>0</v>
      </c>
      <c r="D185" s="280">
        <f>SUMIFS(Data_Final!$Q:$Q,Data_Final!$B:$B,$B185,Data_Final!$C:$C,D$174)</f>
        <v>0</v>
      </c>
      <c r="E185" s="280">
        <f>SUMIFS(Data_Final!$Q:$Q,Data_Final!$B:$B,$B185,Data_Final!$C:$C,E$174)</f>
        <v>0</v>
      </c>
      <c r="F185" s="280">
        <f>SUMIFS(Data_Final!$Q:$Q,Data_Final!$B:$B,$B185,Data_Final!$C:$C,F$174)</f>
        <v>0</v>
      </c>
      <c r="G185" s="280">
        <f>SUMIFS(Data_Final!$Q:$Q,Data_Final!$B:$B,$B185,Data_Final!$C:$C,G$174)</f>
        <v>0</v>
      </c>
      <c r="H185" s="267">
        <f t="shared" si="25"/>
        <v>0</v>
      </c>
      <c r="I185" s="507">
        <v>64.67</v>
      </c>
      <c r="J185" s="507">
        <f t="shared" si="26"/>
        <v>64.67</v>
      </c>
      <c r="K185" s="510" t="s">
        <v>888</v>
      </c>
      <c r="Y185" s="7"/>
      <c r="Z185" s="7"/>
    </row>
    <row r="186" spans="2:26" x14ac:dyDescent="0.2">
      <c r="B186" s="514" t="s">
        <v>35</v>
      </c>
      <c r="C186" s="280">
        <f>SUMIFS(Data_Final!$Q:$Q,Data_Final!$B:$B,$B186,Data_Final!$C:$C,C$174)</f>
        <v>10.337</v>
      </c>
      <c r="D186" s="280">
        <f>SUMIFS(Data_Final!$Q:$Q,Data_Final!$B:$B,$B186,Data_Final!$C:$C,D$174)</f>
        <v>10.337</v>
      </c>
      <c r="E186" s="280">
        <f>SUMIFS(Data_Final!$Q:$Q,Data_Final!$B:$B,$B186,Data_Final!$C:$C,E$174)</f>
        <v>10.337</v>
      </c>
      <c r="F186" s="280">
        <f>SUMIFS(Data_Final!$Q:$Q,Data_Final!$B:$B,$B186,Data_Final!$C:$C,F$174)</f>
        <v>10.337</v>
      </c>
      <c r="G186" s="280">
        <f>SUMIFS(Data_Final!$Q:$Q,Data_Final!$B:$B,$B186,Data_Final!$C:$C,G$174)</f>
        <v>10.337</v>
      </c>
      <c r="H186" s="267">
        <f t="shared" si="25"/>
        <v>51.685000000000002</v>
      </c>
      <c r="I186" s="507"/>
      <c r="J186" s="507">
        <f t="shared" si="26"/>
        <v>51.685000000000002</v>
      </c>
      <c r="K186" s="508"/>
      <c r="Y186" s="7"/>
      <c r="Z186" s="7"/>
    </row>
    <row r="187" spans="2:26" x14ac:dyDescent="0.2">
      <c r="B187" s="514" t="s">
        <v>36</v>
      </c>
      <c r="C187" s="280">
        <f>SUMIFS(Data_Final!$Q:$Q,Data_Final!$B:$B,$B187,Data_Final!$C:$C,C$174)</f>
        <v>0.14799999999999999</v>
      </c>
      <c r="D187" s="280">
        <f>SUMIFS(Data_Final!$Q:$Q,Data_Final!$B:$B,$B187,Data_Final!$C:$C,D$174)</f>
        <v>0.14899999999999999</v>
      </c>
      <c r="E187" s="280">
        <f>SUMIFS(Data_Final!$Q:$Q,Data_Final!$B:$B,$B187,Data_Final!$C:$C,E$174)</f>
        <v>0.151</v>
      </c>
      <c r="F187" s="280">
        <f>SUMIFS(Data_Final!$Q:$Q,Data_Final!$B:$B,$B187,Data_Final!$C:$C,F$174)</f>
        <v>0.153</v>
      </c>
      <c r="G187" s="280">
        <f>SUMIFS(Data_Final!$Q:$Q,Data_Final!$B:$B,$B187,Data_Final!$C:$C,G$174)</f>
        <v>0.154</v>
      </c>
      <c r="H187" s="267">
        <f t="shared" si="25"/>
        <v>0.755</v>
      </c>
      <c r="I187" s="507"/>
      <c r="J187" s="507">
        <f t="shared" si="26"/>
        <v>0.755</v>
      </c>
      <c r="K187" s="508"/>
      <c r="Y187" s="7"/>
      <c r="Z187" s="7"/>
    </row>
    <row r="188" spans="2:26" x14ac:dyDescent="0.2">
      <c r="B188" s="514" t="s">
        <v>37</v>
      </c>
      <c r="C188" s="280">
        <f>SUMIFS(Data_Final!$Q:$Q,Data_Final!$B:$B,$B188,Data_Final!$C:$C,C$174)</f>
        <v>0</v>
      </c>
      <c r="D188" s="280">
        <f>SUMIFS(Data_Final!$Q:$Q,Data_Final!$B:$B,$B188,Data_Final!$C:$C,D$174)</f>
        <v>0</v>
      </c>
      <c r="E188" s="280">
        <f>SUMIFS(Data_Final!$Q:$Q,Data_Final!$B:$B,$B188,Data_Final!$C:$C,E$174)</f>
        <v>0</v>
      </c>
      <c r="F188" s="280">
        <f>SUMIFS(Data_Final!$Q:$Q,Data_Final!$B:$B,$B188,Data_Final!$C:$C,F$174)</f>
        <v>0</v>
      </c>
      <c r="G188" s="280">
        <f>SUMIFS(Data_Final!$Q:$Q,Data_Final!$B:$B,$B188,Data_Final!$C:$C,G$174)</f>
        <v>0</v>
      </c>
      <c r="H188" s="267">
        <f t="shared" si="25"/>
        <v>0</v>
      </c>
      <c r="I188" s="267"/>
      <c r="J188" s="267">
        <f t="shared" si="26"/>
        <v>0</v>
      </c>
      <c r="K188" s="506"/>
      <c r="Y188" s="7"/>
      <c r="Z188" s="7"/>
    </row>
    <row r="189" spans="2:26" x14ac:dyDescent="0.2">
      <c r="B189" s="514" t="s">
        <v>40</v>
      </c>
      <c r="C189" s="280">
        <f>SUMIFS(Data_Final!$Q:$Q,Data_Final!$B:$B,$B189,Data_Final!$C:$C,C$174)</f>
        <v>0.53900000000000003</v>
      </c>
      <c r="D189" s="280">
        <f>SUMIFS(Data_Final!$Q:$Q,Data_Final!$B:$B,$B189,Data_Final!$C:$C,D$174)</f>
        <v>0.52900000000000003</v>
      </c>
      <c r="E189" s="280">
        <f>SUMIFS(Data_Final!$Q:$Q,Data_Final!$B:$B,$B189,Data_Final!$C:$C,E$174)</f>
        <v>0.51800000000000002</v>
      </c>
      <c r="F189" s="280">
        <f>SUMIFS(Data_Final!$Q:$Q,Data_Final!$B:$B,$B189,Data_Final!$C:$C,F$174)</f>
        <v>0.50700000000000001</v>
      </c>
      <c r="G189" s="280">
        <f>SUMIFS(Data_Final!$Q:$Q,Data_Final!$B:$B,$B189,Data_Final!$C:$C,G$174)</f>
        <v>0.496</v>
      </c>
      <c r="H189" s="267">
        <f t="shared" si="25"/>
        <v>2.589</v>
      </c>
      <c r="I189" s="267">
        <v>2.492</v>
      </c>
      <c r="J189" s="267">
        <f t="shared" si="26"/>
        <v>5.0809999999999995</v>
      </c>
      <c r="K189" s="509" t="s">
        <v>889</v>
      </c>
      <c r="Y189" s="7"/>
      <c r="Z189" s="7"/>
    </row>
    <row r="190" spans="2:26" x14ac:dyDescent="0.2">
      <c r="B190" s="514" t="s">
        <v>38</v>
      </c>
      <c r="C190" s="280">
        <f>SUMIFS(Data_Final!$Q:$Q,Data_Final!$B:$B,$B190,Data_Final!$C:$C,C$174)</f>
        <v>1.96059991382979</v>
      </c>
      <c r="D190" s="280">
        <f>SUMIFS(Data_Final!$Q:$Q,Data_Final!$B:$B,$B190,Data_Final!$C:$C,D$174)</f>
        <v>2.2516569381631801</v>
      </c>
      <c r="E190" s="280">
        <f>SUMIFS(Data_Final!$Q:$Q,Data_Final!$B:$B,$B190,Data_Final!$C:$C,E$174)</f>
        <v>3.2210355163811402</v>
      </c>
      <c r="F190" s="280">
        <f>SUMIFS(Data_Final!$Q:$Q,Data_Final!$B:$B,$B190,Data_Final!$C:$C,F$174)</f>
        <v>4.44885655162666</v>
      </c>
      <c r="G190" s="280">
        <f>SUMIFS(Data_Final!$Q:$Q,Data_Final!$B:$B,$B190,Data_Final!$C:$C,G$174)</f>
        <v>6.1781684260782797</v>
      </c>
      <c r="H190" s="267">
        <f t="shared" si="25"/>
        <v>18.060317346079049</v>
      </c>
      <c r="I190" s="267"/>
      <c r="J190" s="267">
        <f t="shared" si="26"/>
        <v>18.060317346079049</v>
      </c>
      <c r="K190" s="506"/>
      <c r="Y190" s="7"/>
      <c r="Z190" s="7"/>
    </row>
    <row r="191" spans="2:26" x14ac:dyDescent="0.2">
      <c r="B191" s="514" t="s">
        <v>39</v>
      </c>
      <c r="C191" s="280">
        <f>SUMIFS(Data_Final!$Q:$Q,Data_Final!$B:$B,$B191,Data_Final!$C:$C,C$174)</f>
        <v>0.71064161319889996</v>
      </c>
      <c r="D191" s="280">
        <f>SUMIFS(Data_Final!$Q:$Q,Data_Final!$B:$B,$B191,Data_Final!$C:$C,D$174)</f>
        <v>0.68734188817598496</v>
      </c>
      <c r="E191" s="280">
        <f>SUMIFS(Data_Final!$Q:$Q,Data_Final!$B:$B,$B191,Data_Final!$C:$C,E$174)</f>
        <v>0.67569202566452802</v>
      </c>
      <c r="F191" s="280">
        <f>SUMIFS(Data_Final!$Q:$Q,Data_Final!$B:$B,$B191,Data_Final!$C:$C,F$174)</f>
        <v>0.67569202566452802</v>
      </c>
      <c r="G191" s="280">
        <f>SUMIFS(Data_Final!$Q:$Q,Data_Final!$B:$B,$B191,Data_Final!$C:$C,G$174)</f>
        <v>0.65239230064161302</v>
      </c>
      <c r="H191" s="267">
        <f t="shared" si="25"/>
        <v>3.4017598533455535</v>
      </c>
      <c r="I191" s="267"/>
      <c r="J191" s="267">
        <f t="shared" si="26"/>
        <v>3.4017598533455535</v>
      </c>
      <c r="K191" s="506"/>
      <c r="Y191" s="7"/>
      <c r="Z191" s="7"/>
    </row>
    <row r="192" spans="2:26" x14ac:dyDescent="0.2">
      <c r="B192" s="514" t="s">
        <v>107</v>
      </c>
      <c r="C192" s="280">
        <f>SUMIFS(Data_Final!$Q:$Q,Data_Final!$B:$B,$B192,Data_Final!$C:$C,C$174)</f>
        <v>0</v>
      </c>
      <c r="D192" s="280">
        <f>SUMIFS(Data_Final!$Q:$Q,Data_Final!$B:$B,$B192,Data_Final!$C:$C,D$174)</f>
        <v>0</v>
      </c>
      <c r="E192" s="280">
        <f>SUMIFS(Data_Final!$Q:$Q,Data_Final!$B:$B,$B192,Data_Final!$C:$C,E$174)</f>
        <v>0</v>
      </c>
      <c r="F192" s="280">
        <f>SUMIFS(Data_Final!$Q:$Q,Data_Final!$B:$B,$B192,Data_Final!$C:$C,F$174)</f>
        <v>0</v>
      </c>
      <c r="G192" s="280">
        <f>SUMIFS(Data_Final!$Q:$Q,Data_Final!$B:$B,$B192,Data_Final!$C:$C,G$174)</f>
        <v>0</v>
      </c>
      <c r="H192" s="267"/>
      <c r="I192" s="267"/>
      <c r="J192" s="267"/>
      <c r="K192" s="110"/>
      <c r="Y192" s="7"/>
      <c r="Z192" s="7"/>
    </row>
    <row r="193" spans="2:26" x14ac:dyDescent="0.2">
      <c r="B193" s="514" t="s">
        <v>109</v>
      </c>
      <c r="C193" s="280">
        <f>SUMIFS(Data_Final!$Q:$Q,Data_Final!$B:$B,$B193,Data_Final!$C:$C,C$174)</f>
        <v>0</v>
      </c>
      <c r="D193" s="280">
        <f>SUMIFS(Data_Final!$Q:$Q,Data_Final!$B:$B,$B193,Data_Final!$C:$C,D$174)</f>
        <v>0</v>
      </c>
      <c r="E193" s="280">
        <f>SUMIFS(Data_Final!$Q:$Q,Data_Final!$B:$B,$B193,Data_Final!$C:$C,E$174)</f>
        <v>0</v>
      </c>
      <c r="F193" s="280">
        <f>SUMIFS(Data_Final!$Q:$Q,Data_Final!$B:$B,$B193,Data_Final!$C:$C,F$174)</f>
        <v>0</v>
      </c>
      <c r="G193" s="280">
        <f>SUMIFS(Data_Final!$Q:$Q,Data_Final!$B:$B,$B193,Data_Final!$C:$C,G$174)</f>
        <v>0</v>
      </c>
      <c r="H193" s="267"/>
      <c r="I193" s="267"/>
      <c r="J193" s="267"/>
      <c r="K193" s="110"/>
      <c r="Y193" s="7"/>
      <c r="Z193" s="7"/>
    </row>
    <row r="194" spans="2:26" x14ac:dyDescent="0.2">
      <c r="B194" s="514" t="s">
        <v>110</v>
      </c>
      <c r="C194" s="280">
        <f>SUMIFS(Data_Final!$Q:$Q,Data_Final!$B:$B,$B194,Data_Final!$C:$C,C$174)</f>
        <v>0</v>
      </c>
      <c r="D194" s="280">
        <f>SUMIFS(Data_Final!$Q:$Q,Data_Final!$B:$B,$B194,Data_Final!$C:$C,D$174)</f>
        <v>0</v>
      </c>
      <c r="E194" s="280">
        <f>SUMIFS(Data_Final!$Q:$Q,Data_Final!$B:$B,$B194,Data_Final!$C:$C,E$174)</f>
        <v>0</v>
      </c>
      <c r="F194" s="280">
        <f>SUMIFS(Data_Final!$Q:$Q,Data_Final!$B:$B,$B194,Data_Final!$C:$C,F$174)</f>
        <v>0</v>
      </c>
      <c r="G194" s="280">
        <f>SUMIFS(Data_Final!$Q:$Q,Data_Final!$B:$B,$B194,Data_Final!$C:$C,G$174)</f>
        <v>0</v>
      </c>
      <c r="H194" s="267"/>
      <c r="I194" s="267"/>
      <c r="J194" s="267"/>
      <c r="K194" s="110"/>
      <c r="Y194" s="7"/>
      <c r="Z194" s="7"/>
    </row>
    <row r="195" spans="2:26" x14ac:dyDescent="0.2">
      <c r="B195" s="514" t="s">
        <v>111</v>
      </c>
      <c r="C195" s="280">
        <f>SUMIFS(Data_Final!$Q:$Q,Data_Final!$B:$B,$B195,Data_Final!$C:$C,C$174)</f>
        <v>0</v>
      </c>
      <c r="D195" s="280">
        <f>SUMIFS(Data_Final!$Q:$Q,Data_Final!$B:$B,$B195,Data_Final!$C:$C,D$174)</f>
        <v>0</v>
      </c>
      <c r="E195" s="280">
        <f>SUMIFS(Data_Final!$Q:$Q,Data_Final!$B:$B,$B195,Data_Final!$C:$C,E$174)</f>
        <v>0</v>
      </c>
      <c r="F195" s="280">
        <f>SUMIFS(Data_Final!$Q:$Q,Data_Final!$B:$B,$B195,Data_Final!$C:$C,F$174)</f>
        <v>0</v>
      </c>
      <c r="G195" s="280">
        <f>SUMIFS(Data_Final!$Q:$Q,Data_Final!$B:$B,$B195,Data_Final!$C:$C,G$174)</f>
        <v>0</v>
      </c>
      <c r="H195" s="267"/>
      <c r="I195" s="267"/>
      <c r="J195" s="267"/>
      <c r="K195" s="110"/>
      <c r="Y195" s="7"/>
      <c r="Z195" s="7"/>
    </row>
    <row r="196" spans="2:26" x14ac:dyDescent="0.2">
      <c r="B196" s="515" t="s">
        <v>313</v>
      </c>
      <c r="C196" s="267">
        <f>SUM(C175:C191)</f>
        <v>58.546732245105645</v>
      </c>
      <c r="D196" s="267">
        <f>SUM(D175:D191)</f>
        <v>46.849240665418392</v>
      </c>
      <c r="E196" s="267">
        <f>SUM(E175:E191)</f>
        <v>50.000116342999419</v>
      </c>
      <c r="F196" s="267">
        <f>SUM(F175:F191)</f>
        <v>53.466954226105429</v>
      </c>
      <c r="G196" s="267">
        <f>SUM(G175:G191)</f>
        <v>55.869096719646947</v>
      </c>
      <c r="H196" s="267">
        <f t="shared" ref="H196" si="27">SUM(H175:H191)</f>
        <v>264.73214019927576</v>
      </c>
      <c r="I196" s="267">
        <f>SUM(I175:I191)</f>
        <v>7.7339999999999973</v>
      </c>
      <c r="J196" s="267">
        <f t="shared" ref="J196" si="28">SUM(J175:J191)</f>
        <v>272.4661401992758</v>
      </c>
      <c r="K196" s="110"/>
      <c r="Y196" s="7"/>
      <c r="Z196" s="7"/>
    </row>
  </sheetData>
  <mergeCells count="2">
    <mergeCell ref="I75:J75"/>
    <mergeCell ref="G75:H75"/>
  </mergeCells>
  <pageMargins left="0.7" right="0.7" top="0.75" bottom="0.75" header="0.3" footer="0.3"/>
  <pageSetup paperSize="9"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BW162"/>
  <sheetViews>
    <sheetView zoomScale="90" zoomScaleNormal="90" workbookViewId="0">
      <selection activeCell="G104" sqref="G104"/>
    </sheetView>
  </sheetViews>
  <sheetFormatPr defaultColWidth="8.7109375" defaultRowHeight="15" x14ac:dyDescent="0.3"/>
  <cols>
    <col min="1" max="1" width="7.28515625" style="46" customWidth="1"/>
    <col min="2" max="2" width="60.28515625" style="46" customWidth="1"/>
    <col min="3" max="3" width="21.5703125" style="46" customWidth="1"/>
    <col min="4" max="4" width="35" style="46" customWidth="1"/>
    <col min="5" max="5" width="18" style="48" customWidth="1"/>
    <col min="6" max="6" width="18" style="46" customWidth="1"/>
    <col min="7" max="7" width="72.28515625" style="46" customWidth="1"/>
    <col min="8" max="8" width="13.5703125" style="46" customWidth="1"/>
    <col min="9" max="9" width="11.7109375" style="46" customWidth="1"/>
    <col min="10" max="12" width="10.7109375" style="46" customWidth="1"/>
    <col min="13" max="13" width="85.85546875" style="46" customWidth="1"/>
    <col min="14" max="19" width="10.7109375" style="46" customWidth="1"/>
    <col min="20" max="20" width="17.7109375" style="46" customWidth="1"/>
    <col min="21" max="26" width="10.7109375" style="46" customWidth="1"/>
    <col min="27" max="27" width="15" style="46" customWidth="1"/>
    <col min="28" max="33" width="10.7109375" style="46" customWidth="1"/>
    <col min="34" max="37" width="8.7109375" style="46"/>
    <col min="38" max="41" width="8.7109375" style="219"/>
    <col min="42" max="42" width="76.85546875" style="219" customWidth="1"/>
    <col min="43" max="43" width="8.7109375" style="46"/>
    <col min="44" max="44" width="26" style="219" customWidth="1"/>
    <col min="45" max="45" width="19.28515625" style="219" bestFit="1" customWidth="1"/>
    <col min="46" max="54" width="8.7109375" style="219"/>
    <col min="55" max="55" width="33.28515625" style="219" customWidth="1"/>
    <col min="56" max="60" width="8.7109375" style="219"/>
    <col min="61" max="62" width="8.7109375" style="229"/>
    <col min="63" max="68" width="8.7109375" style="219"/>
    <col min="69" max="69" width="16.28515625" style="219" bestFit="1" customWidth="1"/>
    <col min="70" max="71" width="8.7109375" style="230"/>
    <col min="72" max="75" width="8.7109375" style="219"/>
    <col min="76" max="16384" width="8.7109375" style="46"/>
  </cols>
  <sheetData>
    <row r="1" spans="2:75" s="4" customFormat="1" ht="21.75" x14ac:dyDescent="0.3">
      <c r="B1" s="6" t="s">
        <v>384</v>
      </c>
      <c r="C1" s="1"/>
      <c r="D1" s="1"/>
      <c r="E1" s="45"/>
      <c r="F1" s="1"/>
      <c r="G1" s="2"/>
      <c r="H1" s="10"/>
      <c r="I1" s="11"/>
      <c r="AL1" s="211"/>
      <c r="AM1" s="211"/>
      <c r="AN1" s="211"/>
      <c r="AO1" s="211"/>
      <c r="AP1" s="211"/>
      <c r="AR1" s="211"/>
      <c r="AS1" s="211"/>
      <c r="AT1" s="211"/>
      <c r="AU1" s="211"/>
      <c r="AV1" s="211"/>
      <c r="AW1" s="211"/>
      <c r="AX1" s="211"/>
      <c r="AY1" s="211"/>
      <c r="AZ1" s="211"/>
      <c r="BA1" s="211"/>
      <c r="BB1" s="211"/>
      <c r="BC1" s="211"/>
      <c r="BD1" s="211"/>
      <c r="BE1" s="211"/>
      <c r="BF1" s="211"/>
      <c r="BG1" s="211"/>
      <c r="BH1" s="211"/>
      <c r="BI1" s="222"/>
      <c r="BJ1" s="222"/>
      <c r="BK1" s="211"/>
      <c r="BL1" s="211"/>
      <c r="BM1" s="211"/>
      <c r="BN1" s="211"/>
      <c r="BO1" s="211"/>
      <c r="BP1" s="211"/>
      <c r="BQ1" s="211"/>
      <c r="BR1" s="223"/>
      <c r="BS1" s="223"/>
      <c r="BT1" s="211"/>
      <c r="BU1" s="211"/>
      <c r="BV1" s="211"/>
      <c r="BW1" s="211"/>
    </row>
    <row r="2" spans="2:75" s="4" customFormat="1" ht="22.5" thickBot="1" x14ac:dyDescent="0.35">
      <c r="B2" s="5"/>
      <c r="C2" s="8"/>
      <c r="D2" s="8"/>
      <c r="E2" s="38"/>
      <c r="F2" s="2"/>
      <c r="G2" s="2"/>
      <c r="H2" s="10"/>
      <c r="I2" s="11"/>
      <c r="AL2" s="211"/>
      <c r="AM2" s="211"/>
      <c r="AN2" s="211"/>
      <c r="AO2" s="211"/>
      <c r="AP2" s="211"/>
      <c r="AR2" s="211"/>
      <c r="AS2" s="211"/>
      <c r="AT2" s="211"/>
      <c r="AU2" s="211"/>
      <c r="AV2" s="211"/>
      <c r="AW2" s="211"/>
      <c r="AX2" s="211"/>
      <c r="AY2" s="211"/>
      <c r="AZ2" s="211"/>
      <c r="BA2" s="211"/>
      <c r="BB2" s="211"/>
      <c r="BC2" s="211"/>
      <c r="BD2" s="211"/>
      <c r="BE2" s="211"/>
      <c r="BF2" s="211"/>
      <c r="BG2" s="211"/>
      <c r="BH2" s="211"/>
      <c r="BI2" s="222"/>
      <c r="BJ2" s="222"/>
      <c r="BK2" s="211"/>
      <c r="BL2" s="211"/>
      <c r="BM2" s="211"/>
      <c r="BN2" s="211"/>
      <c r="BO2" s="211"/>
      <c r="BP2" s="211"/>
      <c r="BQ2" s="211"/>
      <c r="BR2" s="223"/>
      <c r="BS2" s="223"/>
      <c r="BT2" s="211"/>
      <c r="BU2" s="211"/>
      <c r="BV2" s="211"/>
      <c r="BW2" s="211"/>
    </row>
    <row r="3" spans="2:75" s="4" customFormat="1" ht="22.5" thickBot="1" x14ac:dyDescent="0.35">
      <c r="B3" s="5" t="s">
        <v>1</v>
      </c>
      <c r="C3" s="8"/>
      <c r="D3" s="8"/>
      <c r="E3" s="38"/>
      <c r="F3" s="394" t="s">
        <v>385</v>
      </c>
      <c r="G3" s="2"/>
      <c r="H3" s="10"/>
    </row>
    <row r="4" spans="2:75" s="2" customFormat="1" x14ac:dyDescent="0.3">
      <c r="B4" s="354" t="s">
        <v>471</v>
      </c>
      <c r="C4" s="711" t="s">
        <v>387</v>
      </c>
      <c r="D4" s="712"/>
      <c r="E4" s="38"/>
      <c r="F4" s="395" t="str">
        <f ca="1">IF(ROUND(C10,3)-ROUND(F152+F153-56.994-SUM(C64:C65),3)=0,"OK","ERROR")</f>
        <v>OK</v>
      </c>
      <c r="G4" s="2" t="s">
        <v>911</v>
      </c>
    </row>
    <row r="5" spans="2:75" s="2" customFormat="1" ht="15.75" thickBot="1" x14ac:dyDescent="0.35">
      <c r="B5" s="355" t="s">
        <v>388</v>
      </c>
      <c r="C5" s="713">
        <v>43616</v>
      </c>
      <c r="D5" s="714"/>
      <c r="E5" s="38"/>
      <c r="F5" s="396" t="str">
        <f ca="1">IF(ROUND(D28,3)-ROUND(C10,3)=0,"OK","ERROR")</f>
        <v>OK</v>
      </c>
      <c r="G5" s="2" t="s">
        <v>799</v>
      </c>
    </row>
    <row r="6" spans="2:75" s="2" customFormat="1" ht="15.75" thickBot="1" x14ac:dyDescent="0.35">
      <c r="B6" s="356" t="s">
        <v>389</v>
      </c>
      <c r="C6" s="715" t="s">
        <v>908</v>
      </c>
      <c r="D6" s="716"/>
      <c r="E6" s="38"/>
      <c r="F6" s="15"/>
    </row>
    <row r="7" spans="2:75" s="2" customFormat="1" x14ac:dyDescent="0.3">
      <c r="B7" s="16"/>
      <c r="C7" s="16"/>
      <c r="D7" s="17"/>
      <c r="E7" s="38"/>
    </row>
    <row r="8" spans="2:75" s="2" customFormat="1" ht="15.75" thickBot="1" x14ac:dyDescent="0.35">
      <c r="B8" s="5" t="s">
        <v>6</v>
      </c>
      <c r="E8" s="38"/>
    </row>
    <row r="9" spans="2:75" s="2" customFormat="1" x14ac:dyDescent="0.3">
      <c r="B9" s="357" t="s">
        <v>312</v>
      </c>
      <c r="C9" s="360" t="s">
        <v>26</v>
      </c>
      <c r="D9" s="403"/>
      <c r="E9" s="38"/>
    </row>
    <row r="10" spans="2:75" s="2" customFormat="1" x14ac:dyDescent="0.3">
      <c r="B10" s="358" t="s">
        <v>474</v>
      </c>
      <c r="C10" s="361">
        <f ca="1">INDEX(Analysis!L5:L21,MATCH(C9,Analysis!B5:B21,0))</f>
        <v>478.69195568030858</v>
      </c>
      <c r="D10" s="5"/>
      <c r="E10" s="38"/>
    </row>
    <row r="11" spans="2:75" s="2" customFormat="1" x14ac:dyDescent="0.3">
      <c r="B11" s="358" t="s">
        <v>475</v>
      </c>
      <c r="C11" s="361">
        <v>0</v>
      </c>
      <c r="D11" s="15"/>
      <c r="E11" s="63"/>
      <c r="G11" s="15"/>
    </row>
    <row r="12" spans="2:75" s="2" customFormat="1" x14ac:dyDescent="0.3">
      <c r="B12" s="358" t="s">
        <v>476</v>
      </c>
      <c r="C12" s="362">
        <f ca="1">C10+C11</f>
        <v>478.69195568030858</v>
      </c>
      <c r="D12" s="15"/>
      <c r="E12" s="63"/>
      <c r="G12" s="15"/>
    </row>
    <row r="13" spans="2:75" s="2" customFormat="1" x14ac:dyDescent="0.3">
      <c r="B13" s="358" t="s">
        <v>477</v>
      </c>
      <c r="C13" s="362">
        <v>0</v>
      </c>
      <c r="D13" s="15"/>
      <c r="E13" s="63"/>
      <c r="G13" s="15"/>
    </row>
    <row r="14" spans="2:75" s="2" customFormat="1" ht="15.75" thickBot="1" x14ac:dyDescent="0.35">
      <c r="B14" s="359" t="s">
        <v>478</v>
      </c>
      <c r="C14" s="363">
        <f ca="1">F28</f>
        <v>354.54837465668732</v>
      </c>
      <c r="D14" s="15"/>
      <c r="E14" s="63"/>
      <c r="G14" s="15"/>
    </row>
    <row r="15" spans="2:75" s="2" customFormat="1" x14ac:dyDescent="0.3">
      <c r="B15" s="337"/>
      <c r="C15" s="15"/>
      <c r="D15" s="15"/>
      <c r="E15" s="63"/>
      <c r="G15" s="15"/>
    </row>
    <row r="16" spans="2:75" s="2" customFormat="1" ht="15.75" thickBot="1" x14ac:dyDescent="0.35">
      <c r="B16" s="5" t="s">
        <v>391</v>
      </c>
      <c r="C16" s="82"/>
      <c r="D16" s="82"/>
      <c r="E16" s="38"/>
    </row>
    <row r="17" spans="1:18" s="2" customFormat="1" ht="15.75" thickBot="1" x14ac:dyDescent="0.35">
      <c r="B17" s="364" t="s">
        <v>479</v>
      </c>
      <c r="C17" s="365">
        <f ca="1">C13+C14</f>
        <v>354.54837465668732</v>
      </c>
      <c r="D17" s="5"/>
      <c r="E17" s="38"/>
    </row>
    <row r="18" spans="1:18" s="2" customFormat="1" x14ac:dyDescent="0.3">
      <c r="A18" s="44"/>
      <c r="E18" s="38"/>
      <c r="F18" s="82"/>
      <c r="H18" s="211"/>
      <c r="I18" s="211"/>
      <c r="J18" s="211"/>
      <c r="K18" s="211"/>
    </row>
    <row r="19" spans="1:18" s="2" customFormat="1" ht="16.5" customHeight="1" thickBot="1" x14ac:dyDescent="0.35">
      <c r="A19" s="44"/>
      <c r="B19" s="172" t="s">
        <v>480</v>
      </c>
      <c r="C19" s="35"/>
      <c r="D19" s="16"/>
      <c r="E19" s="22"/>
      <c r="F19" s="40"/>
      <c r="G19" s="64"/>
      <c r="H19" s="211"/>
      <c r="I19" s="211"/>
      <c r="J19" s="211"/>
      <c r="K19" s="211"/>
    </row>
    <row r="20" spans="1:18" s="31" customFormat="1" ht="30" x14ac:dyDescent="0.3">
      <c r="A20" s="557" t="s">
        <v>481</v>
      </c>
      <c r="B20" s="558" t="s">
        <v>482</v>
      </c>
      <c r="C20" s="559" t="s">
        <v>483</v>
      </c>
      <c r="D20" s="559" t="s">
        <v>484</v>
      </c>
      <c r="E20" s="559" t="s">
        <v>485</v>
      </c>
      <c r="F20" s="559" t="s">
        <v>486</v>
      </c>
      <c r="G20" s="470" t="s">
        <v>340</v>
      </c>
      <c r="H20" s="224"/>
      <c r="I20" s="224"/>
      <c r="J20" s="224"/>
      <c r="K20" s="224"/>
    </row>
    <row r="21" spans="1:18" s="2" customFormat="1" ht="127.15" customHeight="1" x14ac:dyDescent="0.3">
      <c r="A21" s="560">
        <v>1</v>
      </c>
      <c r="B21" s="561" t="s">
        <v>411</v>
      </c>
      <c r="C21" s="367">
        <f>SUM(C22:C23)</f>
        <v>6</v>
      </c>
      <c r="D21" s="367">
        <f ca="1">SUM(D22:D23,C60)</f>
        <v>56.415934759999999</v>
      </c>
      <c r="E21" s="367">
        <f>D49-4</f>
        <v>27</v>
      </c>
      <c r="F21" s="368">
        <f ca="1">D43*MIN(C31,D31)+SUM(D46:D47,-4)*MIN(C31,D31)+C60</f>
        <v>40.661934760000001</v>
      </c>
      <c r="G21" s="618" t="s">
        <v>912</v>
      </c>
      <c r="H21" s="211"/>
      <c r="I21" s="226"/>
      <c r="J21" s="226"/>
      <c r="K21" s="226"/>
      <c r="L21" s="190"/>
      <c r="M21" s="190"/>
      <c r="N21" s="190"/>
    </row>
    <row r="22" spans="1:18" s="2" customFormat="1" x14ac:dyDescent="0.3">
      <c r="A22" s="560" t="s">
        <v>487</v>
      </c>
      <c r="B22" s="561" t="s">
        <v>408</v>
      </c>
      <c r="C22" s="384">
        <v>6</v>
      </c>
      <c r="D22" s="406">
        <f>E49+F49</f>
        <v>48.153999999999996</v>
      </c>
      <c r="E22" s="371"/>
      <c r="F22" s="371"/>
      <c r="G22" s="619"/>
      <c r="H22" s="211"/>
      <c r="I22" s="211"/>
      <c r="J22" s="211"/>
      <c r="K22" s="211"/>
    </row>
    <row r="23" spans="1:18" s="2" customFormat="1" x14ac:dyDescent="0.3">
      <c r="A23" s="560" t="s">
        <v>488</v>
      </c>
      <c r="B23" s="561" t="s">
        <v>409</v>
      </c>
      <c r="C23" s="384">
        <v>0</v>
      </c>
      <c r="D23" s="384">
        <v>0</v>
      </c>
      <c r="E23" s="371"/>
      <c r="F23" s="371"/>
      <c r="G23" s="619"/>
      <c r="H23" s="211"/>
      <c r="I23" s="222"/>
      <c r="J23" s="222"/>
      <c r="K23" s="222"/>
      <c r="L23" s="16"/>
      <c r="M23" s="16"/>
      <c r="N23" s="16"/>
    </row>
    <row r="24" spans="1:18" s="2" customFormat="1" ht="180" x14ac:dyDescent="0.3">
      <c r="A24" s="560">
        <v>2</v>
      </c>
      <c r="B24" s="561" t="s">
        <v>412</v>
      </c>
      <c r="C24" s="405">
        <f>B74</f>
        <v>23.35</v>
      </c>
      <c r="D24" s="405">
        <f>SUM(B72:B73)</f>
        <v>76.938999999999993</v>
      </c>
      <c r="E24" s="371"/>
      <c r="F24" s="368">
        <f ca="1">INDEX('Leakage assessment'!B5:B21,MATCH(B150,'Leakage assessment'!A5:A21,0))</f>
        <v>69.245099999999994</v>
      </c>
      <c r="G24" s="472" t="s">
        <v>1012</v>
      </c>
      <c r="H24" s="211"/>
      <c r="I24" s="222"/>
      <c r="J24" s="222"/>
      <c r="K24" s="222"/>
      <c r="L24" s="16"/>
      <c r="M24" s="16"/>
      <c r="N24" s="16"/>
    </row>
    <row r="25" spans="1:18" s="2" customFormat="1" ht="60" x14ac:dyDescent="0.3">
      <c r="A25" s="560">
        <v>3</v>
      </c>
      <c r="B25" s="561" t="s">
        <v>413</v>
      </c>
      <c r="C25" s="371"/>
      <c r="D25" s="405">
        <f>C81</f>
        <v>5.7409999999999997</v>
      </c>
      <c r="E25" s="371"/>
      <c r="F25" s="367">
        <f>D81</f>
        <v>2.8704999999999998</v>
      </c>
      <c r="G25" s="472" t="s">
        <v>914</v>
      </c>
      <c r="H25" s="211"/>
      <c r="I25" s="222"/>
      <c r="J25" s="222"/>
      <c r="K25" s="222"/>
      <c r="L25" s="16"/>
      <c r="M25" s="16"/>
      <c r="N25" s="16"/>
    </row>
    <row r="26" spans="1:18" s="2" customFormat="1" ht="195" x14ac:dyDescent="0.3">
      <c r="A26" s="560">
        <v>4</v>
      </c>
      <c r="B26" s="561" t="s">
        <v>415</v>
      </c>
      <c r="C26" s="371"/>
      <c r="D26" s="405">
        <f>(F143+G143)-(F122+G122)</f>
        <v>336.53899999999999</v>
      </c>
      <c r="E26" s="371">
        <f ca="1">F26/D26</f>
        <v>0.71840363196148826</v>
      </c>
      <c r="F26" s="367">
        <f ca="1">L143-L122</f>
        <v>241.77083989668731</v>
      </c>
      <c r="G26" s="474" t="s">
        <v>939</v>
      </c>
      <c r="H26" s="211"/>
      <c r="I26" s="211"/>
      <c r="J26" s="211"/>
      <c r="K26" s="211"/>
    </row>
    <row r="27" spans="1:18" s="2" customFormat="1" ht="75.75" thickBot="1" x14ac:dyDescent="0.35">
      <c r="A27" s="562">
        <v>5</v>
      </c>
      <c r="B27" s="563" t="s">
        <v>416</v>
      </c>
      <c r="C27" s="377"/>
      <c r="D27" s="378">
        <f>C147</f>
        <v>3.0569999999999999</v>
      </c>
      <c r="E27" s="377"/>
      <c r="F27" s="378">
        <f>0</f>
        <v>0</v>
      </c>
      <c r="G27" s="475" t="s">
        <v>915</v>
      </c>
      <c r="H27" s="211"/>
      <c r="I27" s="211"/>
      <c r="J27" s="211"/>
      <c r="K27" s="211"/>
    </row>
    <row r="28" spans="1:18" s="2" customFormat="1" ht="15.75" thickBot="1" x14ac:dyDescent="0.35">
      <c r="A28" s="42"/>
      <c r="B28" s="564" t="s">
        <v>313</v>
      </c>
      <c r="C28" s="426"/>
      <c r="D28" s="426">
        <f ca="1">SUM(D21,D24:D27)</f>
        <v>478.69193475999998</v>
      </c>
      <c r="E28" s="426"/>
      <c r="F28" s="426">
        <f ca="1">SUM(F21,F24:F27)</f>
        <v>354.54837465668732</v>
      </c>
      <c r="G28" s="476"/>
      <c r="H28" s="211"/>
      <c r="I28" s="211"/>
      <c r="J28" s="211"/>
      <c r="K28" s="211"/>
    </row>
    <row r="29" spans="1:18" s="2" customFormat="1" x14ac:dyDescent="0.3">
      <c r="B29" s="71"/>
      <c r="C29" s="71"/>
      <c r="D29" s="75"/>
      <c r="E29" s="70"/>
      <c r="F29" s="71"/>
      <c r="G29" s="70"/>
      <c r="H29" s="71"/>
      <c r="I29" s="71"/>
      <c r="J29" s="184"/>
      <c r="K29" s="42"/>
      <c r="L29" s="184"/>
      <c r="M29" s="42"/>
      <c r="N29" s="227"/>
      <c r="O29" s="222"/>
      <c r="P29" s="222"/>
      <c r="Q29" s="222"/>
      <c r="R29" s="16"/>
    </row>
    <row r="30" spans="1:18" s="2" customFormat="1" ht="15.75" thickBot="1" x14ac:dyDescent="0.35">
      <c r="B30" s="172" t="s">
        <v>490</v>
      </c>
      <c r="C30" s="386" t="s">
        <v>491</v>
      </c>
      <c r="D30" s="386" t="s">
        <v>492</v>
      </c>
      <c r="E30" s="22"/>
      <c r="F30" s="16"/>
      <c r="G30" s="70"/>
      <c r="H30" s="71"/>
      <c r="I30" s="71"/>
      <c r="N30" s="227"/>
      <c r="O30" s="222"/>
      <c r="P30" s="222"/>
      <c r="Q30" s="222"/>
      <c r="R30" s="16"/>
    </row>
    <row r="31" spans="1:18" s="2" customFormat="1" ht="15.75" x14ac:dyDescent="0.3">
      <c r="B31" s="387" t="s">
        <v>418</v>
      </c>
      <c r="C31" s="388">
        <f>SUM(E48:F48)/D48</f>
        <v>1.2118505747126436</v>
      </c>
      <c r="D31" s="389">
        <f ca="1">'Unit costs'!B3</f>
        <v>1.2</v>
      </c>
      <c r="E31" s="49" t="s">
        <v>419</v>
      </c>
      <c r="G31" s="65"/>
      <c r="H31" s="16"/>
      <c r="I31" s="16"/>
      <c r="J31" s="208"/>
      <c r="K31" s="209"/>
      <c r="L31" s="209"/>
      <c r="M31" s="209"/>
      <c r="N31" s="227"/>
      <c r="O31" s="222"/>
      <c r="P31" s="222"/>
      <c r="Q31" s="222"/>
      <c r="R31" s="16"/>
    </row>
    <row r="32" spans="1:18" s="2" customFormat="1" ht="16.5" thickBot="1" x14ac:dyDescent="0.35">
      <c r="B32" s="390" t="s">
        <v>420</v>
      </c>
      <c r="C32" s="391">
        <f>D24/C24</f>
        <v>3.2950321199143464</v>
      </c>
      <c r="D32" s="392">
        <f ca="1">'Unit costs'!B4</f>
        <v>2.0302304832713758</v>
      </c>
      <c r="E32" s="22"/>
      <c r="F32" s="16"/>
      <c r="G32" s="65"/>
      <c r="H32" s="16"/>
      <c r="I32" s="16"/>
      <c r="J32" s="212"/>
      <c r="K32" s="213"/>
      <c r="L32" s="213"/>
      <c r="M32" s="213"/>
      <c r="N32" s="227"/>
      <c r="O32" s="222"/>
      <c r="P32" s="222"/>
      <c r="Q32" s="222"/>
      <c r="R32" s="16"/>
    </row>
    <row r="33" spans="1:75" s="2" customFormat="1" ht="16.5" thickBot="1" x14ac:dyDescent="0.35">
      <c r="B33" s="16"/>
      <c r="C33" s="163"/>
      <c r="D33" s="163"/>
      <c r="E33" s="22"/>
      <c r="F33" s="16"/>
      <c r="G33" s="65"/>
      <c r="H33" s="16"/>
      <c r="I33" s="16"/>
      <c r="J33" s="212"/>
      <c r="K33" s="213"/>
      <c r="L33" s="213"/>
      <c r="M33" s="213"/>
      <c r="N33" s="227"/>
      <c r="O33" s="222"/>
      <c r="P33" s="222"/>
      <c r="Q33" s="222"/>
      <c r="R33" s="16"/>
    </row>
    <row r="34" spans="1:75" s="2" customFormat="1" ht="16.5" thickBot="1" x14ac:dyDescent="0.35">
      <c r="B34" s="437" t="s">
        <v>747</v>
      </c>
      <c r="C34" s="438">
        <v>0.1</v>
      </c>
      <c r="D34" s="436"/>
      <c r="E34" s="49"/>
      <c r="F34" s="16"/>
      <c r="G34" s="70"/>
      <c r="H34" s="16"/>
      <c r="I34" s="71"/>
      <c r="J34" s="215"/>
      <c r="K34" s="213"/>
      <c r="L34" s="213"/>
      <c r="M34" s="213"/>
      <c r="N34" s="211"/>
      <c r="O34" s="211"/>
      <c r="P34" s="211"/>
      <c r="Q34" s="211"/>
    </row>
    <row r="35" spans="1:75" s="2" customFormat="1" ht="15.75" x14ac:dyDescent="0.3">
      <c r="B35" s="20"/>
      <c r="C35" s="69"/>
      <c r="D35" s="16"/>
      <c r="E35" s="22"/>
      <c r="F35" s="16"/>
      <c r="G35" s="70"/>
      <c r="H35" s="16"/>
      <c r="I35" s="71"/>
      <c r="J35" s="217"/>
      <c r="K35" s="218"/>
      <c r="L35" s="218"/>
      <c r="M35" s="218"/>
      <c r="N35" s="211"/>
      <c r="O35" s="211"/>
      <c r="P35" s="211"/>
      <c r="Q35" s="211"/>
    </row>
    <row r="36" spans="1:75" ht="15.75" x14ac:dyDescent="0.3">
      <c r="A36" s="54"/>
      <c r="B36" s="54" t="s">
        <v>303</v>
      </c>
      <c r="H36" s="241"/>
      <c r="J36" s="217"/>
      <c r="K36" s="218"/>
      <c r="L36" s="218"/>
      <c r="M36" s="218"/>
      <c r="N36" s="219"/>
      <c r="O36" s="219"/>
      <c r="P36" s="219"/>
      <c r="Q36" s="219"/>
      <c r="AL36" s="46"/>
      <c r="AM36" s="46"/>
      <c r="AN36" s="46"/>
      <c r="AO36" s="46"/>
      <c r="AP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row>
    <row r="37" spans="1:75" ht="15.75" x14ac:dyDescent="0.3">
      <c r="A37" s="46">
        <v>1</v>
      </c>
      <c r="B37" s="54" t="s">
        <v>411</v>
      </c>
      <c r="H37" s="241"/>
      <c r="J37" s="217"/>
      <c r="K37" s="218"/>
      <c r="L37" s="218"/>
      <c r="M37" s="218"/>
      <c r="N37" s="219"/>
      <c r="O37" s="219"/>
      <c r="P37" s="219"/>
      <c r="Q37" s="219"/>
      <c r="AL37" s="46"/>
      <c r="AM37" s="46"/>
      <c r="AN37" s="46"/>
      <c r="AO37" s="46"/>
      <c r="AP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row>
    <row r="38" spans="1:75" ht="15.75" x14ac:dyDescent="0.3">
      <c r="A38" s="54"/>
      <c r="B38" s="46" t="s">
        <v>916</v>
      </c>
      <c r="H38" s="241"/>
      <c r="J38" s="217"/>
      <c r="K38" s="218"/>
      <c r="L38" s="218"/>
      <c r="M38" s="218"/>
      <c r="N38" s="219"/>
      <c r="O38" s="219"/>
      <c r="P38" s="219"/>
      <c r="Q38" s="219"/>
      <c r="AL38" s="46"/>
      <c r="AM38" s="46"/>
      <c r="AN38" s="46"/>
      <c r="AO38" s="46"/>
      <c r="AP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row>
    <row r="39" spans="1:75" ht="15.75" x14ac:dyDescent="0.3">
      <c r="A39" s="54"/>
      <c r="H39" s="241"/>
      <c r="J39" s="217"/>
      <c r="K39" s="218"/>
      <c r="L39" s="218"/>
      <c r="M39" s="218"/>
      <c r="N39" s="219"/>
      <c r="O39" s="219"/>
      <c r="P39" s="219"/>
      <c r="Q39" s="219"/>
      <c r="AL39" s="46"/>
      <c r="AM39" s="46"/>
      <c r="AN39" s="46"/>
      <c r="AO39" s="46"/>
      <c r="AP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row>
    <row r="40" spans="1:75" ht="15.75" x14ac:dyDescent="0.3">
      <c r="A40" s="481" t="s">
        <v>487</v>
      </c>
      <c r="B40" s="54" t="s">
        <v>928</v>
      </c>
      <c r="G40" s="189"/>
      <c r="H40" s="246"/>
      <c r="J40" s="217"/>
      <c r="K40" s="218"/>
      <c r="L40" s="218"/>
      <c r="M40" s="218"/>
      <c r="N40" s="219"/>
      <c r="O40" s="219"/>
      <c r="P40" s="219"/>
      <c r="Q40" s="219"/>
      <c r="AL40" s="46"/>
      <c r="AM40" s="46"/>
      <c r="AN40" s="46"/>
      <c r="AO40" s="46"/>
      <c r="AP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row>
    <row r="41" spans="1:75" ht="15.75" x14ac:dyDescent="0.3">
      <c r="B41" s="565" t="s">
        <v>423</v>
      </c>
      <c r="J41" s="217"/>
      <c r="K41" s="218"/>
      <c r="L41" s="218"/>
      <c r="M41" s="218"/>
      <c r="N41" s="219"/>
      <c r="O41" s="219"/>
      <c r="P41" s="219"/>
      <c r="Q41" s="219"/>
      <c r="AL41" s="46"/>
      <c r="AM41" s="46"/>
      <c r="AN41" s="46"/>
      <c r="AO41" s="46"/>
      <c r="AP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row>
    <row r="42" spans="1:75" ht="37.5" customHeight="1" x14ac:dyDescent="0.3">
      <c r="B42" s="567" t="s">
        <v>424</v>
      </c>
      <c r="C42" s="568" t="s">
        <v>425</v>
      </c>
      <c r="D42" s="568" t="s">
        <v>426</v>
      </c>
      <c r="E42" s="568" t="s">
        <v>421</v>
      </c>
      <c r="F42" s="568" t="s">
        <v>422</v>
      </c>
      <c r="H42" s="218"/>
      <c r="I42" s="218"/>
      <c r="J42" s="218"/>
      <c r="K42" s="218"/>
      <c r="L42" s="218"/>
      <c r="M42" s="219"/>
      <c r="N42" s="219"/>
      <c r="O42" s="219"/>
      <c r="P42" s="219"/>
      <c r="AL42" s="46"/>
      <c r="AM42" s="46"/>
      <c r="AN42" s="46"/>
      <c r="AO42" s="46"/>
      <c r="AP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row>
    <row r="43" spans="1:75" ht="15.75" x14ac:dyDescent="0.3">
      <c r="B43" s="309" t="s">
        <v>427</v>
      </c>
      <c r="C43" s="171" t="s">
        <v>43</v>
      </c>
      <c r="D43" s="170">
        <v>6</v>
      </c>
      <c r="E43" s="171">
        <v>25.318000000000001</v>
      </c>
      <c r="F43" s="171">
        <v>0.50700000000000001</v>
      </c>
      <c r="H43" s="218"/>
      <c r="I43" s="218"/>
      <c r="J43" s="218"/>
      <c r="K43" s="218"/>
      <c r="L43" s="218"/>
      <c r="M43" s="219"/>
      <c r="N43" s="219"/>
      <c r="O43" s="219"/>
      <c r="P43" s="219"/>
      <c r="AL43" s="46"/>
      <c r="AM43" s="46"/>
      <c r="AN43" s="46"/>
      <c r="AO43" s="46"/>
      <c r="AP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row>
    <row r="44" spans="1:75" ht="15.75" x14ac:dyDescent="0.3">
      <c r="B44" s="566" t="s">
        <v>918</v>
      </c>
      <c r="C44" s="171" t="s">
        <v>43</v>
      </c>
      <c r="D44" s="170">
        <v>31</v>
      </c>
      <c r="E44" s="171">
        <v>40.683999999999997</v>
      </c>
      <c r="F44" s="171">
        <v>0.318</v>
      </c>
      <c r="H44" s="218"/>
      <c r="I44" s="218"/>
      <c r="J44" s="218"/>
      <c r="K44" s="218"/>
      <c r="L44" s="218"/>
      <c r="M44" s="219"/>
      <c r="N44" s="219"/>
      <c r="O44" s="219"/>
      <c r="P44" s="219"/>
      <c r="AL44" s="46"/>
      <c r="AM44" s="46"/>
      <c r="AN44" s="46"/>
      <c r="AO44" s="46"/>
      <c r="AP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row>
    <row r="45" spans="1:75" ht="15.75" x14ac:dyDescent="0.3">
      <c r="B45" s="309" t="s">
        <v>428</v>
      </c>
      <c r="C45" s="171" t="s">
        <v>42</v>
      </c>
      <c r="D45" s="170">
        <v>25</v>
      </c>
      <c r="E45" s="171">
        <v>16.204000000000001</v>
      </c>
      <c r="F45" s="171">
        <v>7.0999999999999994E-2</v>
      </c>
      <c r="H45" s="218"/>
      <c r="I45" s="218"/>
      <c r="J45" s="218"/>
      <c r="K45" s="218"/>
      <c r="L45" s="218"/>
      <c r="M45" s="219"/>
      <c r="N45" s="219"/>
      <c r="O45" s="219"/>
      <c r="P45" s="219"/>
      <c r="AL45" s="46"/>
      <c r="AM45" s="46"/>
      <c r="AN45" s="46"/>
      <c r="AO45" s="46"/>
      <c r="AP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row>
    <row r="46" spans="1:75" ht="15.75" x14ac:dyDescent="0.3">
      <c r="B46" s="309" t="s">
        <v>429</v>
      </c>
      <c r="C46" s="171" t="s">
        <v>42</v>
      </c>
      <c r="D46" s="170">
        <v>20</v>
      </c>
      <c r="E46" s="171">
        <v>16.465</v>
      </c>
      <c r="F46" s="171">
        <v>0.64700000000000002</v>
      </c>
      <c r="H46" s="218"/>
      <c r="I46" s="218"/>
      <c r="J46" s="218"/>
      <c r="K46" s="218"/>
      <c r="L46" s="218"/>
      <c r="M46" s="219"/>
      <c r="N46" s="219"/>
      <c r="O46" s="219"/>
      <c r="P46" s="219"/>
      <c r="AL46" s="46"/>
      <c r="AM46" s="46"/>
      <c r="AN46" s="46"/>
      <c r="AO46" s="46"/>
      <c r="AP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row>
    <row r="47" spans="1:75" ht="15.75" x14ac:dyDescent="0.3">
      <c r="B47" s="309" t="s">
        <v>430</v>
      </c>
      <c r="C47" s="171" t="s">
        <v>42</v>
      </c>
      <c r="D47" s="170">
        <v>5</v>
      </c>
      <c r="E47" s="171">
        <v>5.1870000000000003</v>
      </c>
      <c r="F47" s="171">
        <v>0.03</v>
      </c>
      <c r="G47" s="46" t="s">
        <v>810</v>
      </c>
      <c r="I47" s="218"/>
      <c r="J47" s="218"/>
      <c r="K47" s="218"/>
      <c r="L47" s="218"/>
      <c r="M47" s="218"/>
      <c r="N47" s="218"/>
      <c r="O47" s="218"/>
      <c r="P47" s="209"/>
      <c r="Q47" s="209"/>
      <c r="R47" s="215"/>
      <c r="S47" s="216"/>
      <c r="T47" s="216"/>
      <c r="U47" s="216"/>
      <c r="V47" s="216"/>
      <c r="W47" s="216"/>
      <c r="X47" s="216"/>
      <c r="Y47" s="219"/>
      <c r="Z47" s="215"/>
      <c r="AA47" s="218"/>
      <c r="AB47" s="218"/>
      <c r="AC47" s="218"/>
      <c r="AD47" s="218"/>
      <c r="AE47" s="218"/>
      <c r="AF47" s="220"/>
      <c r="AG47" s="219"/>
      <c r="AH47" s="219"/>
      <c r="AI47" s="219"/>
      <c r="AJ47" s="219"/>
      <c r="AK47" s="219"/>
      <c r="AP47" s="46"/>
      <c r="AQ47" s="219"/>
      <c r="BH47" s="229"/>
      <c r="BJ47" s="219"/>
      <c r="BQ47" s="230"/>
      <c r="BS47" s="219"/>
      <c r="BW47" s="46"/>
    </row>
    <row r="48" spans="1:75" ht="15.75" x14ac:dyDescent="0.3">
      <c r="C48" s="569" t="s">
        <v>789</v>
      </c>
      <c r="D48" s="570">
        <f>SUM(D43:D47)</f>
        <v>87</v>
      </c>
      <c r="E48" s="571">
        <f>SUM(E43:E47)</f>
        <v>103.85799999999999</v>
      </c>
      <c r="F48" s="571">
        <f>SUM(F43:F47)</f>
        <v>1.573</v>
      </c>
      <c r="H48" s="218"/>
      <c r="I48" s="218"/>
      <c r="J48" s="218"/>
      <c r="K48" s="218"/>
      <c r="L48" s="218"/>
      <c r="M48" s="218"/>
      <c r="N48" s="218"/>
      <c r="O48" s="218"/>
      <c r="P48" s="209"/>
      <c r="Q48" s="209"/>
      <c r="R48" s="215"/>
      <c r="S48" s="216"/>
      <c r="T48" s="216"/>
      <c r="U48" s="216"/>
      <c r="V48" s="216"/>
      <c r="W48" s="216"/>
      <c r="X48" s="216"/>
      <c r="Y48" s="219"/>
      <c r="Z48" s="215"/>
      <c r="AA48" s="218"/>
      <c r="AB48" s="218"/>
      <c r="AC48" s="218"/>
      <c r="AD48" s="218"/>
      <c r="AE48" s="218"/>
      <c r="AF48" s="220"/>
      <c r="AG48" s="219"/>
      <c r="AH48" s="219"/>
      <c r="AI48" s="219"/>
      <c r="AJ48" s="219"/>
      <c r="AK48" s="219"/>
      <c r="AP48" s="46"/>
      <c r="AQ48" s="219"/>
      <c r="BH48" s="229"/>
      <c r="BJ48" s="219"/>
      <c r="BQ48" s="230"/>
      <c r="BS48" s="219"/>
      <c r="BW48" s="46"/>
    </row>
    <row r="49" spans="2:75" ht="15.75" x14ac:dyDescent="0.3">
      <c r="C49" s="569" t="s">
        <v>917</v>
      </c>
      <c r="D49" s="570">
        <f>D43+D46+D47</f>
        <v>31</v>
      </c>
      <c r="E49" s="572">
        <f>E43+E46+E47</f>
        <v>46.97</v>
      </c>
      <c r="F49" s="572">
        <f>F43+F46+F47</f>
        <v>1.1839999999999999</v>
      </c>
      <c r="H49" s="218"/>
      <c r="I49" s="218"/>
      <c r="J49" s="218"/>
      <c r="K49" s="218"/>
      <c r="L49" s="218"/>
      <c r="M49" s="218"/>
      <c r="N49" s="218"/>
      <c r="O49" s="218"/>
      <c r="P49" s="209"/>
      <c r="Q49" s="209"/>
      <c r="R49" s="215"/>
      <c r="S49" s="216"/>
      <c r="T49" s="216"/>
      <c r="U49" s="216"/>
      <c r="V49" s="216"/>
      <c r="W49" s="216"/>
      <c r="X49" s="216"/>
      <c r="Y49" s="219"/>
      <c r="Z49" s="215"/>
      <c r="AA49" s="218"/>
      <c r="AB49" s="218"/>
      <c r="AC49" s="218"/>
      <c r="AD49" s="218"/>
      <c r="AE49" s="218"/>
      <c r="AF49" s="220"/>
      <c r="AG49" s="219"/>
      <c r="AH49" s="219"/>
      <c r="AI49" s="219"/>
      <c r="AJ49" s="219"/>
      <c r="AK49" s="219"/>
      <c r="AP49" s="46"/>
      <c r="AQ49" s="219"/>
      <c r="BH49" s="229"/>
      <c r="BJ49" s="219"/>
      <c r="BQ49" s="230"/>
      <c r="BS49" s="219"/>
      <c r="BW49" s="46"/>
    </row>
    <row r="50" spans="2:75" ht="15.75" x14ac:dyDescent="0.3">
      <c r="B50" s="47" t="s">
        <v>790</v>
      </c>
      <c r="C50" s="481"/>
      <c r="E50" s="59"/>
      <c r="F50" s="62"/>
      <c r="G50" s="62"/>
      <c r="H50" s="218"/>
      <c r="I50" s="218"/>
      <c r="J50" s="217"/>
      <c r="K50" s="218"/>
      <c r="L50" s="218"/>
      <c r="M50" s="218"/>
      <c r="N50" s="218"/>
      <c r="O50" s="218"/>
      <c r="P50" s="218"/>
      <c r="Q50" s="209"/>
      <c r="R50" s="209"/>
      <c r="S50" s="215"/>
      <c r="T50" s="216"/>
      <c r="U50" s="216"/>
      <c r="V50" s="216"/>
      <c r="W50" s="216"/>
      <c r="X50" s="216"/>
      <c r="Y50" s="216"/>
      <c r="Z50" s="219"/>
      <c r="AA50" s="215"/>
      <c r="AB50" s="218"/>
      <c r="AC50" s="218"/>
      <c r="AD50" s="218"/>
      <c r="AE50" s="218"/>
      <c r="AF50" s="218"/>
      <c r="AG50" s="220"/>
      <c r="AH50" s="219"/>
      <c r="AI50" s="219"/>
      <c r="AJ50" s="219"/>
      <c r="AK50" s="219"/>
    </row>
    <row r="51" spans="2:75" ht="15.75" x14ac:dyDescent="0.3">
      <c r="B51" s="46" t="s">
        <v>919</v>
      </c>
      <c r="E51" s="62"/>
      <c r="F51" s="62"/>
      <c r="G51" s="62"/>
      <c r="J51" s="217"/>
      <c r="K51" s="218"/>
      <c r="L51" s="218"/>
      <c r="M51" s="218"/>
      <c r="N51" s="218"/>
      <c r="O51" s="218"/>
      <c r="P51" s="218"/>
      <c r="Q51" s="209"/>
      <c r="R51" s="209"/>
      <c r="S51" s="215"/>
      <c r="T51" s="216"/>
      <c r="U51" s="216"/>
      <c r="V51" s="216"/>
      <c r="W51" s="216"/>
      <c r="X51" s="216"/>
      <c r="Y51" s="216"/>
      <c r="Z51" s="219"/>
      <c r="AA51" s="215"/>
      <c r="AB51" s="218"/>
      <c r="AC51" s="218"/>
      <c r="AD51" s="218"/>
      <c r="AE51" s="218"/>
      <c r="AF51" s="218"/>
      <c r="AG51" s="220"/>
      <c r="AH51" s="219"/>
      <c r="AI51" s="219"/>
      <c r="AJ51" s="219"/>
      <c r="AK51" s="219"/>
    </row>
    <row r="52" spans="2:75" ht="15.75" x14ac:dyDescent="0.3">
      <c r="E52" s="62"/>
      <c r="F52" s="62"/>
      <c r="G52" s="62"/>
      <c r="J52" s="217"/>
      <c r="K52" s="218"/>
      <c r="L52" s="218"/>
      <c r="M52" s="218"/>
      <c r="N52" s="218"/>
      <c r="O52" s="218"/>
      <c r="P52" s="218"/>
      <c r="Q52" s="209"/>
      <c r="R52" s="209"/>
      <c r="S52" s="215"/>
      <c r="T52" s="216"/>
      <c r="U52" s="216"/>
      <c r="V52" s="216"/>
      <c r="W52" s="216"/>
      <c r="X52" s="216"/>
      <c r="Y52" s="216"/>
      <c r="Z52" s="219"/>
      <c r="AA52" s="215"/>
      <c r="AB52" s="218"/>
      <c r="AC52" s="218"/>
      <c r="AD52" s="218"/>
      <c r="AE52" s="218"/>
      <c r="AF52" s="218"/>
      <c r="AG52" s="220"/>
      <c r="AH52" s="219"/>
      <c r="AI52" s="219"/>
      <c r="AJ52" s="219"/>
      <c r="AK52" s="219"/>
    </row>
    <row r="53" spans="2:75" ht="15.75" x14ac:dyDescent="0.3">
      <c r="B53" s="46" t="s">
        <v>757</v>
      </c>
      <c r="C53" s="46">
        <f>SUM(E44:F45,F122:G122)</f>
        <v>130.05099999999999</v>
      </c>
      <c r="D53" s="46" t="s">
        <v>464</v>
      </c>
      <c r="E53" s="62"/>
      <c r="F53" s="62"/>
      <c r="G53" s="62"/>
      <c r="J53" s="217"/>
      <c r="K53" s="218"/>
      <c r="L53" s="218"/>
      <c r="M53" s="218"/>
      <c r="N53" s="218"/>
      <c r="O53" s="218"/>
      <c r="P53" s="218"/>
      <c r="Q53" s="209"/>
      <c r="R53" s="209"/>
      <c r="S53" s="215"/>
      <c r="T53" s="216"/>
      <c r="U53" s="216"/>
      <c r="V53" s="216"/>
      <c r="W53" s="216"/>
      <c r="X53" s="216"/>
      <c r="Y53" s="216"/>
      <c r="Z53" s="219"/>
      <c r="AA53" s="215"/>
      <c r="AB53" s="218"/>
      <c r="AC53" s="218"/>
      <c r="AD53" s="218"/>
      <c r="AE53" s="218"/>
      <c r="AF53" s="218"/>
      <c r="AG53" s="220"/>
      <c r="AH53" s="219"/>
      <c r="AI53" s="219"/>
      <c r="AJ53" s="219"/>
      <c r="AK53" s="219"/>
    </row>
    <row r="54" spans="2:75" ht="15.75" x14ac:dyDescent="0.3">
      <c r="B54" s="46" t="s">
        <v>758</v>
      </c>
      <c r="C54" s="189">
        <f ca="1">L122+SUM(D44:D45)*D31*(1-E112)</f>
        <v>113.53224600000001</v>
      </c>
      <c r="D54" s="46" t="s">
        <v>464</v>
      </c>
      <c r="E54" s="62"/>
      <c r="F54" s="62"/>
      <c r="G54" s="62"/>
      <c r="J54" s="217"/>
      <c r="K54" s="218"/>
      <c r="L54" s="218"/>
      <c r="M54" s="218"/>
      <c r="N54" s="218"/>
      <c r="O54" s="218"/>
      <c r="P54" s="218"/>
      <c r="Q54" s="209"/>
      <c r="R54" s="209"/>
      <c r="S54" s="215"/>
      <c r="T54" s="216"/>
      <c r="U54" s="216"/>
      <c r="V54" s="216"/>
      <c r="W54" s="216"/>
      <c r="X54" s="216"/>
      <c r="Y54" s="216"/>
      <c r="Z54" s="219"/>
      <c r="AA54" s="215"/>
      <c r="AB54" s="218"/>
      <c r="AC54" s="218"/>
      <c r="AD54" s="218"/>
      <c r="AE54" s="218"/>
      <c r="AF54" s="218"/>
      <c r="AG54" s="220"/>
      <c r="AH54" s="219"/>
      <c r="AI54" s="219"/>
      <c r="AJ54" s="219"/>
      <c r="AK54" s="219"/>
    </row>
    <row r="55" spans="2:75" ht="15.75" x14ac:dyDescent="0.3">
      <c r="B55" s="46" t="s">
        <v>791</v>
      </c>
      <c r="E55" s="62"/>
      <c r="F55" s="62"/>
      <c r="G55" s="62"/>
      <c r="J55" s="217"/>
      <c r="K55" s="218"/>
      <c r="L55" s="218"/>
      <c r="M55" s="218"/>
      <c r="N55" s="218"/>
      <c r="O55" s="218"/>
      <c r="P55" s="218"/>
      <c r="Q55" s="209"/>
      <c r="R55" s="209"/>
      <c r="S55" s="215"/>
      <c r="T55" s="216"/>
      <c r="U55" s="216"/>
      <c r="V55" s="216"/>
      <c r="W55" s="216"/>
      <c r="X55" s="216"/>
      <c r="Y55" s="216"/>
      <c r="Z55" s="219"/>
      <c r="AA55" s="215"/>
      <c r="AB55" s="218"/>
      <c r="AC55" s="218"/>
      <c r="AD55" s="218"/>
      <c r="AE55" s="218"/>
      <c r="AF55" s="218"/>
      <c r="AG55" s="220"/>
      <c r="AH55" s="219"/>
      <c r="AI55" s="219"/>
      <c r="AJ55" s="219"/>
      <c r="AK55" s="219"/>
    </row>
    <row r="56" spans="2:75" ht="15.75" x14ac:dyDescent="0.3">
      <c r="B56" s="46" t="s">
        <v>759</v>
      </c>
      <c r="C56" s="435">
        <v>0.06</v>
      </c>
      <c r="E56" s="62"/>
      <c r="F56" s="62"/>
      <c r="G56" s="62"/>
      <c r="J56" s="217"/>
      <c r="K56" s="218"/>
      <c r="L56" s="218"/>
      <c r="M56" s="218"/>
      <c r="N56" s="218"/>
      <c r="O56" s="218"/>
      <c r="P56" s="218"/>
      <c r="Q56" s="209"/>
      <c r="R56" s="209"/>
      <c r="S56" s="215"/>
      <c r="T56" s="216"/>
      <c r="U56" s="216"/>
      <c r="V56" s="216"/>
      <c r="W56" s="216"/>
      <c r="X56" s="216"/>
      <c r="Y56" s="216"/>
      <c r="Z56" s="219"/>
      <c r="AA56" s="215"/>
      <c r="AB56" s="218"/>
      <c r="AC56" s="218"/>
      <c r="AD56" s="218"/>
      <c r="AE56" s="218"/>
      <c r="AF56" s="218"/>
      <c r="AG56" s="220"/>
      <c r="AH56" s="219"/>
      <c r="AI56" s="219"/>
      <c r="AJ56" s="219"/>
      <c r="AK56" s="219"/>
    </row>
    <row r="57" spans="2:75" ht="15.75" x14ac:dyDescent="0.3">
      <c r="B57" s="46" t="s">
        <v>761</v>
      </c>
      <c r="C57" s="189">
        <f ca="1">C54*C56</f>
        <v>6.8119347600000006</v>
      </c>
      <c r="E57" s="62"/>
      <c r="F57" s="62"/>
      <c r="G57" s="62"/>
      <c r="J57" s="217"/>
      <c r="K57" s="218"/>
      <c r="L57" s="218"/>
      <c r="M57" s="218"/>
      <c r="N57" s="218"/>
      <c r="O57" s="218"/>
      <c r="P57" s="218"/>
      <c r="Q57" s="209"/>
      <c r="R57" s="209"/>
      <c r="S57" s="215"/>
      <c r="T57" s="216"/>
      <c r="U57" s="216"/>
      <c r="V57" s="216"/>
      <c r="W57" s="216"/>
      <c r="X57" s="216"/>
      <c r="Y57" s="216"/>
      <c r="Z57" s="219"/>
      <c r="AA57" s="215"/>
      <c r="AB57" s="218"/>
      <c r="AC57" s="218"/>
      <c r="AD57" s="218"/>
      <c r="AE57" s="218"/>
      <c r="AF57" s="218"/>
      <c r="AG57" s="220"/>
      <c r="AH57" s="219"/>
      <c r="AI57" s="219"/>
      <c r="AJ57" s="219"/>
      <c r="AK57" s="219"/>
    </row>
    <row r="58" spans="2:75" ht="15.75" x14ac:dyDescent="0.3">
      <c r="B58" s="46" t="s">
        <v>762</v>
      </c>
      <c r="C58" s="52">
        <v>1</v>
      </c>
      <c r="D58" s="46" t="s">
        <v>760</v>
      </c>
      <c r="E58" s="62"/>
      <c r="F58" s="62"/>
      <c r="G58" s="62"/>
      <c r="J58" s="217"/>
      <c r="K58" s="218"/>
      <c r="L58" s="218"/>
      <c r="M58" s="218"/>
      <c r="N58" s="218"/>
      <c r="O58" s="218"/>
      <c r="P58" s="218"/>
      <c r="Q58" s="209"/>
      <c r="R58" s="209"/>
      <c r="S58" s="215"/>
      <c r="T58" s="216"/>
      <c r="U58" s="216"/>
      <c r="V58" s="216"/>
      <c r="W58" s="216"/>
      <c r="X58" s="216"/>
      <c r="Y58" s="216"/>
      <c r="Z58" s="219"/>
      <c r="AA58" s="215"/>
      <c r="AB58" s="218"/>
      <c r="AC58" s="218"/>
      <c r="AD58" s="218"/>
      <c r="AE58" s="218"/>
      <c r="AF58" s="218"/>
      <c r="AG58" s="220"/>
      <c r="AH58" s="219"/>
      <c r="AI58" s="219"/>
      <c r="AJ58" s="219"/>
      <c r="AK58" s="219"/>
    </row>
    <row r="59" spans="2:75" ht="15.75" x14ac:dyDescent="0.3">
      <c r="B59" s="46" t="s">
        <v>763</v>
      </c>
      <c r="C59" s="46">
        <f>0.15*3</f>
        <v>0.44999999999999996</v>
      </c>
      <c r="D59" s="46" t="s">
        <v>920</v>
      </c>
      <c r="E59" s="62"/>
      <c r="F59" s="62"/>
      <c r="G59" s="62"/>
      <c r="J59" s="217"/>
      <c r="K59" s="218"/>
      <c r="L59" s="218"/>
      <c r="M59" s="218"/>
      <c r="N59" s="218"/>
      <c r="O59" s="218"/>
      <c r="P59" s="218"/>
      <c r="Q59" s="209"/>
      <c r="R59" s="209"/>
      <c r="S59" s="215"/>
      <c r="T59" s="216"/>
      <c r="U59" s="216"/>
      <c r="V59" s="216"/>
      <c r="W59" s="216"/>
      <c r="X59" s="216"/>
      <c r="Y59" s="216"/>
      <c r="Z59" s="219"/>
      <c r="AA59" s="215"/>
      <c r="AB59" s="218"/>
      <c r="AC59" s="218"/>
      <c r="AD59" s="218"/>
      <c r="AE59" s="218"/>
      <c r="AF59" s="218"/>
      <c r="AG59" s="220"/>
      <c r="AH59" s="219"/>
      <c r="AI59" s="219"/>
      <c r="AJ59" s="219"/>
      <c r="AK59" s="219"/>
    </row>
    <row r="60" spans="2:75" ht="15.75" x14ac:dyDescent="0.3">
      <c r="B60" s="46" t="s">
        <v>921</v>
      </c>
      <c r="C60" s="246">
        <f ca="1">C59+C58+C57</f>
        <v>8.2619347600000008</v>
      </c>
      <c r="D60" s="46" t="s">
        <v>922</v>
      </c>
      <c r="E60" s="62"/>
      <c r="F60" s="62"/>
      <c r="G60" s="62"/>
      <c r="J60" s="217"/>
      <c r="K60" s="218"/>
      <c r="L60" s="218"/>
      <c r="M60" s="218"/>
      <c r="N60" s="218"/>
      <c r="O60" s="218"/>
      <c r="P60" s="218"/>
      <c r="Q60" s="209"/>
      <c r="R60" s="209"/>
      <c r="S60" s="215"/>
      <c r="T60" s="216"/>
      <c r="U60" s="216"/>
      <c r="V60" s="216"/>
      <c r="W60" s="216"/>
      <c r="X60" s="216"/>
      <c r="Y60" s="216"/>
      <c r="Z60" s="219"/>
      <c r="AA60" s="215"/>
      <c r="AB60" s="218"/>
      <c r="AC60" s="218"/>
      <c r="AD60" s="218"/>
      <c r="AE60" s="218"/>
      <c r="AF60" s="218"/>
      <c r="AG60" s="220"/>
      <c r="AH60" s="219"/>
      <c r="AI60" s="219"/>
      <c r="AJ60" s="219"/>
      <c r="AK60" s="219"/>
    </row>
    <row r="61" spans="2:75" ht="15.75" x14ac:dyDescent="0.3">
      <c r="B61" s="46" t="s">
        <v>923</v>
      </c>
      <c r="C61" s="189"/>
      <c r="E61" s="62"/>
      <c r="F61" s="62"/>
      <c r="G61" s="62"/>
      <c r="J61" s="217"/>
      <c r="K61" s="218"/>
      <c r="L61" s="218"/>
      <c r="M61" s="218"/>
      <c r="N61" s="218"/>
      <c r="O61" s="218"/>
      <c r="P61" s="218"/>
      <c r="Q61" s="209"/>
      <c r="R61" s="209"/>
      <c r="S61" s="215"/>
      <c r="T61" s="216"/>
      <c r="U61" s="216"/>
      <c r="V61" s="216"/>
      <c r="W61" s="216"/>
      <c r="X61" s="216"/>
      <c r="Y61" s="216"/>
      <c r="Z61" s="219"/>
      <c r="AA61" s="215"/>
      <c r="AB61" s="218"/>
      <c r="AC61" s="218"/>
      <c r="AD61" s="218"/>
      <c r="AE61" s="218"/>
      <c r="AF61" s="218"/>
      <c r="AG61" s="220"/>
      <c r="AH61" s="219"/>
      <c r="AI61" s="219"/>
      <c r="AJ61" s="219"/>
      <c r="AK61" s="219"/>
    </row>
    <row r="62" spans="2:75" ht="15.75" x14ac:dyDescent="0.3">
      <c r="B62" s="46" t="s">
        <v>924</v>
      </c>
      <c r="C62" s="189">
        <f ca="1">C53-C60</f>
        <v>121.78906523999999</v>
      </c>
      <c r="D62" s="46" t="s">
        <v>925</v>
      </c>
      <c r="E62" s="62"/>
      <c r="F62" s="62"/>
      <c r="G62" s="62"/>
      <c r="J62" s="217"/>
      <c r="K62" s="218"/>
      <c r="L62" s="218"/>
      <c r="M62" s="218"/>
      <c r="N62" s="218"/>
      <c r="O62" s="218"/>
      <c r="P62" s="218"/>
      <c r="Q62" s="209"/>
      <c r="R62" s="209"/>
      <c r="S62" s="215"/>
      <c r="T62" s="216"/>
      <c r="U62" s="216"/>
      <c r="V62" s="216"/>
      <c r="W62" s="216"/>
      <c r="X62" s="216"/>
      <c r="Y62" s="216"/>
      <c r="Z62" s="219"/>
      <c r="AA62" s="215"/>
      <c r="AB62" s="218"/>
      <c r="AC62" s="218"/>
      <c r="AD62" s="218"/>
      <c r="AE62" s="218"/>
      <c r="AF62" s="218"/>
      <c r="AG62" s="220"/>
      <c r="AH62" s="219"/>
      <c r="AI62" s="219"/>
      <c r="AJ62" s="219"/>
      <c r="AK62" s="219"/>
    </row>
    <row r="63" spans="2:75" ht="15.75" x14ac:dyDescent="0.3">
      <c r="B63" s="46" t="s">
        <v>792</v>
      </c>
      <c r="E63" s="62"/>
      <c r="F63" s="62"/>
      <c r="G63" s="62"/>
      <c r="J63" s="217"/>
      <c r="K63" s="218"/>
      <c r="L63" s="218"/>
      <c r="M63" s="218"/>
      <c r="N63" s="218"/>
      <c r="O63" s="218"/>
      <c r="P63" s="218"/>
      <c r="Q63" s="209"/>
      <c r="R63" s="209"/>
      <c r="S63" s="215"/>
      <c r="T63" s="216"/>
      <c r="U63" s="216"/>
      <c r="V63" s="216"/>
      <c r="W63" s="216"/>
      <c r="X63" s="216"/>
      <c r="Y63" s="216"/>
      <c r="Z63" s="219"/>
      <c r="AA63" s="215"/>
      <c r="AB63" s="218"/>
      <c r="AC63" s="218"/>
      <c r="AD63" s="218"/>
      <c r="AE63" s="218"/>
      <c r="AF63" s="218"/>
      <c r="AG63" s="220"/>
      <c r="AH63" s="219"/>
      <c r="AI63" s="219"/>
      <c r="AJ63" s="219"/>
      <c r="AK63" s="219"/>
    </row>
    <row r="64" spans="2:75" ht="15.75" x14ac:dyDescent="0.3">
      <c r="B64" s="46" t="s">
        <v>926</v>
      </c>
      <c r="C64" s="46">
        <f>SUM(F44:F45,G122)</f>
        <v>0.52700000000000002</v>
      </c>
      <c r="E64" s="62"/>
      <c r="F64" s="62"/>
      <c r="G64" s="62"/>
      <c r="J64" s="217"/>
      <c r="K64" s="218"/>
      <c r="L64" s="218"/>
      <c r="M64" s="218"/>
      <c r="N64" s="218"/>
      <c r="O64" s="218"/>
      <c r="P64" s="218"/>
      <c r="Q64" s="209"/>
      <c r="R64" s="209"/>
      <c r="S64" s="215"/>
      <c r="T64" s="216"/>
      <c r="U64" s="216"/>
      <c r="V64" s="216"/>
      <c r="W64" s="216"/>
      <c r="X64" s="216"/>
      <c r="Y64" s="216"/>
      <c r="Z64" s="219"/>
      <c r="AA64" s="215"/>
      <c r="AB64" s="218"/>
      <c r="AC64" s="218"/>
      <c r="AD64" s="218"/>
      <c r="AE64" s="218"/>
      <c r="AF64" s="218"/>
      <c r="AG64" s="220"/>
      <c r="AH64" s="219"/>
      <c r="AI64" s="219"/>
      <c r="AJ64" s="219"/>
      <c r="AK64" s="219"/>
    </row>
    <row r="65" spans="1:37" ht="15.75" x14ac:dyDescent="0.3">
      <c r="B65" s="46" t="s">
        <v>927</v>
      </c>
      <c r="C65" s="189">
        <f ca="1">C62-C64</f>
        <v>121.26206523999998</v>
      </c>
      <c r="E65" s="62"/>
      <c r="F65" s="62"/>
      <c r="G65" s="62"/>
      <c r="J65" s="217"/>
      <c r="K65" s="218"/>
      <c r="L65" s="218"/>
      <c r="M65" s="218"/>
      <c r="N65" s="218"/>
      <c r="O65" s="218"/>
      <c r="P65" s="218"/>
      <c r="Q65" s="209"/>
      <c r="R65" s="209"/>
      <c r="S65" s="215"/>
      <c r="T65" s="216"/>
      <c r="U65" s="216"/>
      <c r="V65" s="216"/>
      <c r="W65" s="216"/>
      <c r="X65" s="216"/>
      <c r="Y65" s="216"/>
      <c r="Z65" s="219"/>
      <c r="AA65" s="215"/>
      <c r="AB65" s="218"/>
      <c r="AC65" s="218"/>
      <c r="AD65" s="218"/>
      <c r="AE65" s="218"/>
      <c r="AF65" s="218"/>
      <c r="AG65" s="220"/>
      <c r="AH65" s="219"/>
      <c r="AI65" s="219"/>
      <c r="AJ65" s="219"/>
      <c r="AK65" s="219"/>
    </row>
    <row r="66" spans="1:37" ht="15.75" x14ac:dyDescent="0.3">
      <c r="E66" s="62"/>
      <c r="F66" s="62"/>
      <c r="G66" s="62"/>
      <c r="J66" s="217"/>
      <c r="K66" s="218"/>
      <c r="L66" s="218"/>
      <c r="M66" s="218"/>
      <c r="N66" s="218"/>
      <c r="O66" s="218"/>
      <c r="P66" s="218"/>
      <c r="Q66" s="209"/>
      <c r="R66" s="209"/>
      <c r="S66" s="215"/>
      <c r="T66" s="216"/>
      <c r="U66" s="216"/>
      <c r="V66" s="216"/>
      <c r="W66" s="216"/>
      <c r="X66" s="216"/>
      <c r="Y66" s="216"/>
      <c r="Z66" s="219"/>
      <c r="AA66" s="215"/>
      <c r="AB66" s="218"/>
      <c r="AC66" s="218"/>
      <c r="AD66" s="218"/>
      <c r="AE66" s="218"/>
      <c r="AF66" s="218"/>
      <c r="AG66" s="220"/>
      <c r="AH66" s="219"/>
      <c r="AI66" s="219"/>
      <c r="AJ66" s="219"/>
      <c r="AK66" s="219"/>
    </row>
    <row r="67" spans="1:37" ht="15.75" x14ac:dyDescent="0.3">
      <c r="A67" s="481" t="s">
        <v>488</v>
      </c>
      <c r="B67" s="335" t="s">
        <v>409</v>
      </c>
      <c r="E67" s="62"/>
      <c r="F67" s="62"/>
      <c r="G67" s="62"/>
      <c r="J67" s="217"/>
      <c r="K67" s="218"/>
      <c r="L67" s="218"/>
      <c r="M67" s="218"/>
      <c r="N67" s="218"/>
      <c r="O67" s="218"/>
      <c r="P67" s="218"/>
      <c r="Q67" s="209"/>
      <c r="R67" s="209"/>
      <c r="S67" s="215"/>
      <c r="T67" s="216"/>
      <c r="U67" s="216"/>
      <c r="V67" s="216"/>
      <c r="W67" s="216"/>
      <c r="X67" s="216"/>
      <c r="Y67" s="216"/>
      <c r="Z67" s="219"/>
      <c r="AA67" s="215"/>
      <c r="AB67" s="218"/>
      <c r="AC67" s="218"/>
      <c r="AD67" s="218"/>
      <c r="AE67" s="218"/>
      <c r="AF67" s="218"/>
      <c r="AG67" s="220"/>
      <c r="AH67" s="219"/>
      <c r="AI67" s="219"/>
      <c r="AJ67" s="219"/>
      <c r="AK67" s="219"/>
    </row>
    <row r="68" spans="1:37" ht="15.75" x14ac:dyDescent="0.3">
      <c r="B68" s="46" t="s">
        <v>811</v>
      </c>
      <c r="E68" s="62"/>
      <c r="F68" s="62"/>
      <c r="G68" s="62"/>
      <c r="J68" s="217"/>
      <c r="K68" s="218"/>
      <c r="L68" s="218"/>
      <c r="M68" s="218"/>
      <c r="N68" s="218"/>
      <c r="O68" s="218"/>
      <c r="P68" s="218"/>
      <c r="Q68" s="209"/>
      <c r="R68" s="209"/>
      <c r="S68" s="215"/>
      <c r="T68" s="216"/>
      <c r="U68" s="216"/>
      <c r="V68" s="216"/>
      <c r="W68" s="216"/>
      <c r="X68" s="216"/>
      <c r="Y68" s="216"/>
      <c r="Z68" s="219"/>
      <c r="AA68" s="215"/>
      <c r="AB68" s="218"/>
      <c r="AC68" s="218"/>
      <c r="AD68" s="218"/>
      <c r="AE68" s="218"/>
      <c r="AF68" s="218"/>
      <c r="AG68" s="220"/>
      <c r="AH68" s="219"/>
      <c r="AI68" s="219"/>
      <c r="AJ68" s="219"/>
      <c r="AK68" s="219"/>
    </row>
    <row r="69" spans="1:37" ht="15.75" x14ac:dyDescent="0.3">
      <c r="E69" s="62"/>
      <c r="F69" s="62"/>
      <c r="G69" s="62"/>
      <c r="J69" s="217"/>
      <c r="K69" s="218"/>
      <c r="L69" s="218"/>
      <c r="M69" s="218"/>
      <c r="N69" s="218"/>
      <c r="O69" s="218"/>
      <c r="P69" s="218"/>
      <c r="Q69" s="209"/>
      <c r="R69" s="209"/>
      <c r="S69" s="215"/>
      <c r="T69" s="216"/>
      <c r="U69" s="216"/>
      <c r="V69" s="216"/>
      <c r="W69" s="216"/>
      <c r="X69" s="216"/>
      <c r="Y69" s="216"/>
      <c r="Z69" s="219"/>
      <c r="AA69" s="215"/>
      <c r="AB69" s="218"/>
      <c r="AC69" s="218"/>
      <c r="AD69" s="218"/>
      <c r="AE69" s="218"/>
      <c r="AF69" s="218"/>
      <c r="AG69" s="220"/>
      <c r="AH69" s="219"/>
      <c r="AI69" s="219"/>
      <c r="AJ69" s="219"/>
      <c r="AK69" s="219"/>
    </row>
    <row r="70" spans="1:37" ht="15.75" x14ac:dyDescent="0.3">
      <c r="A70" s="46">
        <v>2</v>
      </c>
      <c r="B70" s="54" t="s">
        <v>929</v>
      </c>
      <c r="E70" s="244"/>
      <c r="J70" s="217"/>
      <c r="K70" s="218"/>
      <c r="L70" s="218"/>
      <c r="M70" s="218"/>
      <c r="N70" s="218"/>
      <c r="O70" s="218"/>
      <c r="P70" s="218"/>
      <c r="Q70" s="209"/>
      <c r="R70" s="209"/>
      <c r="S70" s="215"/>
      <c r="T70" s="216"/>
      <c r="U70" s="216"/>
      <c r="V70" s="216"/>
      <c r="W70" s="216"/>
      <c r="X70" s="216"/>
      <c r="Y70" s="216"/>
      <c r="Z70" s="219"/>
      <c r="AA70" s="215"/>
      <c r="AB70" s="218"/>
      <c r="AC70" s="218"/>
      <c r="AD70" s="218"/>
      <c r="AE70" s="218"/>
      <c r="AF70" s="218"/>
      <c r="AG70" s="220"/>
      <c r="AH70" s="219"/>
      <c r="AI70" s="219"/>
      <c r="AJ70" s="219"/>
      <c r="AK70" s="219"/>
    </row>
    <row r="71" spans="1:37" ht="15.75" x14ac:dyDescent="0.3">
      <c r="B71" s="46" t="s">
        <v>431</v>
      </c>
      <c r="E71" s="244"/>
      <c r="J71" s="217"/>
      <c r="K71" s="218"/>
      <c r="L71" s="218"/>
      <c r="M71" s="218"/>
      <c r="N71" s="218"/>
      <c r="O71" s="218"/>
      <c r="P71" s="218"/>
      <c r="Q71" s="209"/>
      <c r="R71" s="209"/>
      <c r="S71" s="215"/>
      <c r="T71" s="216"/>
      <c r="U71" s="216"/>
      <c r="V71" s="216"/>
      <c r="W71" s="216"/>
      <c r="X71" s="216"/>
      <c r="Y71" s="216"/>
      <c r="Z71" s="219"/>
      <c r="AA71" s="215"/>
      <c r="AB71" s="218"/>
      <c r="AC71" s="218"/>
      <c r="AD71" s="218"/>
      <c r="AE71" s="218"/>
      <c r="AF71" s="218"/>
      <c r="AG71" s="220"/>
      <c r="AH71" s="219"/>
      <c r="AI71" s="219"/>
      <c r="AJ71" s="219"/>
      <c r="AK71" s="219"/>
    </row>
    <row r="72" spans="1:37" ht="15.75" x14ac:dyDescent="0.3">
      <c r="B72" s="46">
        <v>70.653999999999996</v>
      </c>
      <c r="C72" s="46" t="s">
        <v>25</v>
      </c>
      <c r="D72" s="46" t="s">
        <v>406</v>
      </c>
      <c r="E72" s="244"/>
      <c r="F72" s="2"/>
      <c r="G72" s="2"/>
      <c r="H72" s="2"/>
      <c r="I72" s="2"/>
      <c r="L72" s="218"/>
      <c r="M72" s="218"/>
      <c r="N72" s="218"/>
      <c r="O72" s="218"/>
      <c r="P72" s="218"/>
      <c r="Q72" s="209"/>
      <c r="R72" s="209"/>
      <c r="S72" s="215"/>
      <c r="T72" s="216"/>
      <c r="U72" s="216"/>
      <c r="V72" s="216"/>
      <c r="W72" s="216"/>
      <c r="X72" s="216"/>
      <c r="Y72" s="216"/>
      <c r="Z72" s="219"/>
      <c r="AA72" s="215"/>
      <c r="AB72" s="218"/>
      <c r="AC72" s="218"/>
      <c r="AD72" s="218"/>
      <c r="AE72" s="218"/>
      <c r="AF72" s="218"/>
      <c r="AG72" s="220"/>
      <c r="AH72" s="219"/>
      <c r="AI72" s="219"/>
      <c r="AJ72" s="219"/>
      <c r="AK72" s="219"/>
    </row>
    <row r="73" spans="1:37" ht="15.75" x14ac:dyDescent="0.3">
      <c r="B73" s="46">
        <v>6.2850000000000001</v>
      </c>
      <c r="C73" s="46" t="s">
        <v>25</v>
      </c>
      <c r="D73" s="46" t="s">
        <v>407</v>
      </c>
      <c r="E73" s="244"/>
      <c r="F73" s="710"/>
      <c r="G73" s="710"/>
      <c r="H73" s="710"/>
      <c r="I73" s="710"/>
      <c r="J73" s="710"/>
      <c r="K73" s="710"/>
      <c r="L73" s="218"/>
      <c r="M73" s="218"/>
      <c r="N73" s="218"/>
      <c r="O73" s="218"/>
      <c r="P73" s="218"/>
      <c r="Q73" s="209"/>
      <c r="R73" s="209"/>
      <c r="S73" s="215"/>
      <c r="T73" s="216"/>
      <c r="U73" s="216"/>
      <c r="V73" s="216"/>
      <c r="W73" s="216"/>
      <c r="X73" s="216"/>
      <c r="Y73" s="216"/>
      <c r="Z73" s="219"/>
      <c r="AA73" s="215"/>
      <c r="AB73" s="218"/>
      <c r="AC73" s="218"/>
      <c r="AD73" s="218"/>
      <c r="AE73" s="218"/>
      <c r="AF73" s="218"/>
      <c r="AG73" s="220"/>
      <c r="AH73" s="219"/>
      <c r="AI73" s="219"/>
      <c r="AJ73" s="219"/>
      <c r="AK73" s="219"/>
    </row>
    <row r="74" spans="1:37" ht="15.75" x14ac:dyDescent="0.3">
      <c r="B74" s="241">
        <f>4.67*5</f>
        <v>23.35</v>
      </c>
      <c r="C74" s="46" t="s">
        <v>93</v>
      </c>
      <c r="D74" s="46" t="s">
        <v>432</v>
      </c>
      <c r="E74" s="244"/>
      <c r="J74" s="217"/>
      <c r="K74" s="218"/>
      <c r="L74" s="218"/>
      <c r="M74" s="218"/>
      <c r="N74" s="218"/>
      <c r="O74" s="218"/>
      <c r="P74" s="218"/>
      <c r="Q74" s="209"/>
      <c r="R74" s="209"/>
      <c r="S74" s="215"/>
      <c r="T74" s="216"/>
      <c r="U74" s="216"/>
      <c r="V74" s="216"/>
      <c r="W74" s="216"/>
      <c r="X74" s="216"/>
      <c r="Y74" s="216"/>
      <c r="Z74" s="219"/>
      <c r="AA74" s="215"/>
      <c r="AB74" s="218"/>
      <c r="AC74" s="218"/>
      <c r="AD74" s="218"/>
      <c r="AE74" s="218"/>
      <c r="AF74" s="218"/>
      <c r="AG74" s="220"/>
      <c r="AH74" s="219"/>
      <c r="AI74" s="219"/>
      <c r="AJ74" s="219"/>
      <c r="AK74" s="219"/>
    </row>
    <row r="75" spans="1:37" ht="15.75" x14ac:dyDescent="0.3">
      <c r="B75" s="46" t="s">
        <v>433</v>
      </c>
      <c r="E75" s="244"/>
      <c r="J75" s="217"/>
      <c r="K75" s="218"/>
      <c r="L75" s="218"/>
      <c r="M75" s="218"/>
      <c r="N75" s="218"/>
      <c r="O75" s="218"/>
      <c r="P75" s="218"/>
      <c r="Q75" s="209"/>
      <c r="R75" s="209"/>
      <c r="S75" s="215"/>
      <c r="T75" s="216"/>
      <c r="U75" s="216"/>
      <c r="V75" s="216"/>
      <c r="W75" s="216"/>
      <c r="X75" s="216"/>
      <c r="Y75" s="216"/>
      <c r="Z75" s="219"/>
      <c r="AA75" s="215"/>
      <c r="AB75" s="218"/>
      <c r="AC75" s="218"/>
      <c r="AD75" s="218"/>
      <c r="AE75" s="218"/>
      <c r="AF75" s="218"/>
      <c r="AG75" s="220"/>
      <c r="AH75" s="219"/>
      <c r="AI75" s="219"/>
      <c r="AJ75" s="219"/>
      <c r="AK75" s="219"/>
    </row>
    <row r="76" spans="1:37" ht="15.75" x14ac:dyDescent="0.3">
      <c r="B76" s="46" t="s">
        <v>434</v>
      </c>
      <c r="E76" s="244"/>
      <c r="J76" s="217"/>
      <c r="K76" s="218"/>
      <c r="L76" s="218"/>
      <c r="M76" s="218"/>
      <c r="N76" s="218"/>
      <c r="O76" s="218"/>
      <c r="P76" s="218"/>
      <c r="Q76" s="209"/>
      <c r="R76" s="209"/>
      <c r="S76" s="215"/>
      <c r="T76" s="216"/>
      <c r="U76" s="216"/>
      <c r="V76" s="216"/>
      <c r="W76" s="216"/>
      <c r="X76" s="216"/>
      <c r="Y76" s="216"/>
      <c r="Z76" s="219"/>
      <c r="AA76" s="215"/>
      <c r="AB76" s="218"/>
      <c r="AC76" s="218"/>
      <c r="AD76" s="218"/>
      <c r="AE76" s="218"/>
      <c r="AF76" s="218"/>
      <c r="AG76" s="220"/>
      <c r="AH76" s="219"/>
      <c r="AI76" s="219"/>
      <c r="AJ76" s="219"/>
      <c r="AK76" s="219"/>
    </row>
    <row r="77" spans="1:37" ht="15.75" x14ac:dyDescent="0.3">
      <c r="E77" s="244"/>
      <c r="J77" s="217"/>
      <c r="K77" s="218"/>
      <c r="L77" s="218"/>
      <c r="M77" s="218"/>
      <c r="N77" s="218"/>
      <c r="O77" s="218"/>
      <c r="P77" s="218"/>
      <c r="Q77" s="209"/>
      <c r="R77" s="209"/>
      <c r="S77" s="215"/>
      <c r="T77" s="216"/>
      <c r="U77" s="216"/>
      <c r="V77" s="216"/>
      <c r="W77" s="216"/>
      <c r="X77" s="216"/>
      <c r="Y77" s="216"/>
      <c r="Z77" s="219"/>
      <c r="AA77" s="215"/>
      <c r="AB77" s="218"/>
      <c r="AC77" s="218"/>
      <c r="AD77" s="218"/>
      <c r="AE77" s="218"/>
      <c r="AF77" s="218"/>
      <c r="AG77" s="220"/>
      <c r="AH77" s="219"/>
      <c r="AI77" s="219"/>
      <c r="AJ77" s="219"/>
      <c r="AK77" s="219"/>
    </row>
    <row r="78" spans="1:37" ht="15.75" x14ac:dyDescent="0.3">
      <c r="A78" s="46">
        <v>3</v>
      </c>
      <c r="B78" s="54" t="s">
        <v>961</v>
      </c>
      <c r="E78" s="46"/>
      <c r="J78" s="217"/>
      <c r="K78" s="218"/>
      <c r="L78" s="218"/>
      <c r="M78" s="218"/>
      <c r="N78" s="218"/>
      <c r="O78" s="218"/>
      <c r="P78" s="218"/>
      <c r="Q78" s="209"/>
      <c r="R78" s="209"/>
      <c r="S78" s="215"/>
      <c r="T78" s="216"/>
      <c r="U78" s="216"/>
      <c r="V78" s="216"/>
      <c r="W78" s="216"/>
      <c r="X78" s="216"/>
      <c r="Y78" s="216"/>
      <c r="Z78" s="219"/>
      <c r="AA78" s="215"/>
      <c r="AB78" s="218"/>
      <c r="AC78" s="218"/>
      <c r="AD78" s="218"/>
      <c r="AE78" s="218"/>
      <c r="AF78" s="218"/>
      <c r="AG78" s="220"/>
      <c r="AH78" s="219"/>
      <c r="AI78" s="219"/>
      <c r="AJ78" s="219"/>
      <c r="AK78" s="219"/>
    </row>
    <row r="79" spans="1:37" ht="15.75" x14ac:dyDescent="0.3">
      <c r="B79" s="46" t="s">
        <v>435</v>
      </c>
      <c r="J79" s="217"/>
      <c r="K79" s="218"/>
      <c r="L79" s="218"/>
      <c r="M79" s="218"/>
      <c r="N79" s="218"/>
      <c r="O79" s="218"/>
      <c r="P79" s="218"/>
      <c r="Q79" s="209"/>
      <c r="R79" s="209"/>
      <c r="S79" s="215"/>
      <c r="T79" s="216"/>
      <c r="U79" s="216"/>
      <c r="V79" s="216"/>
      <c r="W79" s="216"/>
      <c r="X79" s="216"/>
      <c r="Y79" s="216"/>
      <c r="Z79" s="219"/>
      <c r="AC79" s="218"/>
      <c r="AE79" s="218"/>
      <c r="AF79" s="218"/>
      <c r="AG79" s="220"/>
      <c r="AH79" s="219"/>
      <c r="AI79" s="219"/>
      <c r="AJ79" s="219"/>
      <c r="AK79" s="219"/>
    </row>
    <row r="80" spans="1:37" ht="15.75" x14ac:dyDescent="0.3">
      <c r="B80" s="482" t="s">
        <v>424</v>
      </c>
      <c r="C80" s="482" t="s">
        <v>421</v>
      </c>
      <c r="D80" s="482" t="s">
        <v>436</v>
      </c>
      <c r="E80" s="482" t="s">
        <v>20</v>
      </c>
      <c r="J80" s="217"/>
      <c r="K80" s="218"/>
      <c r="L80" s="218"/>
      <c r="M80" s="218"/>
      <c r="N80" s="218"/>
      <c r="O80" s="218"/>
      <c r="P80" s="218"/>
      <c r="Q80" s="209"/>
      <c r="R80" s="209"/>
      <c r="S80" s="215"/>
      <c r="T80" s="216"/>
      <c r="U80" s="216"/>
      <c r="V80" s="216"/>
      <c r="W80" s="216"/>
      <c r="X80" s="216"/>
      <c r="Y80" s="216"/>
      <c r="Z80" s="219"/>
      <c r="AC80" s="218"/>
      <c r="AE80" s="218"/>
      <c r="AF80" s="218"/>
      <c r="AG80" s="220"/>
      <c r="AH80" s="219"/>
      <c r="AI80" s="219"/>
      <c r="AJ80" s="219"/>
      <c r="AK80" s="219"/>
    </row>
    <row r="81" spans="1:37" ht="63" customHeight="1" x14ac:dyDescent="0.3">
      <c r="B81" s="173" t="s">
        <v>437</v>
      </c>
      <c r="C81" s="171">
        <v>5.7409999999999997</v>
      </c>
      <c r="D81" s="171">
        <f>C81*0.5</f>
        <v>2.8704999999999998</v>
      </c>
      <c r="E81" s="566"/>
      <c r="F81" s="48"/>
      <c r="J81" s="217"/>
      <c r="K81" s="218"/>
      <c r="L81" s="218"/>
      <c r="M81" s="218"/>
      <c r="N81" s="218"/>
      <c r="O81" s="218"/>
      <c r="P81" s="218"/>
      <c r="Q81" s="209"/>
      <c r="R81" s="209"/>
      <c r="S81" s="215"/>
      <c r="T81" s="216"/>
      <c r="U81" s="216"/>
      <c r="V81" s="216"/>
      <c r="W81" s="216"/>
      <c r="X81" s="216"/>
      <c r="Y81" s="216"/>
      <c r="Z81" s="219"/>
      <c r="AC81" s="218"/>
      <c r="AD81" s="218"/>
      <c r="AE81" s="218"/>
      <c r="AF81" s="218"/>
      <c r="AG81" s="220"/>
      <c r="AH81" s="219"/>
      <c r="AI81" s="219"/>
      <c r="AJ81" s="219"/>
      <c r="AK81" s="219"/>
    </row>
    <row r="82" spans="1:37" ht="15.75" x14ac:dyDescent="0.3">
      <c r="B82" s="46" t="s">
        <v>793</v>
      </c>
      <c r="J82" s="217"/>
      <c r="K82" s="218"/>
      <c r="L82" s="218"/>
      <c r="M82" s="218"/>
      <c r="N82" s="218"/>
      <c r="O82" s="218"/>
      <c r="P82" s="218"/>
      <c r="Q82" s="209"/>
      <c r="R82" s="209"/>
      <c r="S82" s="215"/>
      <c r="T82" s="216"/>
      <c r="U82" s="216"/>
      <c r="V82" s="216"/>
      <c r="W82" s="216"/>
      <c r="X82" s="216"/>
      <c r="Y82" s="216"/>
      <c r="Z82" s="219"/>
      <c r="AC82" s="218"/>
      <c r="AD82" s="218"/>
      <c r="AE82" s="218"/>
      <c r="AF82" s="218"/>
      <c r="AG82" s="220"/>
      <c r="AH82" s="219"/>
      <c r="AI82" s="219"/>
      <c r="AJ82" s="219"/>
      <c r="AK82" s="219"/>
    </row>
    <row r="83" spans="1:37" ht="15.75" x14ac:dyDescent="0.3">
      <c r="J83" s="217"/>
      <c r="K83" s="218"/>
      <c r="L83" s="218"/>
      <c r="M83" s="218"/>
      <c r="N83" s="218"/>
      <c r="O83" s="218"/>
      <c r="P83" s="218"/>
      <c r="Q83" s="209"/>
      <c r="R83" s="209"/>
      <c r="S83" s="215"/>
      <c r="T83" s="216"/>
      <c r="U83" s="216"/>
      <c r="V83" s="216"/>
      <c r="W83" s="216"/>
      <c r="X83" s="216"/>
      <c r="Y83" s="216"/>
      <c r="Z83" s="219"/>
      <c r="AC83" s="218"/>
      <c r="AD83" s="218"/>
      <c r="AE83" s="218"/>
      <c r="AF83" s="218"/>
      <c r="AG83" s="220"/>
      <c r="AH83" s="219"/>
      <c r="AI83" s="219"/>
      <c r="AJ83" s="219"/>
      <c r="AK83" s="219"/>
    </row>
    <row r="84" spans="1:37" ht="15.75" x14ac:dyDescent="0.3">
      <c r="A84" s="46">
        <v>4</v>
      </c>
      <c r="B84" s="54" t="s">
        <v>962</v>
      </c>
      <c r="J84" s="217"/>
      <c r="K84" s="218"/>
      <c r="L84" s="218"/>
      <c r="M84" s="218"/>
      <c r="N84" s="218"/>
      <c r="O84" s="218"/>
      <c r="P84" s="218"/>
      <c r="Q84" s="209"/>
      <c r="R84" s="209"/>
      <c r="S84" s="215"/>
      <c r="T84" s="216"/>
      <c r="U84" s="216"/>
      <c r="V84" s="216"/>
      <c r="W84" s="216"/>
      <c r="X84" s="216"/>
      <c r="Y84" s="216"/>
      <c r="Z84" s="219"/>
      <c r="AC84" s="218"/>
      <c r="AD84" s="218"/>
      <c r="AE84" s="218"/>
      <c r="AF84" s="218"/>
      <c r="AG84" s="220"/>
      <c r="AH84" s="219"/>
      <c r="AI84" s="219"/>
      <c r="AJ84" s="219"/>
      <c r="AK84" s="219"/>
    </row>
    <row r="85" spans="1:37" ht="15.75" x14ac:dyDescent="0.3">
      <c r="B85" s="54"/>
      <c r="J85" s="217"/>
      <c r="K85" s="218"/>
      <c r="L85" s="218"/>
      <c r="M85" s="218"/>
      <c r="N85" s="218"/>
      <c r="O85" s="218"/>
      <c r="P85" s="218"/>
      <c r="Q85" s="209"/>
      <c r="R85" s="209"/>
      <c r="S85" s="215"/>
      <c r="T85" s="216"/>
      <c r="U85" s="216"/>
      <c r="V85" s="216"/>
      <c r="W85" s="216"/>
      <c r="X85" s="216"/>
      <c r="Y85" s="216"/>
      <c r="Z85" s="219"/>
      <c r="AC85" s="218"/>
      <c r="AD85" s="218"/>
      <c r="AE85" s="218"/>
      <c r="AF85" s="218"/>
      <c r="AG85" s="220"/>
      <c r="AH85" s="219"/>
      <c r="AI85" s="219"/>
      <c r="AJ85" s="219"/>
      <c r="AK85" s="219"/>
    </row>
    <row r="86" spans="1:37" ht="15.75" x14ac:dyDescent="0.3">
      <c r="B86" s="54"/>
      <c r="J86" s="217"/>
      <c r="K86" s="218"/>
      <c r="L86" s="218"/>
      <c r="M86" s="218"/>
      <c r="N86" s="218"/>
      <c r="O86" s="218"/>
      <c r="P86" s="218"/>
      <c r="Q86" s="209"/>
      <c r="R86" s="209"/>
      <c r="S86" s="215"/>
      <c r="T86" s="216"/>
      <c r="U86" s="216"/>
      <c r="V86" s="216"/>
      <c r="W86" s="216"/>
      <c r="X86" s="216"/>
      <c r="Y86" s="216"/>
      <c r="Z86" s="219"/>
      <c r="AC86" s="218"/>
      <c r="AD86" s="218"/>
      <c r="AE86" s="218"/>
      <c r="AF86" s="218"/>
      <c r="AG86" s="220"/>
      <c r="AH86" s="219"/>
      <c r="AI86" s="219"/>
      <c r="AJ86" s="219"/>
      <c r="AK86" s="219"/>
    </row>
    <row r="87" spans="1:37" ht="15.75" x14ac:dyDescent="0.3">
      <c r="B87" s="54"/>
      <c r="J87" s="217"/>
      <c r="K87" s="218"/>
      <c r="L87" s="218"/>
      <c r="M87" s="218"/>
      <c r="N87" s="218"/>
      <c r="O87" s="218"/>
      <c r="P87" s="218"/>
      <c r="Q87" s="209"/>
      <c r="R87" s="209"/>
      <c r="S87" s="215"/>
      <c r="T87" s="216"/>
      <c r="U87" s="216"/>
      <c r="V87" s="216"/>
      <c r="W87" s="216"/>
      <c r="X87" s="216"/>
      <c r="Y87" s="216"/>
      <c r="Z87" s="219"/>
      <c r="AC87" s="218"/>
      <c r="AD87" s="218"/>
      <c r="AE87" s="218"/>
      <c r="AF87" s="218"/>
      <c r="AG87" s="220"/>
      <c r="AH87" s="219"/>
      <c r="AI87" s="219"/>
      <c r="AJ87" s="219"/>
      <c r="AK87" s="219"/>
    </row>
    <row r="88" spans="1:37" ht="15.75" x14ac:dyDescent="0.3">
      <c r="B88" s="54"/>
      <c r="J88" s="217"/>
      <c r="K88" s="218"/>
      <c r="L88" s="218"/>
      <c r="M88" s="218"/>
      <c r="N88" s="218"/>
      <c r="O88" s="218"/>
      <c r="P88" s="218"/>
      <c r="Q88" s="209"/>
      <c r="R88" s="209"/>
      <c r="S88" s="215"/>
      <c r="T88" s="216"/>
      <c r="U88" s="216"/>
      <c r="V88" s="216"/>
      <c r="W88" s="216"/>
      <c r="X88" s="216"/>
      <c r="Y88" s="216"/>
      <c r="Z88" s="219"/>
      <c r="AC88" s="218"/>
      <c r="AD88" s="218"/>
      <c r="AE88" s="218"/>
      <c r="AF88" s="218"/>
      <c r="AG88" s="220"/>
      <c r="AH88" s="219"/>
      <c r="AI88" s="219"/>
      <c r="AJ88" s="219"/>
      <c r="AK88" s="219"/>
    </row>
    <row r="89" spans="1:37" ht="15.75" x14ac:dyDescent="0.3">
      <c r="B89" s="54"/>
      <c r="J89" s="217"/>
      <c r="K89" s="218"/>
      <c r="L89" s="218"/>
      <c r="M89" s="218"/>
      <c r="N89" s="218"/>
      <c r="O89" s="218"/>
      <c r="P89" s="218"/>
      <c r="Q89" s="209"/>
      <c r="R89" s="209"/>
      <c r="S89" s="215"/>
      <c r="T89" s="216"/>
      <c r="U89" s="216"/>
      <c r="V89" s="216"/>
      <c r="W89" s="216"/>
      <c r="X89" s="216"/>
      <c r="Y89" s="216"/>
      <c r="Z89" s="219"/>
      <c r="AC89" s="218"/>
      <c r="AD89" s="218"/>
      <c r="AE89" s="218"/>
      <c r="AF89" s="218"/>
      <c r="AG89" s="220"/>
      <c r="AH89" s="219"/>
      <c r="AI89" s="219"/>
      <c r="AJ89" s="219"/>
      <c r="AK89" s="219"/>
    </row>
    <row r="90" spans="1:37" ht="15.75" x14ac:dyDescent="0.3">
      <c r="B90" s="54"/>
      <c r="J90" s="217"/>
      <c r="K90" s="218"/>
      <c r="L90" s="218"/>
      <c r="M90" s="218"/>
      <c r="N90" s="218"/>
      <c r="O90" s="218"/>
      <c r="P90" s="218"/>
      <c r="Q90" s="209"/>
      <c r="R90" s="209"/>
      <c r="S90" s="215"/>
      <c r="T90" s="216"/>
      <c r="U90" s="216"/>
      <c r="V90" s="216"/>
      <c r="W90" s="216"/>
      <c r="X90" s="216"/>
      <c r="Y90" s="216"/>
      <c r="Z90" s="219"/>
      <c r="AC90" s="218"/>
      <c r="AD90" s="218"/>
      <c r="AE90" s="218"/>
      <c r="AF90" s="218"/>
      <c r="AG90" s="220"/>
      <c r="AH90" s="219"/>
      <c r="AI90" s="219"/>
      <c r="AJ90" s="219"/>
      <c r="AK90" s="219"/>
    </row>
    <row r="91" spans="1:37" ht="15.75" x14ac:dyDescent="0.3">
      <c r="B91" s="54"/>
      <c r="J91" s="217"/>
      <c r="K91" s="218"/>
      <c r="L91" s="218"/>
      <c r="M91" s="218"/>
      <c r="N91" s="218"/>
      <c r="O91" s="218"/>
      <c r="P91" s="218"/>
      <c r="Q91" s="209"/>
      <c r="R91" s="209"/>
      <c r="S91" s="215"/>
      <c r="T91" s="216"/>
      <c r="U91" s="216"/>
      <c r="V91" s="216"/>
      <c r="W91" s="216"/>
      <c r="X91" s="216"/>
      <c r="Y91" s="216"/>
      <c r="Z91" s="219"/>
      <c r="AC91" s="218"/>
      <c r="AD91" s="218"/>
      <c r="AE91" s="218"/>
      <c r="AF91" s="218"/>
      <c r="AG91" s="220"/>
      <c r="AH91" s="219"/>
      <c r="AI91" s="219"/>
      <c r="AJ91" s="219"/>
      <c r="AK91" s="219"/>
    </row>
    <row r="92" spans="1:37" ht="15.75" x14ac:dyDescent="0.3">
      <c r="B92" s="54"/>
      <c r="J92" s="217"/>
      <c r="K92" s="218"/>
      <c r="L92" s="218"/>
      <c r="M92" s="218"/>
      <c r="N92" s="218"/>
      <c r="O92" s="218"/>
      <c r="P92" s="218"/>
      <c r="Q92" s="209"/>
      <c r="R92" s="209"/>
      <c r="S92" s="215"/>
      <c r="T92" s="216"/>
      <c r="U92" s="216"/>
      <c r="V92" s="216"/>
      <c r="W92" s="216"/>
      <c r="X92" s="216"/>
      <c r="Y92" s="216"/>
      <c r="Z92" s="219"/>
      <c r="AC92" s="218"/>
      <c r="AD92" s="218"/>
      <c r="AE92" s="218"/>
      <c r="AF92" s="218"/>
      <c r="AG92" s="220"/>
      <c r="AH92" s="219"/>
      <c r="AI92" s="219"/>
      <c r="AJ92" s="219"/>
      <c r="AK92" s="219"/>
    </row>
    <row r="93" spans="1:37" ht="15.75" x14ac:dyDescent="0.3">
      <c r="B93" s="54"/>
      <c r="J93" s="217"/>
      <c r="K93" s="218"/>
      <c r="L93" s="218"/>
      <c r="M93" s="218"/>
      <c r="N93" s="218"/>
      <c r="O93" s="218"/>
      <c r="P93" s="218"/>
      <c r="Q93" s="209"/>
      <c r="R93" s="209"/>
      <c r="S93" s="215"/>
      <c r="T93" s="216"/>
      <c r="U93" s="216"/>
      <c r="V93" s="216"/>
      <c r="W93" s="216"/>
      <c r="X93" s="216"/>
      <c r="Y93" s="216"/>
      <c r="Z93" s="219"/>
      <c r="AC93" s="218"/>
      <c r="AD93" s="218"/>
      <c r="AE93" s="218"/>
      <c r="AF93" s="218"/>
      <c r="AG93" s="220"/>
      <c r="AH93" s="219"/>
      <c r="AI93" s="219"/>
      <c r="AJ93" s="219"/>
      <c r="AK93" s="219"/>
    </row>
    <row r="94" spans="1:37" ht="15.75" x14ac:dyDescent="0.3">
      <c r="B94" s="54"/>
      <c r="J94" s="217"/>
      <c r="K94" s="218"/>
      <c r="L94" s="218"/>
      <c r="M94" s="218"/>
      <c r="N94" s="218"/>
      <c r="O94" s="218"/>
      <c r="P94" s="218"/>
      <c r="Q94" s="209"/>
      <c r="R94" s="209"/>
      <c r="S94" s="215"/>
      <c r="T94" s="216"/>
      <c r="U94" s="216"/>
      <c r="V94" s="216"/>
      <c r="W94" s="216"/>
      <c r="X94" s="216"/>
      <c r="Y94" s="216"/>
      <c r="Z94" s="219"/>
      <c r="AC94" s="218"/>
      <c r="AD94" s="218"/>
      <c r="AE94" s="218"/>
      <c r="AF94" s="218"/>
      <c r="AG94" s="220"/>
      <c r="AH94" s="219"/>
      <c r="AI94" s="219"/>
      <c r="AJ94" s="219"/>
      <c r="AK94" s="219"/>
    </row>
    <row r="95" spans="1:37" ht="15.75" x14ac:dyDescent="0.3">
      <c r="B95" s="54"/>
      <c r="J95" s="217"/>
      <c r="K95" s="218"/>
      <c r="L95" s="218"/>
      <c r="M95" s="218"/>
      <c r="N95" s="218"/>
      <c r="O95" s="218"/>
      <c r="P95" s="218"/>
      <c r="Q95" s="209"/>
      <c r="R95" s="209"/>
      <c r="S95" s="215"/>
      <c r="T95" s="216"/>
      <c r="U95" s="216"/>
      <c r="V95" s="216"/>
      <c r="W95" s="216"/>
      <c r="X95" s="216"/>
      <c r="Y95" s="216"/>
      <c r="Z95" s="219"/>
      <c r="AC95" s="218"/>
      <c r="AD95" s="218"/>
      <c r="AE95" s="218"/>
      <c r="AF95" s="218"/>
      <c r="AG95" s="220"/>
      <c r="AH95" s="219"/>
      <c r="AI95" s="219"/>
      <c r="AJ95" s="219"/>
      <c r="AK95" s="219"/>
    </row>
    <row r="96" spans="1:37" ht="15.75" x14ac:dyDescent="0.3">
      <c r="B96" s="54"/>
      <c r="J96" s="217"/>
      <c r="K96" s="218"/>
      <c r="L96" s="218"/>
      <c r="M96" s="218"/>
      <c r="N96" s="218"/>
      <c r="O96" s="218"/>
      <c r="P96" s="218"/>
      <c r="Q96" s="209"/>
      <c r="R96" s="209"/>
      <c r="S96" s="215"/>
      <c r="T96" s="216"/>
      <c r="U96" s="216"/>
      <c r="V96" s="216"/>
      <c r="W96" s="216"/>
      <c r="X96" s="216"/>
      <c r="Y96" s="216"/>
      <c r="Z96" s="219"/>
      <c r="AC96" s="218"/>
      <c r="AD96" s="218"/>
      <c r="AE96" s="218"/>
      <c r="AF96" s="218"/>
      <c r="AG96" s="220"/>
      <c r="AH96" s="219"/>
      <c r="AI96" s="219"/>
      <c r="AJ96" s="219"/>
      <c r="AK96" s="219"/>
    </row>
    <row r="97" spans="2:37" ht="15.75" x14ac:dyDescent="0.3">
      <c r="B97" s="54"/>
      <c r="J97" s="217"/>
      <c r="K97" s="218"/>
      <c r="L97" s="218"/>
      <c r="M97" s="218"/>
      <c r="N97" s="218"/>
      <c r="O97" s="218"/>
      <c r="P97" s="218"/>
      <c r="Q97" s="209"/>
      <c r="R97" s="209"/>
      <c r="S97" s="215"/>
      <c r="T97" s="216"/>
      <c r="U97" s="216"/>
      <c r="V97" s="216"/>
      <c r="W97" s="216"/>
      <c r="X97" s="216"/>
      <c r="Y97" s="216"/>
      <c r="Z97" s="219"/>
      <c r="AC97" s="218"/>
      <c r="AD97" s="218"/>
      <c r="AE97" s="218"/>
      <c r="AF97" s="218"/>
      <c r="AG97" s="220"/>
      <c r="AH97" s="219"/>
      <c r="AI97" s="219"/>
      <c r="AJ97" s="219"/>
      <c r="AK97" s="219"/>
    </row>
    <row r="98" spans="2:37" ht="15.75" x14ac:dyDescent="0.3">
      <c r="B98" s="54"/>
      <c r="J98" s="217"/>
      <c r="K98" s="218"/>
      <c r="L98" s="218"/>
      <c r="M98" s="218"/>
      <c r="N98" s="218"/>
      <c r="O98" s="218"/>
      <c r="P98" s="218"/>
      <c r="Q98" s="209"/>
      <c r="R98" s="209"/>
      <c r="S98" s="215"/>
      <c r="T98" s="216"/>
      <c r="U98" s="216"/>
      <c r="V98" s="216"/>
      <c r="W98" s="216"/>
      <c r="X98" s="216"/>
      <c r="Y98" s="216"/>
      <c r="Z98" s="219"/>
      <c r="AC98" s="218"/>
      <c r="AD98" s="218"/>
      <c r="AE98" s="218"/>
      <c r="AF98" s="218"/>
      <c r="AG98" s="220"/>
      <c r="AH98" s="219"/>
      <c r="AI98" s="219"/>
      <c r="AJ98" s="219"/>
      <c r="AK98" s="219"/>
    </row>
    <row r="99" spans="2:37" ht="15.75" x14ac:dyDescent="0.3">
      <c r="B99" s="54"/>
      <c r="J99" s="217"/>
      <c r="K99" s="218"/>
      <c r="L99" s="218"/>
      <c r="M99" s="218"/>
      <c r="N99" s="218"/>
      <c r="O99" s="218"/>
      <c r="P99" s="218"/>
      <c r="Q99" s="209"/>
      <c r="R99" s="209"/>
      <c r="S99" s="215"/>
      <c r="T99" s="216"/>
      <c r="U99" s="216"/>
      <c r="V99" s="216"/>
      <c r="W99" s="216"/>
      <c r="X99" s="216"/>
      <c r="Y99" s="216"/>
      <c r="Z99" s="219"/>
      <c r="AC99" s="218"/>
      <c r="AD99" s="218"/>
      <c r="AE99" s="218"/>
      <c r="AF99" s="218"/>
      <c r="AG99" s="220"/>
      <c r="AH99" s="219"/>
      <c r="AI99" s="219"/>
      <c r="AJ99" s="219"/>
      <c r="AK99" s="219"/>
    </row>
    <row r="100" spans="2:37" ht="15.75" x14ac:dyDescent="0.3">
      <c r="B100" s="54"/>
      <c r="J100" s="217"/>
      <c r="K100" s="218"/>
      <c r="L100" s="218"/>
      <c r="M100" s="218"/>
      <c r="N100" s="218"/>
      <c r="O100" s="218"/>
      <c r="P100" s="218"/>
      <c r="Q100" s="209"/>
      <c r="R100" s="209"/>
      <c r="S100" s="215"/>
      <c r="T100" s="216"/>
      <c r="U100" s="216"/>
      <c r="V100" s="216"/>
      <c r="W100" s="216"/>
      <c r="X100" s="216"/>
      <c r="Y100" s="216"/>
      <c r="Z100" s="219"/>
      <c r="AC100" s="218"/>
      <c r="AD100" s="218"/>
      <c r="AE100" s="218"/>
      <c r="AF100" s="218"/>
      <c r="AG100" s="220"/>
      <c r="AH100" s="219"/>
      <c r="AI100" s="219"/>
      <c r="AJ100" s="219"/>
      <c r="AK100" s="219"/>
    </row>
    <row r="101" spans="2:37" ht="15.75" x14ac:dyDescent="0.3">
      <c r="B101" s="54"/>
      <c r="J101" s="217"/>
      <c r="K101" s="218"/>
      <c r="L101" s="218"/>
      <c r="M101" s="218"/>
      <c r="N101" s="218"/>
      <c r="O101" s="218"/>
      <c r="P101" s="218"/>
      <c r="Q101" s="209"/>
      <c r="R101" s="209"/>
      <c r="S101" s="215"/>
      <c r="T101" s="216"/>
      <c r="U101" s="216"/>
      <c r="V101" s="216"/>
      <c r="W101" s="216"/>
      <c r="X101" s="216"/>
      <c r="Y101" s="216"/>
      <c r="Z101" s="219"/>
      <c r="AC101" s="218"/>
      <c r="AD101" s="218"/>
      <c r="AE101" s="218"/>
      <c r="AF101" s="218"/>
      <c r="AG101" s="220"/>
      <c r="AH101" s="219"/>
      <c r="AI101" s="219"/>
      <c r="AJ101" s="219"/>
      <c r="AK101" s="219"/>
    </row>
    <row r="102" spans="2:37" ht="15.75" x14ac:dyDescent="0.3">
      <c r="B102" s="447" t="s">
        <v>752</v>
      </c>
      <c r="C102" s="444"/>
      <c r="J102" s="217"/>
      <c r="K102" s="218"/>
      <c r="L102" s="218"/>
      <c r="M102" s="218"/>
      <c r="N102" s="218"/>
      <c r="O102" s="218"/>
      <c r="P102" s="218"/>
      <c r="Q102" s="209"/>
      <c r="R102" s="209"/>
      <c r="S102" s="215"/>
      <c r="T102" s="216"/>
      <c r="U102" s="216"/>
      <c r="V102" s="216"/>
      <c r="W102" s="216"/>
      <c r="X102" s="216"/>
      <c r="Y102" s="216"/>
      <c r="Z102" s="219"/>
      <c r="AC102" s="218"/>
      <c r="AD102" s="218"/>
      <c r="AE102" s="218"/>
      <c r="AF102" s="218"/>
      <c r="AG102" s="220"/>
      <c r="AH102" s="219"/>
      <c r="AI102" s="219"/>
      <c r="AJ102" s="219"/>
      <c r="AK102" s="219"/>
    </row>
    <row r="103" spans="2:37" ht="15.75" x14ac:dyDescent="0.3">
      <c r="B103" s="445" t="s">
        <v>812</v>
      </c>
      <c r="C103" s="445" t="s">
        <v>756</v>
      </c>
      <c r="J103" s="217"/>
      <c r="K103" s="218"/>
      <c r="L103" s="218"/>
      <c r="M103" s="218"/>
      <c r="N103" s="218"/>
      <c r="O103" s="218"/>
      <c r="P103" s="218"/>
      <c r="Q103" s="209"/>
      <c r="R103" s="209"/>
      <c r="S103" s="215"/>
      <c r="T103" s="216"/>
      <c r="U103" s="216"/>
      <c r="V103" s="216"/>
      <c r="W103" s="216"/>
      <c r="X103" s="216"/>
      <c r="Y103" s="216"/>
      <c r="Z103" s="219"/>
      <c r="AC103" s="218"/>
      <c r="AD103" s="218"/>
      <c r="AE103" s="218"/>
      <c r="AF103" s="218"/>
      <c r="AG103" s="220"/>
      <c r="AH103" s="219"/>
      <c r="AI103" s="219"/>
      <c r="AJ103" s="219"/>
      <c r="AK103" s="219"/>
    </row>
    <row r="104" spans="2:37" ht="15.75" x14ac:dyDescent="0.3">
      <c r="B104" s="445" t="s">
        <v>753</v>
      </c>
      <c r="C104" s="446">
        <v>0.1</v>
      </c>
      <c r="J104" s="217"/>
      <c r="K104" s="218"/>
      <c r="L104" s="218"/>
      <c r="M104" s="218"/>
      <c r="N104" s="218"/>
      <c r="O104" s="218"/>
      <c r="P104" s="218"/>
      <c r="Q104" s="209"/>
      <c r="R104" s="209"/>
      <c r="S104" s="215"/>
      <c r="T104" s="216"/>
      <c r="U104" s="216"/>
      <c r="V104" s="216"/>
      <c r="W104" s="216"/>
      <c r="X104" s="216"/>
      <c r="Y104" s="216"/>
      <c r="Z104" s="219"/>
      <c r="AC104" s="218"/>
      <c r="AD104" s="218"/>
      <c r="AE104" s="218"/>
      <c r="AF104" s="218"/>
      <c r="AG104" s="220"/>
      <c r="AH104" s="219"/>
      <c r="AI104" s="219"/>
      <c r="AJ104" s="219"/>
      <c r="AK104" s="219"/>
    </row>
    <row r="105" spans="2:37" ht="15.75" x14ac:dyDescent="0.3">
      <c r="B105" s="445" t="s">
        <v>754</v>
      </c>
      <c r="C105" s="446">
        <v>0.2</v>
      </c>
      <c r="J105" s="217"/>
      <c r="K105" s="218"/>
      <c r="L105" s="218"/>
      <c r="M105" s="218"/>
      <c r="N105" s="218"/>
      <c r="O105" s="218"/>
      <c r="P105" s="218"/>
      <c r="Q105" s="209"/>
      <c r="R105" s="209"/>
      <c r="S105" s="215"/>
      <c r="T105" s="216"/>
      <c r="U105" s="216"/>
      <c r="V105" s="216"/>
      <c r="W105" s="216"/>
      <c r="X105" s="216"/>
      <c r="Y105" s="216"/>
      <c r="Z105" s="219"/>
      <c r="AC105" s="218"/>
      <c r="AD105" s="218"/>
      <c r="AE105" s="218"/>
      <c r="AF105" s="218"/>
      <c r="AG105" s="220"/>
      <c r="AH105" s="219"/>
      <c r="AI105" s="219"/>
      <c r="AJ105" s="219"/>
      <c r="AK105" s="219"/>
    </row>
    <row r="106" spans="2:37" ht="15.75" x14ac:dyDescent="0.3">
      <c r="B106" s="445" t="s">
        <v>755</v>
      </c>
      <c r="C106" s="446">
        <v>0.3</v>
      </c>
      <c r="J106" s="217"/>
      <c r="K106" s="218"/>
      <c r="L106" s="218"/>
      <c r="M106" s="218"/>
      <c r="N106" s="218"/>
      <c r="O106" s="218"/>
      <c r="P106" s="218"/>
      <c r="Q106" s="209"/>
      <c r="R106" s="209"/>
      <c r="S106" s="215"/>
      <c r="T106" s="216"/>
      <c r="U106" s="216"/>
      <c r="V106" s="216"/>
      <c r="W106" s="216"/>
      <c r="X106" s="216"/>
      <c r="Y106" s="216"/>
      <c r="Z106" s="219"/>
      <c r="AC106" s="218"/>
      <c r="AD106" s="218"/>
      <c r="AE106" s="218"/>
      <c r="AF106" s="218"/>
      <c r="AG106" s="220"/>
      <c r="AH106" s="219"/>
      <c r="AI106" s="219"/>
      <c r="AJ106" s="219"/>
      <c r="AK106" s="219"/>
    </row>
    <row r="107" spans="2:37" ht="15.75" x14ac:dyDescent="0.3">
      <c r="B107" s="54"/>
      <c r="J107" s="217"/>
      <c r="K107" s="218"/>
      <c r="L107" s="218"/>
      <c r="M107" s="218"/>
      <c r="N107" s="218"/>
      <c r="O107" s="218"/>
      <c r="P107" s="218"/>
      <c r="Q107" s="209"/>
      <c r="R107" s="209"/>
      <c r="S107" s="215"/>
      <c r="T107" s="216"/>
      <c r="U107" s="216"/>
      <c r="V107" s="216"/>
      <c r="W107" s="216"/>
      <c r="X107" s="216"/>
      <c r="Y107" s="216"/>
      <c r="Z107" s="219"/>
      <c r="AC107" s="218"/>
      <c r="AD107" s="218"/>
      <c r="AE107" s="218"/>
      <c r="AF107" s="218"/>
      <c r="AG107" s="220"/>
      <c r="AH107" s="219"/>
      <c r="AI107" s="219"/>
      <c r="AJ107" s="219"/>
      <c r="AK107" s="219"/>
    </row>
    <row r="108" spans="2:37" ht="15.75" x14ac:dyDescent="0.3">
      <c r="B108" s="54"/>
      <c r="J108" s="217"/>
      <c r="K108" s="218"/>
      <c r="L108" s="218"/>
      <c r="M108" s="218"/>
      <c r="N108" s="218"/>
      <c r="O108" s="218"/>
      <c r="P108" s="218"/>
      <c r="Q108" s="209"/>
      <c r="R108" s="209"/>
      <c r="S108" s="215"/>
      <c r="T108" s="216"/>
      <c r="U108" s="216"/>
      <c r="V108" s="216"/>
      <c r="W108" s="216"/>
      <c r="X108" s="216"/>
      <c r="Y108" s="216"/>
      <c r="Z108" s="219"/>
      <c r="AC108" s="218"/>
      <c r="AD108" s="218"/>
      <c r="AE108" s="218"/>
      <c r="AF108" s="218"/>
      <c r="AG108" s="220"/>
      <c r="AH108" s="219"/>
      <c r="AI108" s="219"/>
      <c r="AJ108" s="219"/>
      <c r="AK108" s="219"/>
    </row>
    <row r="109" spans="2:37" ht="15.75" x14ac:dyDescent="0.3">
      <c r="B109" s="54"/>
      <c r="J109" s="217"/>
      <c r="K109" s="218"/>
      <c r="L109" s="218"/>
      <c r="M109" s="218"/>
      <c r="N109" s="218"/>
      <c r="O109" s="218"/>
      <c r="P109" s="218"/>
      <c r="Q109" s="209"/>
      <c r="R109" s="209"/>
      <c r="S109" s="215"/>
      <c r="T109" s="216"/>
      <c r="U109" s="216"/>
      <c r="V109" s="216"/>
      <c r="W109" s="216"/>
      <c r="X109" s="216"/>
      <c r="Y109" s="216"/>
      <c r="Z109" s="219"/>
      <c r="AC109" s="218"/>
      <c r="AD109" s="218"/>
      <c r="AE109" s="218"/>
      <c r="AF109" s="218"/>
      <c r="AG109" s="220"/>
      <c r="AH109" s="219"/>
      <c r="AI109" s="219"/>
      <c r="AJ109" s="219"/>
      <c r="AK109" s="219"/>
    </row>
    <row r="110" spans="2:37" ht="15.75" x14ac:dyDescent="0.3">
      <c r="J110" s="217"/>
      <c r="K110" s="218"/>
      <c r="L110" s="218"/>
      <c r="M110" s="218"/>
      <c r="N110" s="218"/>
      <c r="O110" s="218"/>
      <c r="P110" s="218"/>
      <c r="Q110" s="209"/>
      <c r="R110" s="209"/>
      <c r="S110" s="215"/>
      <c r="T110" s="216"/>
      <c r="U110" s="216"/>
      <c r="V110" s="216"/>
      <c r="W110" s="216"/>
      <c r="X110" s="216"/>
      <c r="Y110" s="216"/>
      <c r="Z110" s="219"/>
      <c r="AC110" s="218"/>
      <c r="AD110" s="218"/>
      <c r="AE110" s="218"/>
      <c r="AF110" s="218"/>
      <c r="AG110" s="220"/>
      <c r="AH110" s="219"/>
      <c r="AI110" s="219"/>
      <c r="AJ110" s="219"/>
      <c r="AK110" s="219"/>
    </row>
    <row r="111" spans="2:37" ht="15.75" x14ac:dyDescent="0.3">
      <c r="J111" s="217"/>
      <c r="K111" s="218"/>
      <c r="L111" s="218"/>
      <c r="M111" s="218"/>
      <c r="N111" s="218"/>
      <c r="O111" s="218"/>
      <c r="P111" s="218"/>
      <c r="Q111" s="209"/>
      <c r="R111" s="209"/>
      <c r="S111" s="215"/>
      <c r="T111" s="216"/>
      <c r="U111" s="216"/>
      <c r="V111" s="216"/>
      <c r="W111" s="216"/>
      <c r="X111" s="216"/>
      <c r="Y111" s="216"/>
      <c r="Z111" s="219"/>
      <c r="AC111" s="218"/>
      <c r="AD111" s="218"/>
      <c r="AE111" s="218"/>
      <c r="AF111" s="218"/>
      <c r="AG111" s="220"/>
      <c r="AH111" s="219"/>
      <c r="AI111" s="219"/>
      <c r="AJ111" s="219"/>
      <c r="AK111" s="219"/>
    </row>
    <row r="112" spans="2:37" ht="15.75" x14ac:dyDescent="0.3">
      <c r="B112" s="447" t="s">
        <v>813</v>
      </c>
      <c r="E112" s="448">
        <v>0.1</v>
      </c>
      <c r="J112" s="217"/>
      <c r="K112" s="218"/>
      <c r="L112" s="218"/>
      <c r="M112" s="218"/>
      <c r="N112" s="218"/>
      <c r="O112" s="218"/>
      <c r="P112" s="218"/>
      <c r="Q112" s="209"/>
      <c r="R112" s="209"/>
      <c r="S112" s="215"/>
      <c r="T112" s="216"/>
      <c r="U112" s="216"/>
      <c r="V112" s="216"/>
      <c r="W112" s="216"/>
      <c r="X112" s="216"/>
      <c r="Y112" s="216"/>
      <c r="Z112" s="219"/>
      <c r="AC112" s="218"/>
      <c r="AD112" s="218"/>
      <c r="AE112" s="218"/>
      <c r="AF112" s="218"/>
      <c r="AG112" s="220"/>
      <c r="AH112" s="219"/>
      <c r="AI112" s="219"/>
      <c r="AJ112" s="219"/>
      <c r="AK112" s="219"/>
    </row>
    <row r="113" spans="2:75" ht="15.75" x14ac:dyDescent="0.3">
      <c r="B113" s="54"/>
      <c r="J113" s="217"/>
      <c r="K113" s="218"/>
      <c r="L113" s="218"/>
      <c r="M113" s="218"/>
      <c r="N113" s="218"/>
      <c r="O113" s="218"/>
      <c r="P113" s="218"/>
      <c r="Q113" s="209"/>
      <c r="R113" s="209"/>
      <c r="S113" s="215"/>
      <c r="T113" s="216"/>
      <c r="U113" s="216"/>
      <c r="V113" s="216"/>
      <c r="W113" s="216"/>
      <c r="X113" s="216"/>
      <c r="Y113" s="216"/>
      <c r="Z113" s="219"/>
      <c r="AC113" s="218"/>
      <c r="AD113" s="218"/>
      <c r="AE113" s="218"/>
      <c r="AF113" s="218"/>
      <c r="AG113" s="220"/>
      <c r="AH113" s="219"/>
      <c r="AI113" s="219"/>
      <c r="AJ113" s="219"/>
      <c r="AK113" s="219"/>
    </row>
    <row r="114" spans="2:75" ht="15.75" x14ac:dyDescent="0.3">
      <c r="B114" s="54"/>
      <c r="J114" s="217"/>
      <c r="K114" s="218"/>
      <c r="L114" s="218"/>
      <c r="M114" s="218"/>
      <c r="N114" s="218"/>
      <c r="O114" s="218"/>
      <c r="P114" s="218"/>
      <c r="Q114" s="209"/>
      <c r="R114" s="209"/>
      <c r="S114" s="215"/>
      <c r="T114" s="216"/>
      <c r="U114" s="216"/>
      <c r="V114" s="216"/>
      <c r="W114" s="216"/>
      <c r="X114" s="216"/>
      <c r="Y114" s="216"/>
      <c r="Z114" s="219"/>
      <c r="AC114" s="218"/>
      <c r="AD114" s="218"/>
      <c r="AE114" s="218"/>
      <c r="AF114" s="218"/>
      <c r="AG114" s="220"/>
      <c r="AH114" s="219"/>
      <c r="AI114" s="219"/>
      <c r="AJ114" s="219"/>
      <c r="AK114" s="219"/>
    </row>
    <row r="115" spans="2:75" ht="15.75" x14ac:dyDescent="0.3">
      <c r="B115" s="54"/>
      <c r="J115" s="217"/>
      <c r="K115" s="218"/>
      <c r="L115" s="218"/>
      <c r="M115" s="218"/>
      <c r="N115" s="218"/>
      <c r="O115" s="218"/>
      <c r="P115" s="218"/>
      <c r="Q115" s="209"/>
      <c r="R115" s="209"/>
      <c r="S115" s="215"/>
      <c r="T115" s="216"/>
      <c r="U115" s="216"/>
      <c r="V115" s="216"/>
      <c r="W115" s="216"/>
      <c r="X115" s="216"/>
      <c r="Y115" s="216"/>
      <c r="Z115" s="219"/>
      <c r="AC115" s="218"/>
      <c r="AD115" s="218"/>
      <c r="AE115" s="218"/>
      <c r="AF115" s="218"/>
      <c r="AG115" s="220"/>
      <c r="AH115" s="219"/>
      <c r="AI115" s="219"/>
      <c r="AJ115" s="219"/>
      <c r="AK115" s="219"/>
    </row>
    <row r="116" spans="2:75" ht="15.75" x14ac:dyDescent="0.3">
      <c r="B116" s="54"/>
      <c r="J116" s="217"/>
      <c r="K116" s="218"/>
      <c r="L116" s="218"/>
      <c r="M116" s="218"/>
      <c r="N116" s="218"/>
      <c r="O116" s="218"/>
      <c r="P116" s="218"/>
      <c r="Q116" s="209"/>
      <c r="R116" s="209"/>
      <c r="S116" s="215"/>
      <c r="T116" s="216"/>
      <c r="U116" s="216"/>
      <c r="V116" s="216"/>
      <c r="W116" s="216"/>
      <c r="X116" s="216"/>
      <c r="Y116" s="216"/>
      <c r="Z116" s="219"/>
      <c r="AC116" s="218"/>
      <c r="AD116" s="218"/>
      <c r="AE116" s="218"/>
      <c r="AF116" s="218"/>
      <c r="AG116" s="220"/>
      <c r="AH116" s="219"/>
      <c r="AI116" s="219"/>
      <c r="AJ116" s="219"/>
      <c r="AK116" s="219"/>
    </row>
    <row r="117" spans="2:75" ht="15.75" x14ac:dyDescent="0.3">
      <c r="B117" s="54"/>
      <c r="J117" s="217"/>
      <c r="K117" s="218"/>
      <c r="L117" s="218"/>
      <c r="M117" s="218"/>
      <c r="N117" s="218"/>
      <c r="O117" s="218"/>
      <c r="P117" s="218"/>
      <c r="Q117" s="209"/>
      <c r="R117" s="209"/>
      <c r="S117" s="215"/>
      <c r="T117" s="216"/>
      <c r="U117" s="216"/>
      <c r="V117" s="216"/>
      <c r="W117" s="216"/>
      <c r="X117" s="216"/>
      <c r="Y117" s="216"/>
      <c r="Z117" s="219"/>
      <c r="AC117" s="218"/>
      <c r="AD117" s="218"/>
      <c r="AE117" s="218"/>
      <c r="AF117" s="218"/>
      <c r="AG117" s="220"/>
      <c r="AH117" s="219"/>
      <c r="AI117" s="219"/>
      <c r="AJ117" s="219"/>
      <c r="AK117" s="219"/>
    </row>
    <row r="118" spans="2:75" ht="15.75" x14ac:dyDescent="0.3">
      <c r="B118" s="447" t="s">
        <v>814</v>
      </c>
      <c r="E118" s="448">
        <f>C34</f>
        <v>0.1</v>
      </c>
      <c r="J118" s="217"/>
      <c r="K118" s="218"/>
      <c r="L118" s="218"/>
      <c r="M118" s="218"/>
      <c r="N118" s="218"/>
      <c r="O118" s="218"/>
      <c r="P118" s="218"/>
      <c r="Q118" s="209"/>
      <c r="R118" s="209"/>
      <c r="S118" s="215"/>
      <c r="T118" s="216"/>
      <c r="U118" s="216"/>
      <c r="V118" s="216"/>
      <c r="W118" s="216"/>
      <c r="X118" s="216"/>
      <c r="Y118" s="216"/>
      <c r="Z118" s="219"/>
      <c r="AC118" s="218"/>
      <c r="AD118" s="218"/>
      <c r="AE118" s="218"/>
      <c r="AF118" s="218"/>
      <c r="AG118" s="220"/>
      <c r="AH118" s="219"/>
      <c r="AI118" s="219"/>
      <c r="AJ118" s="219"/>
      <c r="AK118" s="219"/>
    </row>
    <row r="119" spans="2:75" ht="15.75" x14ac:dyDescent="0.3">
      <c r="B119" s="447"/>
      <c r="E119" s="448"/>
      <c r="J119" s="217"/>
      <c r="K119" s="218"/>
      <c r="L119" s="218"/>
      <c r="M119" s="218"/>
      <c r="N119" s="218"/>
      <c r="O119" s="218"/>
      <c r="P119" s="218"/>
      <c r="Q119" s="209"/>
      <c r="R119" s="209"/>
      <c r="S119" s="215"/>
      <c r="T119" s="216"/>
      <c r="U119" s="216"/>
      <c r="V119" s="216"/>
      <c r="W119" s="216"/>
      <c r="X119" s="216"/>
      <c r="Y119" s="216"/>
      <c r="Z119" s="219"/>
      <c r="AC119" s="218"/>
      <c r="AD119" s="218"/>
      <c r="AE119" s="218"/>
      <c r="AF119" s="218"/>
      <c r="AG119" s="220"/>
      <c r="AH119" s="219"/>
      <c r="AI119" s="219"/>
      <c r="AJ119" s="219"/>
      <c r="AK119" s="219"/>
    </row>
    <row r="120" spans="2:75" ht="16.5" thickBot="1" x14ac:dyDescent="0.35">
      <c r="B120" s="46" t="s">
        <v>825</v>
      </c>
      <c r="J120" s="217"/>
      <c r="K120" s="218"/>
      <c r="L120" s="218"/>
      <c r="M120" s="218"/>
      <c r="N120" s="483" t="s">
        <v>794</v>
      </c>
      <c r="O120" s="218"/>
      <c r="P120" s="209"/>
      <c r="Q120" s="218"/>
      <c r="R120" s="215"/>
      <c r="S120" s="216"/>
      <c r="T120" s="216"/>
      <c r="U120" s="216"/>
      <c r="V120" s="216"/>
      <c r="W120" s="216"/>
      <c r="X120" s="216"/>
      <c r="Y120" s="219"/>
      <c r="AB120" s="218"/>
      <c r="AC120" s="218"/>
      <c r="AD120" s="218"/>
      <c r="AE120" s="218"/>
      <c r="AF120" s="220"/>
      <c r="AG120" s="219"/>
      <c r="AH120" s="219"/>
      <c r="AI120" s="219"/>
      <c r="AJ120" s="219"/>
      <c r="AK120" s="219"/>
      <c r="AP120" s="46"/>
      <c r="AQ120" s="219"/>
      <c r="BH120" s="229"/>
      <c r="BJ120" s="219"/>
      <c r="BQ120" s="230"/>
      <c r="BS120" s="219"/>
      <c r="BW120" s="46"/>
    </row>
    <row r="121" spans="2:75" ht="120.75" thickBot="1" x14ac:dyDescent="0.35">
      <c r="B121" s="674" t="s">
        <v>424</v>
      </c>
      <c r="C121" s="675" t="s">
        <v>802</v>
      </c>
      <c r="D121" s="676" t="s">
        <v>438</v>
      </c>
      <c r="E121" s="675" t="s">
        <v>930</v>
      </c>
      <c r="F121" s="676" t="s">
        <v>421</v>
      </c>
      <c r="G121" s="676" t="s">
        <v>422</v>
      </c>
      <c r="H121" s="675" t="s">
        <v>797</v>
      </c>
      <c r="I121" s="675" t="s">
        <v>815</v>
      </c>
      <c r="J121" s="675" t="s">
        <v>748</v>
      </c>
      <c r="K121" s="675" t="s">
        <v>749</v>
      </c>
      <c r="L121" s="675" t="s">
        <v>439</v>
      </c>
      <c r="M121" s="675" t="s">
        <v>340</v>
      </c>
      <c r="N121" s="675" t="s">
        <v>750</v>
      </c>
      <c r="O121" s="675" t="s">
        <v>533</v>
      </c>
      <c r="P121" s="677" t="s">
        <v>751</v>
      </c>
      <c r="Q121" s="218"/>
      <c r="R121" s="218"/>
      <c r="S121" s="218"/>
      <c r="T121" s="220"/>
      <c r="U121" s="219"/>
      <c r="V121" s="219"/>
      <c r="W121" s="219"/>
      <c r="X121" s="219"/>
      <c r="Y121" s="219"/>
      <c r="Z121" s="219"/>
      <c r="AA121" s="219"/>
      <c r="AB121" s="219"/>
      <c r="AC121" s="219"/>
      <c r="AE121" s="219"/>
      <c r="AF121" s="219"/>
      <c r="AG121" s="219"/>
      <c r="AH121" s="219"/>
      <c r="AI121" s="219"/>
      <c r="AJ121" s="219"/>
      <c r="AK121" s="219"/>
      <c r="AQ121" s="219"/>
      <c r="AV121" s="229"/>
      <c r="AW121" s="229"/>
      <c r="BE121" s="230"/>
      <c r="BF121" s="230"/>
      <c r="BI121" s="219"/>
      <c r="BJ121" s="219"/>
      <c r="BK121" s="46"/>
      <c r="BL121" s="46"/>
      <c r="BM121" s="46"/>
      <c r="BN121" s="46"/>
      <c r="BO121" s="46"/>
      <c r="BP121" s="46"/>
      <c r="BQ121" s="46"/>
      <c r="BR121" s="46"/>
      <c r="BS121" s="46"/>
      <c r="BT121" s="46"/>
      <c r="BU121" s="46"/>
      <c r="BV121" s="46"/>
      <c r="BW121" s="46"/>
    </row>
    <row r="122" spans="2:75" ht="75" x14ac:dyDescent="0.3">
      <c r="B122" s="678" t="s">
        <v>440</v>
      </c>
      <c r="C122" s="668" t="s">
        <v>42</v>
      </c>
      <c r="D122" s="669">
        <v>62</v>
      </c>
      <c r="E122" s="668">
        <v>55.935000000000002</v>
      </c>
      <c r="F122" s="668">
        <v>72.635999999999996</v>
      </c>
      <c r="G122" s="668">
        <v>0.13800000000000001</v>
      </c>
      <c r="H122" s="670">
        <v>54.85</v>
      </c>
      <c r="I122" s="671">
        <f t="shared" ref="I122:I142" si="0">H122/D122</f>
        <v>0.88467741935483868</v>
      </c>
      <c r="J122" s="670" t="s">
        <v>13</v>
      </c>
      <c r="K122" s="670" t="s">
        <v>13</v>
      </c>
      <c r="L122" s="670">
        <f>SUM(F122:G122)*(1-C104)*(1-E112)*(1-$E$118)</f>
        <v>53.052246000000004</v>
      </c>
      <c r="M122" s="672" t="s">
        <v>931</v>
      </c>
      <c r="N122" s="673">
        <v>900</v>
      </c>
      <c r="O122" s="673">
        <v>2</v>
      </c>
      <c r="P122" s="679">
        <v>37</v>
      </c>
      <c r="Q122" s="218"/>
      <c r="R122" s="218"/>
      <c r="S122" s="218"/>
      <c r="T122" s="220"/>
      <c r="U122" s="219"/>
      <c r="V122" s="219"/>
      <c r="W122" s="219"/>
      <c r="X122" s="219"/>
      <c r="Y122" s="219"/>
      <c r="Z122" s="219"/>
      <c r="AA122" s="219"/>
      <c r="AB122" s="219"/>
      <c r="AC122" s="219"/>
      <c r="AE122" s="219"/>
      <c r="AF122" s="219"/>
      <c r="AG122" s="219"/>
      <c r="AH122" s="219"/>
      <c r="AI122" s="219"/>
      <c r="AJ122" s="219"/>
      <c r="AK122" s="219"/>
      <c r="AQ122" s="219"/>
      <c r="AV122" s="229"/>
      <c r="AW122" s="229"/>
      <c r="BE122" s="230"/>
      <c r="BF122" s="230"/>
      <c r="BI122" s="219"/>
      <c r="BJ122" s="219"/>
      <c r="BK122" s="46"/>
      <c r="BL122" s="46"/>
      <c r="BM122" s="46"/>
      <c r="BN122" s="46"/>
      <c r="BO122" s="46"/>
      <c r="BP122" s="46"/>
      <c r="BQ122" s="46"/>
      <c r="BR122" s="46"/>
      <c r="BS122" s="46"/>
      <c r="BT122" s="46"/>
      <c r="BU122" s="46"/>
      <c r="BV122" s="46"/>
      <c r="BW122" s="46"/>
    </row>
    <row r="123" spans="2:75" ht="15.75" x14ac:dyDescent="0.3">
      <c r="B123" s="680" t="s">
        <v>441</v>
      </c>
      <c r="C123" s="353" t="s">
        <v>43</v>
      </c>
      <c r="D123" s="578">
        <v>63</v>
      </c>
      <c r="E123" s="353">
        <v>55.838000000000001</v>
      </c>
      <c r="F123" s="353">
        <v>28.527999999999999</v>
      </c>
      <c r="G123" s="353">
        <v>2.3780000000000001</v>
      </c>
      <c r="H123" s="251">
        <v>60.17</v>
      </c>
      <c r="I123" s="434">
        <f t="shared" si="0"/>
        <v>0.95507936507936508</v>
      </c>
      <c r="J123" s="251" t="s">
        <v>14</v>
      </c>
      <c r="K123" s="251" t="s">
        <v>14</v>
      </c>
      <c r="L123" s="251">
        <f>SUM(F123:G123)*(1-$E$118)</f>
        <v>27.8154</v>
      </c>
      <c r="M123" s="573"/>
      <c r="N123" s="576">
        <v>900</v>
      </c>
      <c r="O123" s="576">
        <v>2</v>
      </c>
      <c r="P123" s="681">
        <v>26</v>
      </c>
      <c r="Q123" s="218"/>
      <c r="R123" s="218"/>
      <c r="S123" s="218"/>
      <c r="T123" s="220"/>
      <c r="U123" s="219"/>
      <c r="V123" s="219"/>
      <c r="W123" s="219"/>
      <c r="X123" s="219"/>
      <c r="Y123" s="219"/>
      <c r="Z123" s="219"/>
      <c r="AA123" s="219"/>
      <c r="AB123" s="219"/>
      <c r="AC123" s="219"/>
      <c r="AE123" s="219"/>
      <c r="AF123" s="219"/>
      <c r="AG123" s="219"/>
      <c r="AH123" s="219"/>
      <c r="AI123" s="219"/>
      <c r="AJ123" s="219"/>
      <c r="AK123" s="219"/>
      <c r="AQ123" s="219"/>
      <c r="AV123" s="229"/>
      <c r="AW123" s="229"/>
      <c r="BE123" s="230"/>
      <c r="BF123" s="230"/>
      <c r="BI123" s="219"/>
      <c r="BJ123" s="219"/>
      <c r="BK123" s="46"/>
      <c r="BL123" s="46"/>
      <c r="BM123" s="46"/>
      <c r="BN123" s="46"/>
      <c r="BO123" s="46"/>
      <c r="BP123" s="46"/>
      <c r="BQ123" s="46"/>
      <c r="BR123" s="46"/>
      <c r="BS123" s="46"/>
      <c r="BT123" s="46"/>
      <c r="BU123" s="46"/>
      <c r="BV123" s="46"/>
      <c r="BW123" s="46"/>
    </row>
    <row r="124" spans="2:75" ht="90" x14ac:dyDescent="0.3">
      <c r="B124" s="680" t="s">
        <v>442</v>
      </c>
      <c r="C124" s="353" t="s">
        <v>43</v>
      </c>
      <c r="D124" s="578">
        <v>67</v>
      </c>
      <c r="E124" s="353">
        <v>49.404000000000003</v>
      </c>
      <c r="F124" s="353">
        <v>54.805999999999997</v>
      </c>
      <c r="G124" s="353">
        <v>1.1419999999999999</v>
      </c>
      <c r="H124" s="251">
        <v>64.37</v>
      </c>
      <c r="I124" s="434">
        <f t="shared" si="0"/>
        <v>0.96074626865671653</v>
      </c>
      <c r="J124" s="251" t="s">
        <v>14</v>
      </c>
      <c r="K124" s="251" t="s">
        <v>13</v>
      </c>
      <c r="L124" s="251">
        <f>SUM(F124:G124)*(1-E112)*(1-$E$118)</f>
        <v>45.317880000000002</v>
      </c>
      <c r="M124" s="573" t="s">
        <v>804</v>
      </c>
      <c r="N124" s="575">
        <v>600</v>
      </c>
      <c r="O124" s="575">
        <v>1</v>
      </c>
      <c r="P124" s="682"/>
      <c r="Q124" s="218"/>
      <c r="R124" s="218"/>
      <c r="S124" s="218"/>
      <c r="T124" s="220"/>
      <c r="U124" s="219"/>
      <c r="V124" s="219"/>
      <c r="W124" s="219"/>
      <c r="X124" s="219"/>
      <c r="Y124" s="219"/>
      <c r="Z124" s="219"/>
      <c r="AA124" s="219"/>
      <c r="AB124" s="219"/>
      <c r="AC124" s="219"/>
      <c r="AE124" s="219"/>
      <c r="AF124" s="219"/>
      <c r="AG124" s="219"/>
      <c r="AH124" s="219"/>
      <c r="AI124" s="219"/>
      <c r="AJ124" s="219"/>
      <c r="AK124" s="219"/>
      <c r="AQ124" s="219"/>
      <c r="AV124" s="229"/>
      <c r="AW124" s="229"/>
      <c r="BE124" s="230"/>
      <c r="BF124" s="230"/>
      <c r="BI124" s="219"/>
      <c r="BJ124" s="219"/>
      <c r="BK124" s="46"/>
      <c r="BL124" s="46"/>
      <c r="BM124" s="46"/>
      <c r="BN124" s="46"/>
      <c r="BO124" s="46"/>
      <c r="BP124" s="46"/>
      <c r="BQ124" s="46"/>
      <c r="BR124" s="46"/>
      <c r="BS124" s="46"/>
      <c r="BT124" s="46"/>
      <c r="BU124" s="46"/>
      <c r="BV124" s="46"/>
      <c r="BW124" s="46"/>
    </row>
    <row r="125" spans="2:75" ht="45" x14ac:dyDescent="0.3">
      <c r="B125" s="680" t="s">
        <v>443</v>
      </c>
      <c r="C125" s="353" t="s">
        <v>43</v>
      </c>
      <c r="D125" s="579">
        <v>40</v>
      </c>
      <c r="E125" s="242">
        <v>55.51</v>
      </c>
      <c r="F125" s="242">
        <v>49.927999999999997</v>
      </c>
      <c r="G125" s="242">
        <v>0.11799999999999999</v>
      </c>
      <c r="H125" s="251">
        <v>31.85</v>
      </c>
      <c r="I125" s="434">
        <f t="shared" si="0"/>
        <v>0.79625000000000001</v>
      </c>
      <c r="J125" s="251" t="s">
        <v>13</v>
      </c>
      <c r="K125" s="251" t="s">
        <v>14</v>
      </c>
      <c r="L125" s="251">
        <f>SUM(F125:G125)*(1-C105)*(1-$E$118)</f>
        <v>36.033120000000004</v>
      </c>
      <c r="M125" s="573" t="s">
        <v>800</v>
      </c>
      <c r="N125" s="576">
        <v>700</v>
      </c>
      <c r="O125" s="576">
        <v>1</v>
      </c>
      <c r="P125" s="681">
        <v>0</v>
      </c>
      <c r="Q125" s="218"/>
      <c r="R125" s="218"/>
      <c r="S125" s="218"/>
      <c r="T125" s="220"/>
      <c r="U125" s="219"/>
      <c r="V125" s="219"/>
      <c r="W125" s="219"/>
      <c r="X125" s="219"/>
      <c r="Y125" s="219"/>
      <c r="Z125" s="219"/>
      <c r="AA125" s="219"/>
      <c r="AB125" s="219"/>
      <c r="AC125" s="219"/>
      <c r="AE125" s="219"/>
      <c r="AF125" s="219"/>
      <c r="AG125" s="219"/>
      <c r="AH125" s="219"/>
      <c r="AI125" s="219"/>
      <c r="AJ125" s="219"/>
      <c r="AK125" s="219"/>
      <c r="AQ125" s="219"/>
      <c r="AV125" s="229"/>
      <c r="AW125" s="229"/>
      <c r="BE125" s="230"/>
      <c r="BF125" s="230"/>
      <c r="BI125" s="219"/>
      <c r="BJ125" s="219"/>
      <c r="BK125" s="46"/>
      <c r="BL125" s="46"/>
      <c r="BM125" s="46"/>
      <c r="BN125" s="46"/>
      <c r="BO125" s="46"/>
      <c r="BP125" s="46"/>
      <c r="BQ125" s="46"/>
      <c r="BR125" s="46"/>
      <c r="BS125" s="46"/>
      <c r="BT125" s="46"/>
      <c r="BU125" s="46"/>
      <c r="BV125" s="46"/>
      <c r="BW125" s="46"/>
    </row>
    <row r="126" spans="2:75" ht="60" x14ac:dyDescent="0.3">
      <c r="B126" s="680" t="s">
        <v>444</v>
      </c>
      <c r="C126" s="353" t="s">
        <v>43</v>
      </c>
      <c r="D126" s="579">
        <v>20</v>
      </c>
      <c r="E126" s="242">
        <v>21.991</v>
      </c>
      <c r="F126" s="242">
        <v>13.565</v>
      </c>
      <c r="G126" s="242">
        <v>9.7000000000000003E-2</v>
      </c>
      <c r="H126" s="251">
        <v>12.08</v>
      </c>
      <c r="I126" s="434">
        <f t="shared" si="0"/>
        <v>0.60399999999999998</v>
      </c>
      <c r="J126" s="251" t="s">
        <v>13</v>
      </c>
      <c r="K126" s="251" t="s">
        <v>14</v>
      </c>
      <c r="L126" s="251">
        <f>SUM(F126:G126)*(1-C105)*(1-$E$118)</f>
        <v>9.8366400000000009</v>
      </c>
      <c r="M126" s="573" t="s">
        <v>803</v>
      </c>
      <c r="N126" s="575">
        <v>459</v>
      </c>
      <c r="O126" s="575">
        <v>1</v>
      </c>
      <c r="P126" s="682">
        <v>6</v>
      </c>
      <c r="Q126" s="218"/>
      <c r="R126" s="218"/>
      <c r="S126" s="218"/>
      <c r="T126" s="220"/>
      <c r="U126" s="219"/>
      <c r="V126" s="219"/>
      <c r="W126" s="219"/>
      <c r="X126" s="219"/>
      <c r="Y126" s="219"/>
      <c r="Z126" s="219"/>
      <c r="AA126" s="219"/>
      <c r="AB126" s="219"/>
      <c r="AC126" s="219"/>
      <c r="AE126" s="219"/>
      <c r="AF126" s="219"/>
      <c r="AG126" s="219"/>
      <c r="AH126" s="219"/>
      <c r="AI126" s="219"/>
      <c r="AJ126" s="219"/>
      <c r="AK126" s="219"/>
      <c r="AQ126" s="219"/>
      <c r="AV126" s="229"/>
      <c r="AW126" s="229"/>
      <c r="BE126" s="230"/>
      <c r="BF126" s="230"/>
      <c r="BI126" s="219"/>
      <c r="BJ126" s="219"/>
      <c r="BK126" s="46"/>
      <c r="BL126" s="46"/>
      <c r="BM126" s="46"/>
      <c r="BN126" s="46"/>
      <c r="BO126" s="46"/>
      <c r="BP126" s="46"/>
      <c r="BQ126" s="46"/>
      <c r="BR126" s="46"/>
      <c r="BS126" s="46"/>
      <c r="BT126" s="46"/>
      <c r="BU126" s="46"/>
      <c r="BV126" s="46"/>
      <c r="BW126" s="46"/>
    </row>
    <row r="127" spans="2:75" ht="15.75" x14ac:dyDescent="0.3">
      <c r="B127" s="680" t="s">
        <v>445</v>
      </c>
      <c r="C127" s="353" t="s">
        <v>42</v>
      </c>
      <c r="D127" s="579">
        <v>20</v>
      </c>
      <c r="E127" s="242">
        <v>34.295999999999999</v>
      </c>
      <c r="F127" s="242">
        <v>23.68</v>
      </c>
      <c r="G127" s="242">
        <v>1.4999999999999999E-2</v>
      </c>
      <c r="H127" s="251">
        <v>19.43</v>
      </c>
      <c r="I127" s="434">
        <f t="shared" si="0"/>
        <v>0.97150000000000003</v>
      </c>
      <c r="J127" s="251" t="s">
        <v>14</v>
      </c>
      <c r="K127" s="251" t="s">
        <v>14</v>
      </c>
      <c r="L127" s="251">
        <f>SUM(F127:G127)*(1-$E$118)</f>
        <v>21.325500000000002</v>
      </c>
      <c r="M127" s="573"/>
      <c r="N127" s="576">
        <v>600</v>
      </c>
      <c r="O127" s="576">
        <v>1</v>
      </c>
      <c r="P127" s="681">
        <v>7</v>
      </c>
      <c r="Q127" s="218"/>
      <c r="R127" s="218"/>
      <c r="S127" s="218"/>
      <c r="T127" s="220"/>
      <c r="U127" s="219"/>
      <c r="V127" s="219"/>
      <c r="W127" s="219"/>
      <c r="X127" s="219"/>
      <c r="Y127" s="219"/>
      <c r="Z127" s="219"/>
      <c r="AA127" s="219"/>
      <c r="AB127" s="219"/>
      <c r="AC127" s="219"/>
      <c r="AE127" s="219"/>
      <c r="AF127" s="219"/>
      <c r="AG127" s="219"/>
      <c r="AH127" s="219"/>
      <c r="AI127" s="219"/>
      <c r="AJ127" s="219"/>
      <c r="AK127" s="219"/>
      <c r="AQ127" s="219"/>
      <c r="AV127" s="229"/>
      <c r="AW127" s="229"/>
      <c r="BE127" s="230"/>
      <c r="BF127" s="230"/>
      <c r="BI127" s="219"/>
      <c r="BJ127" s="219"/>
      <c r="BK127" s="46"/>
      <c r="BL127" s="46"/>
      <c r="BM127" s="46"/>
      <c r="BN127" s="46"/>
      <c r="BO127" s="46"/>
      <c r="BP127" s="46"/>
      <c r="BQ127" s="46"/>
      <c r="BR127" s="46"/>
      <c r="BS127" s="46"/>
      <c r="BT127" s="46"/>
      <c r="BU127" s="46"/>
      <c r="BV127" s="46"/>
      <c r="BW127" s="46"/>
    </row>
    <row r="128" spans="2:75" ht="15.75" x14ac:dyDescent="0.3">
      <c r="B128" s="680" t="s">
        <v>446</v>
      </c>
      <c r="C128" s="353" t="s">
        <v>43</v>
      </c>
      <c r="D128" s="578">
        <v>20</v>
      </c>
      <c r="E128" s="353">
        <v>16.094000000000001</v>
      </c>
      <c r="F128" s="353">
        <v>14.666</v>
      </c>
      <c r="G128" s="353">
        <v>0.47299999999999998</v>
      </c>
      <c r="H128" s="251">
        <v>19.64</v>
      </c>
      <c r="I128" s="434">
        <f t="shared" si="0"/>
        <v>0.98199999999999998</v>
      </c>
      <c r="J128" s="251" t="s">
        <v>14</v>
      </c>
      <c r="K128" s="251" t="s">
        <v>14</v>
      </c>
      <c r="L128" s="251">
        <f>SUM(F128:G128)*(1-$E$118)</f>
        <v>13.625100000000002</v>
      </c>
      <c r="M128" s="573"/>
      <c r="N128" s="575">
        <v>600</v>
      </c>
      <c r="O128" s="575">
        <v>1</v>
      </c>
      <c r="P128" s="682">
        <v>5</v>
      </c>
      <c r="Q128" s="218"/>
      <c r="R128" s="218"/>
      <c r="S128" s="218"/>
      <c r="T128" s="220"/>
      <c r="U128" s="219"/>
      <c r="V128" s="219"/>
      <c r="W128" s="219"/>
      <c r="X128" s="219"/>
      <c r="Y128" s="219"/>
      <c r="Z128" s="219"/>
      <c r="AA128" s="219"/>
      <c r="AB128" s="219"/>
      <c r="AC128" s="219"/>
      <c r="AE128" s="219"/>
      <c r="AF128" s="219"/>
      <c r="AG128" s="219"/>
      <c r="AH128" s="219"/>
      <c r="AI128" s="219"/>
      <c r="AJ128" s="219"/>
      <c r="AK128" s="219"/>
      <c r="AQ128" s="219"/>
      <c r="AV128" s="229"/>
      <c r="AW128" s="229"/>
      <c r="BE128" s="230"/>
      <c r="BF128" s="230"/>
      <c r="BI128" s="219"/>
      <c r="BJ128" s="219"/>
      <c r="BK128" s="46"/>
      <c r="BL128" s="46"/>
      <c r="BM128" s="46"/>
      <c r="BN128" s="46"/>
      <c r="BO128" s="46"/>
      <c r="BP128" s="46"/>
      <c r="BQ128" s="46"/>
      <c r="BR128" s="46"/>
      <c r="BS128" s="46"/>
      <c r="BT128" s="46"/>
      <c r="BU128" s="46"/>
      <c r="BV128" s="46"/>
      <c r="BW128" s="46"/>
    </row>
    <row r="129" spans="2:75" ht="90" x14ac:dyDescent="0.3">
      <c r="B129" s="680" t="s">
        <v>447</v>
      </c>
      <c r="C129" s="353" t="s">
        <v>43</v>
      </c>
      <c r="D129" s="578">
        <v>1</v>
      </c>
      <c r="E129" s="353">
        <v>8.9789999999999992</v>
      </c>
      <c r="F129" s="353">
        <v>2.4860000000000002</v>
      </c>
      <c r="G129" s="353">
        <v>3.1E-2</v>
      </c>
      <c r="H129" s="251">
        <v>1</v>
      </c>
      <c r="I129" s="434">
        <f t="shared" si="0"/>
        <v>1</v>
      </c>
      <c r="J129" s="251" t="s">
        <v>14</v>
      </c>
      <c r="K129" s="251" t="s">
        <v>13</v>
      </c>
      <c r="L129" s="251">
        <f ca="1">1*$D$31</f>
        <v>1.2</v>
      </c>
      <c r="M129" s="573" t="s">
        <v>807</v>
      </c>
      <c r="N129" s="576">
        <v>229</v>
      </c>
      <c r="O129" s="576">
        <v>1</v>
      </c>
      <c r="P129" s="681">
        <v>1</v>
      </c>
      <c r="Q129" s="218"/>
      <c r="R129" s="218"/>
      <c r="S129" s="218"/>
      <c r="T129" s="220"/>
      <c r="U129" s="219"/>
      <c r="V129" s="219"/>
      <c r="W129" s="219"/>
      <c r="X129" s="219"/>
      <c r="Y129" s="219"/>
      <c r="Z129" s="219"/>
      <c r="AA129" s="219"/>
      <c r="AB129" s="219"/>
      <c r="AC129" s="219"/>
      <c r="AE129" s="219"/>
      <c r="AF129" s="219"/>
      <c r="AG129" s="219"/>
      <c r="AH129" s="219"/>
      <c r="AI129" s="219"/>
      <c r="AJ129" s="219"/>
      <c r="AK129" s="219"/>
      <c r="AQ129" s="219"/>
      <c r="AV129" s="229"/>
      <c r="AW129" s="229"/>
      <c r="BE129" s="230"/>
      <c r="BF129" s="230"/>
      <c r="BI129" s="219"/>
      <c r="BJ129" s="219"/>
      <c r="BK129" s="46"/>
      <c r="BL129" s="46"/>
      <c r="BM129" s="46"/>
      <c r="BN129" s="46"/>
      <c r="BO129" s="46"/>
      <c r="BP129" s="46"/>
      <c r="BQ129" s="46"/>
      <c r="BR129" s="46"/>
      <c r="BS129" s="46"/>
      <c r="BT129" s="46"/>
      <c r="BU129" s="46"/>
      <c r="BV129" s="46"/>
      <c r="BW129" s="46"/>
    </row>
    <row r="130" spans="2:75" ht="15.75" x14ac:dyDescent="0.3">
      <c r="B130" s="680" t="s">
        <v>448</v>
      </c>
      <c r="C130" s="353" t="s">
        <v>43</v>
      </c>
      <c r="D130" s="578">
        <v>20</v>
      </c>
      <c r="E130" s="353">
        <v>33.045000000000002</v>
      </c>
      <c r="F130" s="353">
        <v>19.61</v>
      </c>
      <c r="G130" s="353">
        <v>1.238</v>
      </c>
      <c r="H130" s="251">
        <v>19.7</v>
      </c>
      <c r="I130" s="434">
        <f t="shared" si="0"/>
        <v>0.98499999999999999</v>
      </c>
      <c r="J130" s="251" t="s">
        <v>14</v>
      </c>
      <c r="K130" s="251" t="s">
        <v>14</v>
      </c>
      <c r="L130" s="251">
        <f>SUM(F130:G130)*(1-$E$118)</f>
        <v>18.763200000000001</v>
      </c>
      <c r="M130" s="683"/>
      <c r="N130" s="575">
        <v>500</v>
      </c>
      <c r="O130" s="575">
        <v>1</v>
      </c>
      <c r="P130" s="682">
        <v>4</v>
      </c>
      <c r="Q130" s="218"/>
      <c r="R130" s="218"/>
      <c r="S130" s="218"/>
      <c r="T130" s="220"/>
      <c r="U130" s="219"/>
      <c r="V130" s="219"/>
      <c r="W130" s="219"/>
      <c r="X130" s="219"/>
      <c r="Y130" s="219"/>
      <c r="Z130" s="219"/>
      <c r="AA130" s="219"/>
      <c r="AB130" s="219"/>
      <c r="AC130" s="219"/>
      <c r="AE130" s="219"/>
      <c r="AF130" s="219"/>
      <c r="AG130" s="219"/>
      <c r="AH130" s="219"/>
      <c r="AI130" s="219"/>
      <c r="AJ130" s="219"/>
      <c r="AK130" s="219"/>
      <c r="AQ130" s="219"/>
      <c r="AV130" s="229"/>
      <c r="AW130" s="229"/>
      <c r="BE130" s="230"/>
      <c r="BF130" s="230"/>
      <c r="BI130" s="219"/>
      <c r="BJ130" s="219"/>
      <c r="BK130" s="46"/>
      <c r="BL130" s="46"/>
      <c r="BM130" s="46"/>
      <c r="BN130" s="46"/>
      <c r="BO130" s="46"/>
      <c r="BP130" s="46"/>
      <c r="BQ130" s="46"/>
      <c r="BR130" s="46"/>
      <c r="BS130" s="46"/>
      <c r="BT130" s="46"/>
      <c r="BU130" s="46"/>
      <c r="BV130" s="46"/>
      <c r="BW130" s="46"/>
    </row>
    <row r="131" spans="2:75" ht="105" x14ac:dyDescent="0.3">
      <c r="B131" s="680" t="s">
        <v>449</v>
      </c>
      <c r="C131" s="353" t="s">
        <v>43</v>
      </c>
      <c r="D131" s="578">
        <v>20</v>
      </c>
      <c r="E131" s="353">
        <v>43.503999999999998</v>
      </c>
      <c r="F131" s="353">
        <v>25.396999999999998</v>
      </c>
      <c r="G131" s="353">
        <v>0.40699999999999997</v>
      </c>
      <c r="H131" s="462">
        <v>9.68</v>
      </c>
      <c r="I131" s="434">
        <f>H131/D131</f>
        <v>0.48399999999999999</v>
      </c>
      <c r="J131" s="251" t="s">
        <v>13</v>
      </c>
      <c r="K131" s="251" t="s">
        <v>13</v>
      </c>
      <c r="L131" s="462">
        <f>((18.072+0.113)/(25.598+0.333))*SUM(F131:G131)*(1-E112)*(1-$E$118)</f>
        <v>14.657708896687364</v>
      </c>
      <c r="M131" s="573" t="s">
        <v>805</v>
      </c>
      <c r="N131" s="576">
        <v>500</v>
      </c>
      <c r="O131" s="576">
        <v>1</v>
      </c>
      <c r="P131" s="681">
        <v>16</v>
      </c>
      <c r="Q131" s="218"/>
      <c r="R131" s="218"/>
      <c r="S131" s="218"/>
      <c r="T131" s="220"/>
      <c r="U131" s="219"/>
      <c r="V131" s="219"/>
      <c r="W131" s="219"/>
      <c r="X131" s="219"/>
      <c r="Y131" s="219"/>
      <c r="Z131" s="219"/>
      <c r="AA131" s="219"/>
      <c r="AB131" s="219"/>
      <c r="AC131" s="219"/>
      <c r="AE131" s="219"/>
      <c r="AF131" s="219"/>
      <c r="AG131" s="219"/>
      <c r="AH131" s="219"/>
      <c r="AI131" s="219"/>
      <c r="AJ131" s="219"/>
      <c r="AK131" s="219"/>
      <c r="AQ131" s="219"/>
      <c r="AV131" s="229"/>
      <c r="AW131" s="229"/>
      <c r="BE131" s="230"/>
      <c r="BF131" s="230"/>
      <c r="BI131" s="219"/>
      <c r="BJ131" s="219"/>
      <c r="BK131" s="46"/>
      <c r="BL131" s="46"/>
      <c r="BM131" s="46"/>
      <c r="BN131" s="46"/>
      <c r="BO131" s="46"/>
      <c r="BP131" s="46"/>
      <c r="BQ131" s="46"/>
      <c r="BR131" s="46"/>
      <c r="BS131" s="46"/>
      <c r="BT131" s="46"/>
      <c r="BU131" s="46"/>
      <c r="BV131" s="46"/>
      <c r="BW131" s="46"/>
    </row>
    <row r="132" spans="2:75" ht="45" x14ac:dyDescent="0.3">
      <c r="B132" s="680" t="s">
        <v>450</v>
      </c>
      <c r="C132" s="353" t="s">
        <v>43</v>
      </c>
      <c r="D132" s="578">
        <v>15</v>
      </c>
      <c r="E132" s="353">
        <v>41.496000000000002</v>
      </c>
      <c r="F132" s="353">
        <v>24.291</v>
      </c>
      <c r="G132" s="353">
        <v>6.6000000000000003E-2</v>
      </c>
      <c r="H132" s="251">
        <v>11.54</v>
      </c>
      <c r="I132" s="434">
        <f t="shared" si="0"/>
        <v>0.76933333333333331</v>
      </c>
      <c r="J132" s="251" t="s">
        <v>13</v>
      </c>
      <c r="K132" s="251" t="s">
        <v>13</v>
      </c>
      <c r="L132" s="251">
        <f>SUM(F132:G132)*(1-$C$104)*(1-E112)*(1-$E$118)</f>
        <v>17.756253000000001</v>
      </c>
      <c r="M132" s="573" t="s">
        <v>806</v>
      </c>
      <c r="N132" s="575">
        <v>500</v>
      </c>
      <c r="O132" s="575">
        <v>1</v>
      </c>
      <c r="P132" s="682">
        <v>23</v>
      </c>
      <c r="Q132" s="218"/>
      <c r="R132" s="218"/>
      <c r="S132" s="218"/>
      <c r="T132" s="220"/>
      <c r="U132" s="219"/>
      <c r="V132" s="219"/>
      <c r="W132" s="219"/>
      <c r="X132" s="219"/>
      <c r="Y132" s="219"/>
      <c r="Z132" s="219"/>
      <c r="AA132" s="219"/>
      <c r="AB132" s="219"/>
      <c r="AC132" s="219"/>
      <c r="AE132" s="219"/>
      <c r="AF132" s="219"/>
      <c r="AG132" s="219"/>
      <c r="AH132" s="219"/>
      <c r="AI132" s="219"/>
      <c r="AJ132" s="219"/>
      <c r="AK132" s="219"/>
      <c r="AQ132" s="219"/>
      <c r="AV132" s="229"/>
      <c r="AW132" s="229"/>
      <c r="BE132" s="230"/>
      <c r="BF132" s="230"/>
      <c r="BI132" s="219"/>
      <c r="BJ132" s="219"/>
      <c r="BK132" s="46"/>
      <c r="BL132" s="46"/>
      <c r="BM132" s="46"/>
      <c r="BN132" s="46"/>
      <c r="BO132" s="46"/>
      <c r="BP132" s="46"/>
      <c r="BQ132" s="46"/>
      <c r="BR132" s="46"/>
      <c r="BS132" s="46"/>
      <c r="BT132" s="46"/>
      <c r="BU132" s="46"/>
      <c r="BV132" s="46"/>
      <c r="BW132" s="46"/>
    </row>
    <row r="133" spans="2:75" ht="90" x14ac:dyDescent="0.3">
      <c r="B133" s="684" t="s">
        <v>816</v>
      </c>
      <c r="C133" s="353" t="s">
        <v>43</v>
      </c>
      <c r="D133" s="578">
        <v>1.5</v>
      </c>
      <c r="E133" s="353">
        <v>4.5830000000000002</v>
      </c>
      <c r="F133" s="353">
        <v>7.25</v>
      </c>
      <c r="G133" s="353">
        <v>9.6000000000000002E-2</v>
      </c>
      <c r="H133" s="251">
        <v>1.1399999999999999</v>
      </c>
      <c r="I133" s="434">
        <f t="shared" si="0"/>
        <v>0.7599999999999999</v>
      </c>
      <c r="J133" s="251" t="s">
        <v>13</v>
      </c>
      <c r="K133" s="251" t="s">
        <v>13</v>
      </c>
      <c r="L133" s="251">
        <f>SUM(F133:G133)*(1-E112)*(1-$C$105)*(1-$E$118)</f>
        <v>4.7602080000000004</v>
      </c>
      <c r="M133" s="573" t="s">
        <v>1019</v>
      </c>
      <c r="N133" s="576">
        <v>291</v>
      </c>
      <c r="O133" s="576">
        <v>1</v>
      </c>
      <c r="P133" s="681">
        <v>4</v>
      </c>
      <c r="Q133" s="218"/>
      <c r="R133" s="218"/>
      <c r="S133" s="218"/>
      <c r="T133" s="220"/>
      <c r="U133" s="219"/>
      <c r="V133" s="219"/>
      <c r="W133" s="219"/>
      <c r="X133" s="219"/>
      <c r="Y133" s="219"/>
      <c r="Z133" s="219"/>
      <c r="AA133" s="219"/>
      <c r="AB133" s="219"/>
      <c r="AC133" s="219"/>
      <c r="AE133" s="219"/>
      <c r="AF133" s="219"/>
      <c r="AG133" s="219"/>
      <c r="AH133" s="219"/>
      <c r="AI133" s="219"/>
      <c r="AJ133" s="219"/>
      <c r="AK133" s="219"/>
      <c r="AQ133" s="219"/>
      <c r="AV133" s="229"/>
      <c r="AW133" s="229"/>
      <c r="BE133" s="230"/>
      <c r="BF133" s="230"/>
      <c r="BI133" s="219"/>
      <c r="BJ133" s="219"/>
      <c r="BK133" s="46"/>
      <c r="BL133" s="46"/>
      <c r="BM133" s="46"/>
      <c r="BN133" s="46"/>
      <c r="BO133" s="46"/>
      <c r="BP133" s="46"/>
      <c r="BQ133" s="46"/>
      <c r="BR133" s="46"/>
      <c r="BS133" s="46"/>
      <c r="BT133" s="46"/>
      <c r="BU133" s="46"/>
      <c r="BV133" s="46"/>
      <c r="BW133" s="46"/>
    </row>
    <row r="134" spans="2:75" ht="135" x14ac:dyDescent="0.3">
      <c r="B134" s="684" t="s">
        <v>451</v>
      </c>
      <c r="C134" s="353" t="s">
        <v>43</v>
      </c>
      <c r="D134" s="578">
        <v>3.5</v>
      </c>
      <c r="E134" s="353">
        <v>41.098999999999997</v>
      </c>
      <c r="F134" s="353">
        <v>12.833</v>
      </c>
      <c r="G134" s="353">
        <v>0.27800000000000002</v>
      </c>
      <c r="H134" s="462">
        <v>1.58</v>
      </c>
      <c r="I134" s="486">
        <f t="shared" si="0"/>
        <v>0.45142857142857146</v>
      </c>
      <c r="J134" s="251" t="s">
        <v>13</v>
      </c>
      <c r="K134" s="251" t="s">
        <v>13</v>
      </c>
      <c r="L134" s="462">
        <f ca="1">1.6*$D$31</f>
        <v>1.92</v>
      </c>
      <c r="M134" s="573" t="s">
        <v>1020</v>
      </c>
      <c r="N134" s="575">
        <v>291</v>
      </c>
      <c r="O134" s="575">
        <v>2</v>
      </c>
      <c r="P134" s="682">
        <v>41</v>
      </c>
      <c r="Q134" s="218"/>
      <c r="R134" s="218"/>
      <c r="S134" s="218"/>
      <c r="T134" s="220"/>
      <c r="U134" s="219"/>
      <c r="V134" s="219"/>
      <c r="W134" s="219"/>
      <c r="X134" s="219"/>
      <c r="Y134" s="219"/>
      <c r="Z134" s="219"/>
      <c r="AA134" s="219"/>
      <c r="AB134" s="219"/>
      <c r="AC134" s="219"/>
      <c r="AE134" s="219"/>
      <c r="AF134" s="219"/>
      <c r="AG134" s="219"/>
      <c r="AH134" s="219"/>
      <c r="AI134" s="219"/>
      <c r="AJ134" s="219"/>
      <c r="AK134" s="219"/>
      <c r="AQ134" s="219"/>
      <c r="AV134" s="229"/>
      <c r="AW134" s="229"/>
      <c r="BE134" s="230"/>
      <c r="BF134" s="230"/>
      <c r="BI134" s="219"/>
      <c r="BJ134" s="219"/>
      <c r="BK134" s="46"/>
      <c r="BL134" s="46"/>
      <c r="BM134" s="46"/>
      <c r="BN134" s="46"/>
      <c r="BO134" s="46"/>
      <c r="BP134" s="46"/>
      <c r="BQ134" s="46"/>
      <c r="BR134" s="46"/>
      <c r="BS134" s="46"/>
      <c r="BT134" s="46"/>
      <c r="BU134" s="46"/>
      <c r="BV134" s="46"/>
      <c r="BW134" s="46"/>
    </row>
    <row r="135" spans="2:75" ht="89.25" customHeight="1" x14ac:dyDescent="0.3">
      <c r="B135" s="684" t="s">
        <v>452</v>
      </c>
      <c r="C135" s="353" t="s">
        <v>43</v>
      </c>
      <c r="D135" s="578">
        <v>8</v>
      </c>
      <c r="E135" s="353">
        <v>17.7</v>
      </c>
      <c r="F135" s="353">
        <v>14.638</v>
      </c>
      <c r="G135" s="353">
        <v>0.56799999999999995</v>
      </c>
      <c r="H135" s="462">
        <v>2.2000000000000002</v>
      </c>
      <c r="I135" s="486">
        <f t="shared" si="0"/>
        <v>0.27500000000000002</v>
      </c>
      <c r="J135" s="251" t="s">
        <v>13</v>
      </c>
      <c r="K135" s="251" t="s">
        <v>13</v>
      </c>
      <c r="L135" s="462">
        <f ca="1">2.2*$D$31</f>
        <v>2.64</v>
      </c>
      <c r="M135" s="487" t="s">
        <v>1021</v>
      </c>
      <c r="N135" s="576">
        <v>441</v>
      </c>
      <c r="O135" s="576">
        <v>4</v>
      </c>
      <c r="P135" s="681">
        <v>10</v>
      </c>
      <c r="Q135" s="218"/>
      <c r="R135" s="218"/>
      <c r="S135" s="218"/>
      <c r="T135" s="220"/>
      <c r="U135" s="219"/>
      <c r="V135" s="219"/>
      <c r="W135" s="219"/>
      <c r="X135" s="219"/>
      <c r="Y135" s="219"/>
      <c r="Z135" s="219"/>
      <c r="AA135" s="219"/>
      <c r="AB135" s="219"/>
      <c r="AC135" s="219"/>
      <c r="AE135" s="219"/>
      <c r="AF135" s="219"/>
      <c r="AG135" s="219"/>
      <c r="AH135" s="219"/>
      <c r="AI135" s="219"/>
      <c r="AJ135" s="219"/>
      <c r="AK135" s="219"/>
      <c r="AQ135" s="219"/>
      <c r="AV135" s="229"/>
      <c r="AW135" s="229"/>
      <c r="BE135" s="230"/>
      <c r="BF135" s="230"/>
      <c r="BI135" s="219"/>
      <c r="BJ135" s="219"/>
      <c r="BK135" s="46"/>
      <c r="BL135" s="46"/>
      <c r="BM135" s="46"/>
      <c r="BN135" s="46"/>
      <c r="BO135" s="46"/>
      <c r="BP135" s="46"/>
      <c r="BQ135" s="46"/>
      <c r="BR135" s="46"/>
      <c r="BS135" s="46"/>
      <c r="BT135" s="46"/>
      <c r="BU135" s="46"/>
      <c r="BV135" s="46"/>
      <c r="BW135" s="46"/>
    </row>
    <row r="136" spans="2:75" ht="30" x14ac:dyDescent="0.3">
      <c r="B136" s="684" t="s">
        <v>453</v>
      </c>
      <c r="C136" s="353" t="s">
        <v>43</v>
      </c>
      <c r="D136" s="578">
        <v>12</v>
      </c>
      <c r="E136" s="353">
        <v>22.292999999999999</v>
      </c>
      <c r="F136" s="353">
        <v>8.3219999999999992</v>
      </c>
      <c r="G136" s="353">
        <v>1.2999999999999999E-2</v>
      </c>
      <c r="H136" s="251">
        <v>6.78</v>
      </c>
      <c r="I136" s="434">
        <f t="shared" si="0"/>
        <v>0.56500000000000006</v>
      </c>
      <c r="J136" s="251" t="s">
        <v>13</v>
      </c>
      <c r="K136" s="251" t="s">
        <v>13</v>
      </c>
      <c r="L136" s="251">
        <f>SUM(F136:G136)*(1-C105)*(1-E112)*(1-$E$118)</f>
        <v>5.4010800000000003</v>
      </c>
      <c r="M136" s="487" t="s">
        <v>808</v>
      </c>
      <c r="N136" s="575"/>
      <c r="O136" s="575"/>
      <c r="P136" s="682"/>
      <c r="Q136" s="218"/>
      <c r="R136" s="218"/>
      <c r="S136" s="218"/>
      <c r="T136" s="220"/>
      <c r="U136" s="219"/>
      <c r="V136" s="219"/>
      <c r="W136" s="219"/>
      <c r="X136" s="219"/>
      <c r="Y136" s="219"/>
      <c r="Z136" s="219"/>
      <c r="AA136" s="219"/>
      <c r="AB136" s="219"/>
      <c r="AC136" s="219"/>
      <c r="AE136" s="219"/>
      <c r="AF136" s="219"/>
      <c r="AG136" s="219"/>
      <c r="AH136" s="219"/>
      <c r="AI136" s="219"/>
      <c r="AJ136" s="219"/>
      <c r="AK136" s="219"/>
      <c r="AQ136" s="219"/>
      <c r="AV136" s="229"/>
      <c r="AW136" s="229"/>
      <c r="BE136" s="230"/>
      <c r="BF136" s="230"/>
      <c r="BI136" s="219"/>
      <c r="BJ136" s="219"/>
      <c r="BK136" s="46"/>
      <c r="BL136" s="46"/>
      <c r="BM136" s="46"/>
      <c r="BN136" s="46"/>
      <c r="BO136" s="46"/>
      <c r="BP136" s="46"/>
      <c r="BQ136" s="46"/>
      <c r="BR136" s="46"/>
      <c r="BS136" s="46"/>
      <c r="BT136" s="46"/>
      <c r="BU136" s="46"/>
      <c r="BV136" s="46"/>
      <c r="BW136" s="46"/>
    </row>
    <row r="137" spans="2:75" ht="75" x14ac:dyDescent="0.3">
      <c r="B137" s="684" t="s">
        <v>454</v>
      </c>
      <c r="C137" s="353" t="s">
        <v>43</v>
      </c>
      <c r="D137" s="578">
        <v>1.5</v>
      </c>
      <c r="E137" s="353">
        <v>11.53</v>
      </c>
      <c r="F137" s="353">
        <v>2.2000000000000002</v>
      </c>
      <c r="G137" s="353">
        <v>3.0000000000000001E-3</v>
      </c>
      <c r="H137" s="251">
        <v>0.4</v>
      </c>
      <c r="I137" s="434">
        <f t="shared" si="0"/>
        <v>0.26666666666666666</v>
      </c>
      <c r="J137" s="251" t="s">
        <v>13</v>
      </c>
      <c r="K137" s="251" t="s">
        <v>13</v>
      </c>
      <c r="L137" s="251">
        <f ca="1">0.4*$D$31</f>
        <v>0.48</v>
      </c>
      <c r="M137" s="487" t="s">
        <v>1022</v>
      </c>
      <c r="N137" s="576">
        <v>125</v>
      </c>
      <c r="O137" s="576">
        <v>1</v>
      </c>
      <c r="P137" s="681">
        <v>2</v>
      </c>
      <c r="Q137" s="218"/>
      <c r="R137" s="218"/>
      <c r="S137" s="218"/>
      <c r="T137" s="220"/>
      <c r="U137" s="219"/>
      <c r="V137" s="219"/>
      <c r="W137" s="219"/>
      <c r="X137" s="219"/>
      <c r="Y137" s="219"/>
      <c r="Z137" s="219"/>
      <c r="AA137" s="219"/>
      <c r="AB137" s="219"/>
      <c r="AC137" s="219"/>
      <c r="AE137" s="219"/>
      <c r="AF137" s="219"/>
      <c r="AG137" s="219"/>
      <c r="AH137" s="219"/>
      <c r="AI137" s="219"/>
      <c r="AJ137" s="219"/>
      <c r="AK137" s="219"/>
      <c r="AQ137" s="219"/>
      <c r="AV137" s="229"/>
      <c r="AW137" s="229"/>
      <c r="BE137" s="230"/>
      <c r="BF137" s="230"/>
      <c r="BI137" s="219"/>
      <c r="BJ137" s="219"/>
      <c r="BK137" s="46"/>
      <c r="BL137" s="46"/>
      <c r="BM137" s="46"/>
      <c r="BN137" s="46"/>
      <c r="BO137" s="46"/>
      <c r="BP137" s="46"/>
      <c r="BQ137" s="46"/>
      <c r="BR137" s="46"/>
      <c r="BS137" s="46"/>
      <c r="BT137" s="46"/>
      <c r="BU137" s="46"/>
      <c r="BV137" s="46"/>
      <c r="BW137" s="46"/>
    </row>
    <row r="138" spans="2:75" ht="90.75" customHeight="1" x14ac:dyDescent="0.3">
      <c r="B138" s="684" t="s">
        <v>455</v>
      </c>
      <c r="C138" s="353" t="s">
        <v>43</v>
      </c>
      <c r="D138" s="578">
        <v>5</v>
      </c>
      <c r="E138" s="353">
        <v>2.2360000000000002</v>
      </c>
      <c r="F138" s="353">
        <v>3.5409999999999999</v>
      </c>
      <c r="G138" s="353">
        <v>4.1000000000000002E-2</v>
      </c>
      <c r="H138" s="462">
        <v>2.6</v>
      </c>
      <c r="I138" s="486">
        <f t="shared" si="0"/>
        <v>0.52</v>
      </c>
      <c r="J138" s="251" t="s">
        <v>13</v>
      </c>
      <c r="K138" s="251" t="s">
        <v>13</v>
      </c>
      <c r="L138" s="251">
        <f ca="1">2.6*$D$31</f>
        <v>3.12</v>
      </c>
      <c r="M138" s="487" t="s">
        <v>1023</v>
      </c>
      <c r="N138" s="575">
        <v>300</v>
      </c>
      <c r="O138" s="575">
        <v>1</v>
      </c>
      <c r="P138" s="682">
        <v>3</v>
      </c>
      <c r="Q138" s="218"/>
      <c r="R138" s="218"/>
      <c r="S138" s="218"/>
      <c r="T138" s="220"/>
      <c r="U138" s="219"/>
      <c r="V138" s="219"/>
      <c r="W138" s="219"/>
      <c r="X138" s="219"/>
      <c r="Y138" s="219"/>
      <c r="Z138" s="219"/>
      <c r="AA138" s="219"/>
      <c r="AB138" s="219"/>
      <c r="AC138" s="219"/>
      <c r="AE138" s="219"/>
      <c r="AF138" s="219"/>
      <c r="AG138" s="219"/>
      <c r="AH138" s="219"/>
      <c r="AI138" s="219"/>
      <c r="AJ138" s="219"/>
      <c r="AK138" s="219"/>
      <c r="AQ138" s="219"/>
      <c r="AV138" s="229"/>
      <c r="AW138" s="229"/>
      <c r="BE138" s="230"/>
      <c r="BF138" s="230"/>
      <c r="BI138" s="219"/>
      <c r="BJ138" s="219"/>
      <c r="BK138" s="46"/>
      <c r="BL138" s="46"/>
      <c r="BM138" s="46"/>
      <c r="BN138" s="46"/>
      <c r="BO138" s="46"/>
      <c r="BP138" s="46"/>
      <c r="BQ138" s="46"/>
      <c r="BR138" s="46"/>
      <c r="BS138" s="46"/>
      <c r="BT138" s="46"/>
      <c r="BU138" s="46"/>
      <c r="BV138" s="46"/>
      <c r="BW138" s="46"/>
    </row>
    <row r="139" spans="2:75" ht="15.75" x14ac:dyDescent="0.3">
      <c r="B139" s="684" t="s">
        <v>456</v>
      </c>
      <c r="C139" s="353" t="s">
        <v>43</v>
      </c>
      <c r="D139" s="578">
        <v>5</v>
      </c>
      <c r="E139" s="353">
        <v>12.294</v>
      </c>
      <c r="F139" s="353">
        <v>3.94</v>
      </c>
      <c r="G139" s="353">
        <v>6.0000000000000001E-3</v>
      </c>
      <c r="H139" s="251">
        <v>3.04</v>
      </c>
      <c r="I139" s="434">
        <f t="shared" si="0"/>
        <v>0.60799999999999998</v>
      </c>
      <c r="J139" s="251" t="s">
        <v>13</v>
      </c>
      <c r="K139" s="251" t="s">
        <v>14</v>
      </c>
      <c r="L139" s="251">
        <f>SUM(F139:G139)*(1-C105)*(1-$E$118)</f>
        <v>2.8411200000000001</v>
      </c>
      <c r="M139" s="487" t="s">
        <v>801</v>
      </c>
      <c r="N139" s="576">
        <v>291</v>
      </c>
      <c r="O139" s="576">
        <v>1</v>
      </c>
      <c r="P139" s="681">
        <v>6</v>
      </c>
      <c r="Q139" s="218"/>
      <c r="R139" s="218"/>
      <c r="S139" s="218"/>
      <c r="T139" s="220"/>
      <c r="U139" s="219"/>
      <c r="V139" s="219"/>
      <c r="W139" s="219"/>
      <c r="X139" s="219"/>
      <c r="Y139" s="219"/>
      <c r="Z139" s="219"/>
      <c r="AA139" s="219"/>
      <c r="AB139" s="219"/>
      <c r="AC139" s="219"/>
      <c r="AE139" s="219"/>
      <c r="AF139" s="219"/>
      <c r="AG139" s="219"/>
      <c r="AH139" s="219"/>
      <c r="AI139" s="219"/>
      <c r="AJ139" s="219"/>
      <c r="AK139" s="219"/>
      <c r="AQ139" s="219"/>
      <c r="AV139" s="229"/>
      <c r="AW139" s="229"/>
      <c r="BE139" s="230"/>
      <c r="BF139" s="230"/>
      <c r="BI139" s="219"/>
      <c r="BJ139" s="219"/>
      <c r="BK139" s="46"/>
      <c r="BL139" s="46"/>
      <c r="BM139" s="46"/>
      <c r="BN139" s="46"/>
      <c r="BO139" s="46"/>
      <c r="BP139" s="46"/>
      <c r="BQ139" s="46"/>
      <c r="BR139" s="46"/>
      <c r="BS139" s="46"/>
      <c r="BT139" s="46"/>
      <c r="BU139" s="46"/>
      <c r="BV139" s="46"/>
      <c r="BW139" s="46"/>
    </row>
    <row r="140" spans="2:75" ht="15.75" x14ac:dyDescent="0.3">
      <c r="B140" s="684" t="s">
        <v>817</v>
      </c>
      <c r="C140" s="353" t="s">
        <v>43</v>
      </c>
      <c r="D140" s="578">
        <v>3</v>
      </c>
      <c r="E140" s="353">
        <v>0</v>
      </c>
      <c r="F140" s="353">
        <v>0.64700000000000002</v>
      </c>
      <c r="G140" s="353">
        <v>5.8000000000000003E-2</v>
      </c>
      <c r="H140" s="251">
        <v>1.53</v>
      </c>
      <c r="I140" s="434">
        <f t="shared" si="0"/>
        <v>0.51</v>
      </c>
      <c r="J140" s="251" t="s">
        <v>13</v>
      </c>
      <c r="K140" s="251" t="s">
        <v>14</v>
      </c>
      <c r="L140" s="251">
        <f>SUM(F140:G140)*(1-C105)*(1-$E$118)</f>
        <v>0.50760000000000005</v>
      </c>
      <c r="M140" s="487" t="s">
        <v>801</v>
      </c>
      <c r="N140" s="575"/>
      <c r="O140" s="575"/>
      <c r="P140" s="682"/>
      <c r="Q140" s="218"/>
      <c r="R140" s="218"/>
      <c r="S140" s="218"/>
      <c r="T140" s="220"/>
      <c r="U140" s="219"/>
      <c r="V140" s="219"/>
      <c r="W140" s="219"/>
      <c r="X140" s="219"/>
      <c r="Y140" s="219"/>
      <c r="Z140" s="219"/>
      <c r="AA140" s="219"/>
      <c r="AB140" s="219"/>
      <c r="AC140" s="219"/>
      <c r="AE140" s="219"/>
      <c r="AF140" s="219"/>
      <c r="AG140" s="219"/>
      <c r="AH140" s="219"/>
      <c r="AI140" s="219"/>
      <c r="AJ140" s="219"/>
      <c r="AK140" s="219"/>
      <c r="AQ140" s="219"/>
      <c r="AV140" s="229"/>
      <c r="AW140" s="229"/>
      <c r="BE140" s="230"/>
      <c r="BF140" s="230"/>
      <c r="BI140" s="219"/>
      <c r="BJ140" s="219"/>
      <c r="BK140" s="46"/>
      <c r="BL140" s="46"/>
      <c r="BM140" s="46"/>
      <c r="BN140" s="46"/>
      <c r="BO140" s="46"/>
      <c r="BP140" s="46"/>
      <c r="BQ140" s="46"/>
      <c r="BR140" s="46"/>
      <c r="BS140" s="46"/>
      <c r="BT140" s="46"/>
      <c r="BU140" s="46"/>
      <c r="BV140" s="46"/>
      <c r="BW140" s="46"/>
    </row>
    <row r="141" spans="2:75" ht="75" x14ac:dyDescent="0.3">
      <c r="B141" s="684" t="s">
        <v>457</v>
      </c>
      <c r="C141" s="353" t="s">
        <v>42</v>
      </c>
      <c r="D141" s="578">
        <v>5</v>
      </c>
      <c r="E141" s="353">
        <v>9.6</v>
      </c>
      <c r="F141" s="353">
        <v>3.2160000000000002</v>
      </c>
      <c r="G141" s="353">
        <v>4.0000000000000001E-3</v>
      </c>
      <c r="H141" s="251">
        <v>1</v>
      </c>
      <c r="I141" s="434">
        <f t="shared" si="0"/>
        <v>0.2</v>
      </c>
      <c r="J141" s="251" t="s">
        <v>13</v>
      </c>
      <c r="K141" s="251" t="s">
        <v>13</v>
      </c>
      <c r="L141" s="251">
        <f ca="1">0.7*$D$31</f>
        <v>0.84</v>
      </c>
      <c r="M141" s="487" t="s">
        <v>1024</v>
      </c>
      <c r="N141" s="576">
        <v>300</v>
      </c>
      <c r="O141" s="576">
        <v>1</v>
      </c>
      <c r="P141" s="681">
        <v>1</v>
      </c>
      <c r="Q141" s="218"/>
      <c r="R141" s="218"/>
      <c r="S141" s="218"/>
      <c r="T141" s="220"/>
      <c r="U141" s="219"/>
      <c r="V141" s="219"/>
      <c r="W141" s="219"/>
      <c r="X141" s="219"/>
      <c r="Y141" s="219"/>
      <c r="Z141" s="219"/>
      <c r="AA141" s="219"/>
      <c r="AB141" s="219"/>
      <c r="AC141" s="219"/>
      <c r="AE141" s="219"/>
      <c r="AF141" s="219"/>
      <c r="AG141" s="219"/>
      <c r="AH141" s="219"/>
      <c r="AI141" s="219"/>
      <c r="AJ141" s="219"/>
      <c r="AK141" s="219"/>
      <c r="AQ141" s="219"/>
      <c r="AV141" s="229"/>
      <c r="AW141" s="229"/>
      <c r="BE141" s="230"/>
      <c r="BF141" s="230"/>
      <c r="BI141" s="219"/>
      <c r="BJ141" s="219"/>
      <c r="BK141" s="46"/>
      <c r="BL141" s="46"/>
      <c r="BM141" s="46"/>
      <c r="BN141" s="46"/>
      <c r="BO141" s="46"/>
      <c r="BP141" s="46"/>
      <c r="BQ141" s="46"/>
      <c r="BR141" s="46"/>
      <c r="BS141" s="46"/>
      <c r="BT141" s="46"/>
      <c r="BU141" s="46"/>
      <c r="BV141" s="46"/>
      <c r="BW141" s="46"/>
    </row>
    <row r="142" spans="2:75" ht="60.75" thickBot="1" x14ac:dyDescent="0.35">
      <c r="B142" s="685" t="s">
        <v>458</v>
      </c>
      <c r="C142" s="686" t="s">
        <v>42</v>
      </c>
      <c r="D142" s="687">
        <v>20.399999999999999</v>
      </c>
      <c r="E142" s="686">
        <v>18.515999999999998</v>
      </c>
      <c r="F142" s="686">
        <v>15.898</v>
      </c>
      <c r="G142" s="686">
        <v>6.5000000000000002E-2</v>
      </c>
      <c r="H142" s="688">
        <v>20.399999999999999</v>
      </c>
      <c r="I142" s="689">
        <f t="shared" si="0"/>
        <v>1</v>
      </c>
      <c r="J142" s="688" t="s">
        <v>14</v>
      </c>
      <c r="K142" s="688" t="s">
        <v>13</v>
      </c>
      <c r="L142" s="688">
        <f>(F142+G142)*(1-E112)*(1-$E$118)</f>
        <v>12.93003</v>
      </c>
      <c r="M142" s="690" t="s">
        <v>809</v>
      </c>
      <c r="N142" s="691"/>
      <c r="O142" s="691"/>
      <c r="P142" s="692"/>
      <c r="Q142" s="218"/>
      <c r="R142" s="218"/>
      <c r="S142" s="218"/>
      <c r="T142" s="220"/>
      <c r="U142" s="219"/>
      <c r="V142" s="219"/>
      <c r="W142" s="219"/>
      <c r="X142" s="219"/>
      <c r="Y142" s="219"/>
      <c r="Z142" s="219"/>
      <c r="AA142" s="219"/>
      <c r="AB142" s="219"/>
      <c r="AC142" s="219"/>
      <c r="AE142" s="219"/>
      <c r="AF142" s="219"/>
      <c r="AG142" s="219"/>
      <c r="AH142" s="219"/>
      <c r="AI142" s="219"/>
      <c r="AJ142" s="219"/>
      <c r="AK142" s="219"/>
      <c r="AQ142" s="219"/>
      <c r="AV142" s="229"/>
      <c r="AW142" s="229"/>
      <c r="BE142" s="230"/>
      <c r="BF142" s="230"/>
      <c r="BI142" s="219"/>
      <c r="BJ142" s="219"/>
      <c r="BK142" s="46"/>
      <c r="BL142" s="46"/>
      <c r="BM142" s="46"/>
      <c r="BN142" s="46"/>
      <c r="BO142" s="46"/>
      <c r="BP142" s="46"/>
      <c r="BQ142" s="46"/>
      <c r="BR142" s="46"/>
      <c r="BS142" s="46"/>
      <c r="BT142" s="46"/>
      <c r="BU142" s="46"/>
      <c r="BV142" s="46"/>
      <c r="BW142" s="46"/>
    </row>
    <row r="143" spans="2:75" ht="15.75" x14ac:dyDescent="0.3">
      <c r="B143" s="245"/>
      <c r="D143" s="62">
        <f>SUM(D122:D142)</f>
        <v>412.9</v>
      </c>
      <c r="E143" s="62">
        <f t="shared" ref="E143" si="1">SUM(E122:E142)</f>
        <v>555.94299999999998</v>
      </c>
      <c r="F143" s="62">
        <f>SUM(F122:F142)</f>
        <v>402.07799999999997</v>
      </c>
      <c r="G143" s="62">
        <f>SUM(G122:G142)</f>
        <v>7.2349999999999985</v>
      </c>
      <c r="H143" s="218"/>
      <c r="I143" s="218"/>
      <c r="J143" s="218"/>
      <c r="K143" s="484" t="s">
        <v>795</v>
      </c>
      <c r="L143" s="189">
        <f ca="1">SUM(L122:L142)</f>
        <v>294.8230858966873</v>
      </c>
      <c r="M143" s="209"/>
      <c r="N143" s="215"/>
      <c r="O143" s="577">
        <f>SUM(O122:O142)</f>
        <v>24</v>
      </c>
      <c r="P143" s="577">
        <f>SUM(P122:P142)</f>
        <v>192</v>
      </c>
      <c r="Q143" s="218"/>
      <c r="R143" s="218"/>
      <c r="S143" s="218"/>
      <c r="T143" s="220"/>
      <c r="U143" s="219"/>
      <c r="V143" s="219"/>
      <c r="W143" s="219"/>
      <c r="X143" s="219"/>
      <c r="Y143" s="219"/>
      <c r="Z143" s="219"/>
      <c r="AA143" s="219"/>
      <c r="AB143" s="219"/>
      <c r="AC143" s="219"/>
      <c r="AE143" s="219"/>
      <c r="AF143" s="219"/>
      <c r="AG143" s="219"/>
      <c r="AH143" s="219"/>
      <c r="AI143" s="219"/>
      <c r="AJ143" s="219"/>
      <c r="AK143" s="219"/>
      <c r="AQ143" s="219"/>
      <c r="AV143" s="229"/>
      <c r="AW143" s="229"/>
      <c r="BE143" s="230"/>
      <c r="BF143" s="230"/>
      <c r="BI143" s="219"/>
      <c r="BJ143" s="219"/>
      <c r="BK143" s="46"/>
      <c r="BL143" s="46"/>
      <c r="BM143" s="46"/>
      <c r="BN143" s="46"/>
      <c r="BO143" s="46"/>
      <c r="BP143" s="46"/>
      <c r="BQ143" s="46"/>
      <c r="BR143" s="46"/>
      <c r="BS143" s="46"/>
      <c r="BT143" s="46"/>
      <c r="BU143" s="46"/>
      <c r="BV143" s="46"/>
      <c r="BW143" s="46"/>
    </row>
    <row r="144" spans="2:75" ht="15.75" x14ac:dyDescent="0.3">
      <c r="B144" s="245"/>
      <c r="C144" s="435"/>
      <c r="F144" s="47"/>
      <c r="G144" s="47"/>
      <c r="H144" s="218"/>
      <c r="I144" s="218"/>
      <c r="J144" s="209"/>
      <c r="K144" s="485" t="s">
        <v>796</v>
      </c>
      <c r="L144" s="246">
        <f ca="1">L143-L122</f>
        <v>241.77083989668731</v>
      </c>
      <c r="M144" s="216"/>
      <c r="N144" s="216"/>
      <c r="O144" s="216"/>
      <c r="P144" s="216"/>
      <c r="Q144" s="218"/>
      <c r="R144" s="218"/>
      <c r="S144" s="218"/>
      <c r="T144" s="218"/>
      <c r="U144" s="220"/>
      <c r="V144" s="219"/>
      <c r="W144" s="219"/>
      <c r="X144" s="219"/>
      <c r="Y144" s="219"/>
      <c r="Z144" s="219"/>
      <c r="AA144" s="219"/>
      <c r="AB144" s="219"/>
      <c r="AC144" s="219"/>
      <c r="AD144" s="219"/>
      <c r="AF144" s="219"/>
      <c r="AG144" s="219"/>
      <c r="AH144" s="219"/>
      <c r="AI144" s="219"/>
      <c r="AJ144" s="219"/>
      <c r="AK144" s="219"/>
      <c r="AQ144" s="219"/>
      <c r="AW144" s="229"/>
      <c r="AX144" s="229"/>
      <c r="BF144" s="230"/>
      <c r="BG144" s="230"/>
      <c r="BI144" s="219"/>
      <c r="BJ144" s="219"/>
      <c r="BL144" s="46"/>
      <c r="BM144" s="46"/>
      <c r="BN144" s="46"/>
      <c r="BO144" s="46"/>
      <c r="BP144" s="46"/>
      <c r="BQ144" s="46"/>
      <c r="BR144" s="46"/>
      <c r="BS144" s="46"/>
      <c r="BT144" s="46"/>
      <c r="BU144" s="46"/>
      <c r="BV144" s="46"/>
      <c r="BW144" s="46"/>
    </row>
    <row r="145" spans="1:75" ht="15.75" x14ac:dyDescent="0.3">
      <c r="A145" s="44">
        <v>5</v>
      </c>
      <c r="B145" s="328" t="s">
        <v>416</v>
      </c>
      <c r="C145" s="46" t="s">
        <v>25</v>
      </c>
      <c r="F145" s="47"/>
      <c r="G145" s="47"/>
      <c r="L145" s="189"/>
      <c r="R145" s="216"/>
      <c r="S145" s="219"/>
      <c r="T145" s="215"/>
      <c r="U145" s="218"/>
      <c r="V145" s="218"/>
      <c r="W145" s="218"/>
      <c r="X145" s="218"/>
      <c r="Y145" s="218"/>
      <c r="Z145" s="220"/>
      <c r="AA145" s="219"/>
      <c r="AB145" s="219"/>
      <c r="AC145" s="219"/>
      <c r="AD145" s="219"/>
      <c r="AE145" s="219"/>
      <c r="AF145" s="219"/>
      <c r="AG145" s="219"/>
      <c r="AH145" s="219"/>
      <c r="AI145" s="219"/>
      <c r="AK145" s="219"/>
      <c r="AQ145" s="219"/>
      <c r="BB145" s="229"/>
      <c r="BC145" s="229"/>
      <c r="BI145" s="219"/>
      <c r="BJ145" s="219"/>
      <c r="BK145" s="230"/>
      <c r="BL145" s="230"/>
      <c r="BQ145" s="46"/>
      <c r="BR145" s="46"/>
      <c r="BS145" s="46"/>
      <c r="BT145" s="46"/>
      <c r="BU145" s="46"/>
      <c r="BV145" s="46"/>
      <c r="BW145" s="46"/>
    </row>
    <row r="146" spans="1:75" ht="15.75" x14ac:dyDescent="0.3">
      <c r="B146" s="174"/>
      <c r="F146" s="47"/>
      <c r="G146" s="47"/>
      <c r="H146" s="218"/>
      <c r="I146" s="218"/>
      <c r="J146" s="209"/>
      <c r="K146" s="189"/>
      <c r="L146" s="189"/>
      <c r="M146" s="216"/>
      <c r="N146" s="216"/>
      <c r="O146" s="216"/>
      <c r="P146" s="216"/>
      <c r="Q146" s="216"/>
      <c r="R146" s="216"/>
      <c r="S146" s="219"/>
      <c r="T146" s="215"/>
      <c r="U146" s="218"/>
      <c r="V146" s="218"/>
      <c r="W146" s="218"/>
      <c r="X146" s="218"/>
      <c r="Y146" s="218"/>
      <c r="Z146" s="220"/>
      <c r="AA146" s="219"/>
      <c r="AB146" s="219"/>
      <c r="AC146" s="219"/>
      <c r="AD146" s="219"/>
      <c r="AE146" s="219"/>
      <c r="AF146" s="219"/>
      <c r="AG146" s="219"/>
      <c r="AH146" s="219"/>
      <c r="AI146" s="219"/>
      <c r="AK146" s="219"/>
      <c r="AQ146" s="219"/>
      <c r="BB146" s="229"/>
      <c r="BC146" s="229"/>
      <c r="BI146" s="219"/>
      <c r="BJ146" s="219"/>
      <c r="BK146" s="230"/>
      <c r="BL146" s="230"/>
      <c r="BQ146" s="46"/>
      <c r="BR146" s="46"/>
      <c r="BS146" s="46"/>
      <c r="BT146" s="46"/>
      <c r="BU146" s="46"/>
      <c r="BV146" s="46"/>
      <c r="BW146" s="46"/>
    </row>
    <row r="147" spans="1:75" ht="15.75" x14ac:dyDescent="0.3">
      <c r="B147" s="574" t="s">
        <v>459</v>
      </c>
      <c r="C147" s="307">
        <f>3.12-0.063</f>
        <v>3.0569999999999999</v>
      </c>
      <c r="D147" s="46" t="s">
        <v>818</v>
      </c>
      <c r="F147" s="47"/>
      <c r="G147" s="47"/>
      <c r="J147" s="217"/>
      <c r="K147" s="218"/>
      <c r="L147" s="218"/>
      <c r="M147" s="218"/>
      <c r="N147" s="218"/>
      <c r="O147" s="218"/>
      <c r="P147" s="218"/>
      <c r="Q147" s="209"/>
      <c r="R147" s="209"/>
      <c r="S147" s="215"/>
      <c r="T147" s="216"/>
      <c r="U147" s="216"/>
      <c r="V147" s="216"/>
      <c r="W147" s="216"/>
      <c r="X147" s="216"/>
      <c r="Y147" s="216"/>
      <c r="Z147" s="219"/>
      <c r="AA147" s="215"/>
      <c r="AB147" s="218"/>
      <c r="AC147" s="218"/>
      <c r="AD147" s="218"/>
      <c r="AE147" s="218"/>
      <c r="AF147" s="218"/>
      <c r="AG147" s="220"/>
      <c r="AH147" s="219"/>
      <c r="AI147" s="219"/>
      <c r="AJ147" s="219"/>
      <c r="AK147" s="219"/>
    </row>
    <row r="148" spans="1:75" ht="15.75" x14ac:dyDescent="0.3">
      <c r="B148" s="245"/>
      <c r="F148" s="47"/>
      <c r="G148" s="47"/>
      <c r="J148" s="217"/>
      <c r="K148" s="218"/>
      <c r="L148" s="218"/>
      <c r="M148" s="218"/>
      <c r="N148" s="218"/>
      <c r="O148" s="218"/>
      <c r="P148" s="218"/>
      <c r="Q148" s="209"/>
      <c r="R148" s="209"/>
      <c r="S148" s="215"/>
      <c r="T148" s="216"/>
      <c r="U148" s="216"/>
      <c r="V148" s="216"/>
      <c r="W148" s="216"/>
      <c r="X148" s="216"/>
      <c r="Y148" s="216"/>
      <c r="Z148" s="219"/>
      <c r="AA148" s="215"/>
      <c r="AB148" s="218"/>
      <c r="AC148" s="218"/>
      <c r="AD148" s="218"/>
      <c r="AE148" s="218"/>
      <c r="AF148" s="218"/>
      <c r="AG148" s="220"/>
      <c r="AH148" s="219"/>
      <c r="AI148" s="219"/>
      <c r="AJ148" s="219"/>
      <c r="AK148" s="219"/>
    </row>
    <row r="149" spans="1:75" x14ac:dyDescent="0.3">
      <c r="A149" s="44">
        <v>6</v>
      </c>
      <c r="B149" s="328" t="s">
        <v>494</v>
      </c>
    </row>
    <row r="150" spans="1:75" ht="15.75" thickBot="1" x14ac:dyDescent="0.35">
      <c r="B150" s="2" t="str">
        <f>C9</f>
        <v>ANH</v>
      </c>
      <c r="C150" s="183"/>
      <c r="D150" s="81"/>
      <c r="E150" s="38"/>
      <c r="F150" s="82"/>
      <c r="G150" s="2"/>
    </row>
    <row r="151" spans="1:75" x14ac:dyDescent="0.3">
      <c r="B151" s="153" t="s">
        <v>392</v>
      </c>
      <c r="C151" s="154"/>
      <c r="D151" s="156" t="s">
        <v>393</v>
      </c>
      <c r="E151" s="158" t="s">
        <v>394</v>
      </c>
      <c r="F151" s="68" t="s">
        <v>395</v>
      </c>
      <c r="G151" s="340" t="s">
        <v>385</v>
      </c>
    </row>
    <row r="152" spans="1:75" x14ac:dyDescent="0.3">
      <c r="B152" s="85" t="s">
        <v>396</v>
      </c>
      <c r="C152" s="71" t="s">
        <v>25</v>
      </c>
      <c r="D152" s="240">
        <f t="shared" ref="D152:F153" si="2">D156+D160</f>
        <v>233.84595972911308</v>
      </c>
      <c r="E152" s="240">
        <f t="shared" si="2"/>
        <v>407.59899999999993</v>
      </c>
      <c r="F152" s="240">
        <f>F156+F160</f>
        <v>641.44495972911307</v>
      </c>
      <c r="G152" s="36" t="str">
        <f>IF(ABS(SUM(D152,E152)-F152)&lt;0.001,"OK","ERROR")</f>
        <v>OK</v>
      </c>
    </row>
    <row r="153" spans="1:75" x14ac:dyDescent="0.3">
      <c r="B153" s="155" t="s">
        <v>397</v>
      </c>
      <c r="C153" s="71" t="s">
        <v>25</v>
      </c>
      <c r="D153" s="240">
        <f t="shared" si="2"/>
        <v>70.706061191195502</v>
      </c>
      <c r="E153" s="240">
        <f t="shared" si="2"/>
        <v>-54.676000000000002</v>
      </c>
      <c r="F153" s="240">
        <f t="shared" si="2"/>
        <v>16.030061191195493</v>
      </c>
      <c r="G153" s="36" t="str">
        <f>IF(ABS(SUM(D153,E153)-F153)&lt;0.001,"OK","ERROR")</f>
        <v>OK</v>
      </c>
    </row>
    <row r="154" spans="1:75" x14ac:dyDescent="0.3">
      <c r="B154" s="85" t="s">
        <v>398</v>
      </c>
      <c r="C154" s="71" t="s">
        <v>93</v>
      </c>
      <c r="D154" s="240">
        <f>D158+D162</f>
        <v>62.25</v>
      </c>
      <c r="E154" s="240" t="s">
        <v>341</v>
      </c>
      <c r="F154" s="240">
        <f>D154</f>
        <v>62.25</v>
      </c>
      <c r="G154" s="36" t="str">
        <f>IF(ABS(SUM(D154,E154)-F154)&lt;0.001,"OK","ERROR")</f>
        <v>OK</v>
      </c>
    </row>
    <row r="155" spans="1:75" x14ac:dyDescent="0.3">
      <c r="B155" s="34"/>
      <c r="C155" s="16"/>
      <c r="D155" s="265"/>
      <c r="E155" s="265"/>
      <c r="F155" s="265"/>
      <c r="G155" s="36"/>
    </row>
    <row r="156" spans="1:75" x14ac:dyDescent="0.3">
      <c r="B156" s="85" t="s">
        <v>399</v>
      </c>
      <c r="C156" s="71" t="s">
        <v>25</v>
      </c>
      <c r="D156" s="240">
        <f>INDEX(Analysis!H$101:H$117,MATCH($B$150,Analysis!$B$101:$B$117,0))</f>
        <v>64.851663428071234</v>
      </c>
      <c r="E156" s="240">
        <f>INDEX(Analysis!I$101:I$117,MATCH($B$150,Analysis!$B$101:$B$117,0))</f>
        <v>505.93899999999996</v>
      </c>
      <c r="F156" s="240">
        <f>SUM(D156:E156)</f>
        <v>570.79066342807118</v>
      </c>
      <c r="G156" s="36" t="str">
        <f>IF(ABS(SUM(D156,E156)-F156)&lt;0.001,"OK","ERROR")</f>
        <v>OK</v>
      </c>
    </row>
    <row r="157" spans="1:75" x14ac:dyDescent="0.3">
      <c r="B157" s="155" t="s">
        <v>400</v>
      </c>
      <c r="C157" s="157" t="s">
        <v>25</v>
      </c>
      <c r="D157" s="239">
        <f>INDEX(Analysis!H$150:H$166,MATCH($B$150,Analysis!$B$150:$B$166,0))</f>
        <v>1.0932052027589896</v>
      </c>
      <c r="E157" s="239">
        <f>INDEX(Analysis!I$150:I$166,MATCH($B$150,Analysis!$B$150:$B$166,0))</f>
        <v>8.6519999999999992</v>
      </c>
      <c r="F157" s="240">
        <f>SUM(D157:E157)</f>
        <v>9.7452052027589886</v>
      </c>
      <c r="G157" s="36" t="str">
        <f t="shared" ref="G157" si="3">IF(ABS(SUM(D157,E157)-F157)&lt;0.001,"OK","ERROR")</f>
        <v>OK</v>
      </c>
    </row>
    <row r="158" spans="1:75" x14ac:dyDescent="0.3">
      <c r="B158" s="85" t="s">
        <v>401</v>
      </c>
      <c r="C158" s="71" t="s">
        <v>93</v>
      </c>
      <c r="D158" s="240">
        <f>INDEX(Analysis!$H$26:$H$42,MATCH($B$150,Analysis!$B$26:$B$42,0))</f>
        <v>6</v>
      </c>
      <c r="E158" s="240" t="s">
        <v>341</v>
      </c>
      <c r="F158" s="240">
        <f>D158</f>
        <v>6</v>
      </c>
      <c r="G158" s="36" t="str">
        <f>IF(ABS(SUM(D158,E158)-F158)&lt;0.001,"OK","ERROR")</f>
        <v>OK</v>
      </c>
    </row>
    <row r="159" spans="1:75" x14ac:dyDescent="0.3">
      <c r="B159" s="34"/>
      <c r="C159" s="16"/>
      <c r="D159" s="265"/>
      <c r="E159" s="265"/>
      <c r="F159" s="265"/>
      <c r="G159" s="36"/>
    </row>
    <row r="160" spans="1:75" x14ac:dyDescent="0.3">
      <c r="B160" s="85" t="s">
        <v>402</v>
      </c>
      <c r="C160" s="71" t="s">
        <v>403</v>
      </c>
      <c r="D160" s="240">
        <f>INDEX(Analysis!H$125:H$141,MATCH($B$150,Analysis!$B$125:$B$141,0))</f>
        <v>168.99429630104186</v>
      </c>
      <c r="E160" s="240">
        <f>INDEX(Analysis!I$125:I$141,MATCH($B$150,Analysis!$B$125:$B$141,0))</f>
        <v>-98.34</v>
      </c>
      <c r="F160" s="240">
        <f>SUM(D160:E160)</f>
        <v>70.654296301041853</v>
      </c>
      <c r="G160" s="36" t="str">
        <f>IF(ABS(SUM(D160,E160)-F160)&lt;0.001,"OK","ERROR")</f>
        <v>OK</v>
      </c>
    </row>
    <row r="161" spans="2:7" x14ac:dyDescent="0.3">
      <c r="B161" s="85" t="s">
        <v>404</v>
      </c>
      <c r="C161" s="71" t="s">
        <v>403</v>
      </c>
      <c r="D161" s="240">
        <f>INDEX(Analysis!H$175:H$191,MATCH($B$150,Analysis!$B$175:$B$191,0))</f>
        <v>69.612855988436507</v>
      </c>
      <c r="E161" s="240">
        <f>INDEX(Analysis!I$175:I$191,MATCH($B$150,Analysis!$B$175:$B$191,0))</f>
        <v>-63.328000000000003</v>
      </c>
      <c r="F161" s="240">
        <f>SUM(D161:E161)</f>
        <v>6.2848559884365045</v>
      </c>
      <c r="G161" s="36" t="str">
        <f>IF(ABS(SUM(D161,E161)-F161)&lt;0.001,"OK","ERROR")</f>
        <v>OK</v>
      </c>
    </row>
    <row r="162" spans="2:7" ht="15.75" thickBot="1" x14ac:dyDescent="0.35">
      <c r="B162" s="151" t="s">
        <v>405</v>
      </c>
      <c r="C162" s="74" t="s">
        <v>93</v>
      </c>
      <c r="D162" s="266">
        <f>INDEX(Analysis!$H$51:$H$67,MATCH($B$150,Analysis!$B$51:$B$67,0))</f>
        <v>56.25</v>
      </c>
      <c r="E162" s="266" t="s">
        <v>341</v>
      </c>
      <c r="F162" s="266">
        <f>D162</f>
        <v>56.25</v>
      </c>
      <c r="G162" s="37" t="str">
        <f>IF(ABS(SUM(D162,E162)-F162)&lt;0.001,"OK","ERROR")</f>
        <v>OK</v>
      </c>
    </row>
  </sheetData>
  <mergeCells count="4">
    <mergeCell ref="F73:K73"/>
    <mergeCell ref="C4:D4"/>
    <mergeCell ref="C5:D5"/>
    <mergeCell ref="C6:D6"/>
  </mergeCells>
  <conditionalFormatting sqref="M29">
    <cfRule type="cellIs" dxfId="121" priority="41" operator="equal">
      <formula>"Y"</formula>
    </cfRule>
    <cfRule type="cellIs" dxfId="120" priority="42" operator="equal">
      <formula>"N"</formula>
    </cfRule>
  </conditionalFormatting>
  <conditionalFormatting sqref="K29">
    <cfRule type="cellIs" dxfId="119" priority="27" operator="equal">
      <formula>"Y"</formula>
    </cfRule>
    <cfRule type="cellIs" dxfId="118" priority="28" operator="equal">
      <formula>"N"</formula>
    </cfRule>
  </conditionalFormatting>
  <conditionalFormatting sqref="G152:G154 G160:G162 G156:G158">
    <cfRule type="cellIs" dxfId="117" priority="23" operator="equal">
      <formula>"OK"</formula>
    </cfRule>
    <cfRule type="cellIs" dxfId="116" priority="24" operator="equal">
      <formula>"ERROR"</formula>
    </cfRule>
  </conditionalFormatting>
  <conditionalFormatting sqref="F4">
    <cfRule type="cellIs" dxfId="115" priority="5" operator="equal">
      <formula>"OK"</formula>
    </cfRule>
    <cfRule type="cellIs" dxfId="114" priority="6" operator="equal">
      <formula>"ERROR"</formula>
    </cfRule>
  </conditionalFormatting>
  <conditionalFormatting sqref="F5">
    <cfRule type="cellIs" dxfId="113" priority="3" operator="equal">
      <formula>"OK"</formula>
    </cfRule>
    <cfRule type="cellIs" dxfId="112" priority="4" operator="equal">
      <formula>"ERROR"</formula>
    </cfRule>
  </conditionalFormatting>
  <dataValidations count="1">
    <dataValidation type="list" allowBlank="1" showInputMessage="1" showErrorMessage="1" sqref="C9">
      <formula1>"ANH,NES,NWT,SRN,SVE,SWB,TMS,WSH,WSX,YKY,AFW,BRL,HDD,PRT,SES,SEW,SSC"</formula1>
    </dataValidation>
  </dataValidations>
  <pageMargins left="0.25" right="0.25" top="0.75" bottom="0.75" header="0.3" footer="0.3"/>
  <pageSetup paperSize="8" scale="26" orientation="portrait" r:id="rId1"/>
  <ignoredErrors>
    <ignoredError sqref="C53:C64"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4B23D8FA23906246AA4611F84C35399C" ma:contentTypeVersion="54" ma:contentTypeDescription="Create a new document" ma:contentTypeScope="" ma:versionID="cb52fddc5dce00fbbbc486d906d90bc5">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42489de4f69ade3664e54b0f2675459a"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Cost Assessment</TermName>
          <TermId xmlns="http://schemas.microsoft.com/office/infopath/2007/PartnerControls">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4.xml><?xml version="1.0" encoding="utf-8"?>
<?mso-contentType ?>
<SharedContentType xmlns="Microsoft.SharePoint.Taxonomy.ContentTypeSync" SourceId="e0e5cfab-624c-4e44-8ff4-7cd112c8ab77" ContentTypeId="0x010100573134B1BDBFC74F8C2DBF70E4CDEAD4" PreviousValue="false"/>
</file>

<file path=customXml/itemProps1.xml><?xml version="1.0" encoding="utf-8"?>
<ds:datastoreItem xmlns:ds="http://schemas.openxmlformats.org/officeDocument/2006/customXml" ds:itemID="{E2F3F6EF-E6EC-4216-96AA-DBE1FA718359}">
  <ds:schemaRefs>
    <ds:schemaRef ds:uri="http://schemas.microsoft.com/sharepoint/v3/contenttype/forms"/>
  </ds:schemaRefs>
</ds:datastoreItem>
</file>

<file path=customXml/itemProps2.xml><?xml version="1.0" encoding="utf-8"?>
<ds:datastoreItem xmlns:ds="http://schemas.openxmlformats.org/officeDocument/2006/customXml" ds:itemID="{B56D0D8A-FC4D-4CC6-8408-8A109390D5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985DB1-ADE0-411E-B040-A38228CA64C9}">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7041854e-4853-44f9-9e63-23b7acad5461"/>
    <ds:schemaRef ds:uri="http://www.w3.org/XML/1998/namespace"/>
    <ds:schemaRef ds:uri="http://purl.org/dc/dcmitype/"/>
  </ds:schemaRefs>
</ds:datastoreItem>
</file>

<file path=customXml/itemProps4.xml><?xml version="1.0" encoding="utf-8"?>
<ds:datastoreItem xmlns:ds="http://schemas.openxmlformats.org/officeDocument/2006/customXml" ds:itemID="{E63BADA1-612F-4990-82E5-81F6616AD37C}">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23</vt:i4>
      </vt:variant>
    </vt:vector>
  </HeadingPairs>
  <TitlesOfParts>
    <vt:vector size="23" baseType="lpstr">
      <vt:lpstr>Cover</vt:lpstr>
      <vt:lpstr>F_Inputs</vt:lpstr>
      <vt:lpstr>Data</vt:lpstr>
      <vt:lpstr>Data_Override</vt:lpstr>
      <vt:lpstr>Data_Final</vt:lpstr>
      <vt:lpstr>Unit costs</vt:lpstr>
      <vt:lpstr>Leakage assessment</vt:lpstr>
      <vt:lpstr>Analysis</vt:lpstr>
      <vt:lpstr>Deep dive_ANH</vt:lpstr>
      <vt:lpstr>Deep dive_NWT</vt:lpstr>
      <vt:lpstr>Deep dive_SRN</vt:lpstr>
      <vt:lpstr>Deep Dive_SVE</vt:lpstr>
      <vt:lpstr>Deep dive_TMS</vt:lpstr>
      <vt:lpstr>Deep dive_WSH</vt:lpstr>
      <vt:lpstr>Deep dive_WSX</vt:lpstr>
      <vt:lpstr>Deep dive_YKY</vt:lpstr>
      <vt:lpstr>Deep dive_AFW</vt:lpstr>
      <vt:lpstr>Deep dive_BRL</vt:lpstr>
      <vt:lpstr>Deep dive_PRT</vt:lpstr>
      <vt:lpstr>Deep dive_SES</vt:lpstr>
      <vt:lpstr>Deep dive_SEW</vt:lpstr>
      <vt:lpstr>Deep dive_SSC</vt:lpstr>
      <vt:lpstr>Allowance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FM_E_WW_SDB(DD post run 7) draft_V2</dc:title>
  <dc:subject/>
  <dc:creator/>
  <cp:keywords/>
  <dc:description/>
  <cp:lastModifiedBy/>
  <cp:revision>1</cp:revision>
  <dcterms:created xsi:type="dcterms:W3CDTF">2019-01-24T09:10:25Z</dcterms:created>
  <dcterms:modified xsi:type="dcterms:W3CDTF">2019-07-17T10:22:44Z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0x010100573134B1BDBFC74F8C2DBF70E4CDEAD4004B23D8FA23906246AA4611F84C35399C</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1786;#Cost Assessment|c61055bb-c189-45d6-9bf3-4e8f946eb105</vt:lpwstr>
  </property>
  <property fmtid="{D5CDD505-2E9C-101B-9397-08002B2CF9AE}" pid="10" name="Stakeholder 3">
    <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AuthorIds_UIVersion_6656">
    <vt:lpwstr>4700</vt:lpwstr>
  </property>
  <property fmtid="{D5CDD505-2E9C-101B-9397-08002B2CF9AE}" pid="14" name="AuthorIds_UIVersion_46080">
    <vt:lpwstr>4700</vt:lpwstr>
  </property>
  <property fmtid="{D5CDD505-2E9C-101B-9397-08002B2CF9AE}" pid="15" name="AuthorIds_UIVersion_53248">
    <vt:lpwstr>4700</vt:lpwstr>
  </property>
  <property fmtid="{D5CDD505-2E9C-101B-9397-08002B2CF9AE}" pid="16" name="AuthorIds_UIVersion_57856">
    <vt:lpwstr>750</vt:lpwstr>
  </property>
  <property fmtid="{D5CDD505-2E9C-101B-9397-08002B2CF9AE}" pid="17" name="AuthorIds_UIVersion_6144">
    <vt:lpwstr>4700</vt:lpwstr>
  </property>
  <property fmtid="{D5CDD505-2E9C-101B-9397-08002B2CF9AE}" pid="18" name="AuthorIds_UIVersion_16384">
    <vt:lpwstr>4700</vt:lpwstr>
  </property>
  <property fmtid="{D5CDD505-2E9C-101B-9397-08002B2CF9AE}" pid="19" name="AuthorIds_UIVersion_34304">
    <vt:lpwstr>4700</vt:lpwstr>
  </property>
  <property fmtid="{D5CDD505-2E9C-101B-9397-08002B2CF9AE}" pid="20" name="AuthorIds_UIVersion_35840">
    <vt:lpwstr>750</vt:lpwstr>
  </property>
  <property fmtid="{D5CDD505-2E9C-101B-9397-08002B2CF9AE}" pid="21" name="AuthorIds_UIVersion_36352">
    <vt:lpwstr>750</vt:lpwstr>
  </property>
  <property fmtid="{D5CDD505-2E9C-101B-9397-08002B2CF9AE}" pid="22" name="AuthorIds_UIVersion_38912">
    <vt:lpwstr>4700</vt:lpwstr>
  </property>
  <property fmtid="{D5CDD505-2E9C-101B-9397-08002B2CF9AE}" pid="23" name="AuthorIds_UIVersion_40960">
    <vt:lpwstr>750</vt:lpwstr>
  </property>
  <property fmtid="{D5CDD505-2E9C-101B-9397-08002B2CF9AE}" pid="24" name="AuthorIds_UIVersion_44032">
    <vt:lpwstr>4700</vt:lpwstr>
  </property>
  <property fmtid="{D5CDD505-2E9C-101B-9397-08002B2CF9AE}" pid="25" name="AuthorIds_UIVersion_71168">
    <vt:lpwstr>4700</vt:lpwstr>
  </property>
  <property fmtid="{D5CDD505-2E9C-101B-9397-08002B2CF9AE}" pid="26" name="AuthorIds_UIVersion_72704">
    <vt:lpwstr>750</vt:lpwstr>
  </property>
  <property fmtid="{D5CDD505-2E9C-101B-9397-08002B2CF9AE}" pid="27" name="AuthorIds_UIVersion_74752">
    <vt:lpwstr>4700</vt:lpwstr>
  </property>
  <property fmtid="{D5CDD505-2E9C-101B-9397-08002B2CF9AE}" pid="28" name="AuthorIds_UIVersion_75264">
    <vt:lpwstr>750</vt:lpwstr>
  </property>
  <property fmtid="{D5CDD505-2E9C-101B-9397-08002B2CF9AE}" pid="29" name="AuthorIds_UIVersion_77824">
    <vt:lpwstr>4700</vt:lpwstr>
  </property>
  <property fmtid="{D5CDD505-2E9C-101B-9397-08002B2CF9AE}" pid="30" name="AuthorIds_UIVersion_85504">
    <vt:lpwstr>750</vt:lpwstr>
  </property>
  <property fmtid="{D5CDD505-2E9C-101B-9397-08002B2CF9AE}" pid="31" name="AuthorIds_UIVersion_88576">
    <vt:lpwstr>4700</vt:lpwstr>
  </property>
  <property fmtid="{D5CDD505-2E9C-101B-9397-08002B2CF9AE}" pid="32" name="AuthorIds_UIVersion_90112">
    <vt:lpwstr>750</vt:lpwstr>
  </property>
  <property fmtid="{D5CDD505-2E9C-101B-9397-08002B2CF9AE}" pid="33" name="AuthorIds_UIVersion_1024">
    <vt:lpwstr>750</vt:lpwstr>
  </property>
  <property fmtid="{D5CDD505-2E9C-101B-9397-08002B2CF9AE}" pid="34" name="AuthorIds_UIVersion_2560">
    <vt:lpwstr>750</vt:lpwstr>
  </property>
  <property fmtid="{D5CDD505-2E9C-101B-9397-08002B2CF9AE}" pid="35" name="AuthorIds_UIVersion_4096">
    <vt:lpwstr>750</vt:lpwstr>
  </property>
  <property fmtid="{D5CDD505-2E9C-101B-9397-08002B2CF9AE}" pid="36" name="AuthorIds_UIVersion_23040">
    <vt:lpwstr>750</vt:lpwstr>
  </property>
  <property fmtid="{D5CDD505-2E9C-101B-9397-08002B2CF9AE}" pid="37" name="AuthorIds_UIVersion_3072">
    <vt:lpwstr>4700</vt:lpwstr>
  </property>
  <property fmtid="{D5CDD505-2E9C-101B-9397-08002B2CF9AE}" pid="38" name="AuthorIds_UIVersion_10240">
    <vt:lpwstr>4700</vt:lpwstr>
  </property>
  <property fmtid="{D5CDD505-2E9C-101B-9397-08002B2CF9AE}" pid="39" name="AuthorIds_UIVersion_11264">
    <vt:lpwstr>4700</vt:lpwstr>
  </property>
  <property fmtid="{D5CDD505-2E9C-101B-9397-08002B2CF9AE}" pid="40" name="AuthorIds_UIVersion_36864">
    <vt:lpwstr>4700</vt:lpwstr>
  </property>
  <property fmtid="{D5CDD505-2E9C-101B-9397-08002B2CF9AE}" pid="41" name="AuthorIds_UIVersion_39424">
    <vt:lpwstr>4700</vt:lpwstr>
  </property>
  <property fmtid="{D5CDD505-2E9C-101B-9397-08002B2CF9AE}" pid="42" name="AuthorIds_UIVersion_47616">
    <vt:lpwstr>4700</vt:lpwstr>
  </property>
  <property fmtid="{D5CDD505-2E9C-101B-9397-08002B2CF9AE}" pid="43" name="AuthorIds_UIVersion_2048">
    <vt:lpwstr>4700</vt:lpwstr>
  </property>
  <property fmtid="{D5CDD505-2E9C-101B-9397-08002B2CF9AE}" pid="44" name="AuthorIds_UIVersion_3584">
    <vt:lpwstr>750</vt:lpwstr>
  </property>
  <property fmtid="{D5CDD505-2E9C-101B-9397-08002B2CF9AE}" pid="45" name="AuthorIds_UIVersion_12800">
    <vt:lpwstr>750</vt:lpwstr>
  </property>
  <property fmtid="{D5CDD505-2E9C-101B-9397-08002B2CF9AE}" pid="46" name="AuthorIds_UIVersion_13312">
    <vt:lpwstr>750</vt:lpwstr>
  </property>
  <property fmtid="{D5CDD505-2E9C-101B-9397-08002B2CF9AE}" pid="47" name="AuthorIds_UIVersion_14848">
    <vt:lpwstr>750</vt:lpwstr>
  </property>
  <property fmtid="{D5CDD505-2E9C-101B-9397-08002B2CF9AE}" pid="48" name="AuthorIds_UIVersion_33280">
    <vt:lpwstr>750</vt:lpwstr>
  </property>
  <property fmtid="{D5CDD505-2E9C-101B-9397-08002B2CF9AE}" pid="49" name="AuthorIds_UIVersion_33792">
    <vt:lpwstr>750</vt:lpwstr>
  </property>
  <property fmtid="{D5CDD505-2E9C-101B-9397-08002B2CF9AE}" pid="50" name="AuthorIds_UIVersion_49152">
    <vt:lpwstr>750</vt:lpwstr>
  </property>
  <property fmtid="{D5CDD505-2E9C-101B-9397-08002B2CF9AE}" pid="51" name="AuthorIds_UIVersion_50688">
    <vt:lpwstr>750</vt:lpwstr>
  </property>
  <property fmtid="{D5CDD505-2E9C-101B-9397-08002B2CF9AE}" pid="52" name="AuthorIds_UIVersion_61440">
    <vt:lpwstr>4700</vt:lpwstr>
  </property>
  <property fmtid="{D5CDD505-2E9C-101B-9397-08002B2CF9AE}" pid="53" name="AuthorIds_UIVersion_62464">
    <vt:lpwstr>4700</vt:lpwstr>
  </property>
  <property fmtid="{D5CDD505-2E9C-101B-9397-08002B2CF9AE}" pid="54" name="AuthorIds_UIVersion_64512">
    <vt:lpwstr>750</vt:lpwstr>
  </property>
  <property fmtid="{D5CDD505-2E9C-101B-9397-08002B2CF9AE}" pid="55" name="AuthorIds_UIVersion_73728">
    <vt:lpwstr>4700</vt:lpwstr>
  </property>
  <property fmtid="{D5CDD505-2E9C-101B-9397-08002B2CF9AE}" pid="56" name="AuthorIds_UIVersion_103424">
    <vt:lpwstr>4700</vt:lpwstr>
  </property>
  <property fmtid="{D5CDD505-2E9C-101B-9397-08002B2CF9AE}" pid="57" name="Asset">
    <vt:bool>false</vt:bool>
  </property>
</Properties>
</file>