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fpcl01\public\OFWSHARE\PR19 Modelling\Model runs\DD\Model Run 7 Publishable Models\Cost Assessment\Residential Retail\"/>
    </mc:Choice>
  </mc:AlternateContent>
  <bookViews>
    <workbookView xWindow="0" yWindow="0" windowWidth="13680" windowHeight="5985" tabRatio="743"/>
  </bookViews>
  <sheets>
    <sheet name="Cover" sheetId="7" r:id="rId1"/>
    <sheet name="Controls" sheetId="48" r:id="rId2"/>
    <sheet name="Inputs&gt;&gt;" sheetId="15" r:id="rId3"/>
    <sheet name="Coeffs" sheetId="1" r:id="rId4"/>
    <sheet name="Drivers" sheetId="2" r:id="rId5"/>
    <sheet name="Actual costs" sheetId="9" r:id="rId6"/>
    <sheet name="Outputs &gt;&gt;" sheetId="28" r:id="rId7"/>
    <sheet name="Modelled costs" sheetId="11" r:id="rId8"/>
    <sheet name="Catch up efficiency" sheetId="35" r:id="rId9"/>
    <sheet name="Interface" sheetId="49" r:id="rId10"/>
  </sheets>
  <externalReferences>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[3]Aln!#REF!</definedName>
    <definedName name="__net1" localSheetId="1" hidden="1">{"NET",#N/A,FALSE,"401C11"}</definedName>
    <definedName name="__net1" hidden="1">{"NET",#N/A,FALSE,"401C11"}</definedName>
    <definedName name="_1_0__123Grap" hidden="1">'[4]#REF'!#REF!</definedName>
    <definedName name="_1_123Grap" hidden="1">'[5]#REF'!#REF!</definedName>
    <definedName name="_123Graph_F" hidden="1">'[6]Chelmsford '!$G$18:$G$28</definedName>
    <definedName name="_2_0__123Grap" hidden="1">'[5]#REF'!#REF!</definedName>
    <definedName name="_2_123Grap" hidden="1">'[2]#REF'!#REF!</definedName>
    <definedName name="_3_0_S" hidden="1">'[4]#REF'!#REF!</definedName>
    <definedName name="_3_123Grap" hidden="1">'[5]#REF'!#REF!</definedName>
    <definedName name="_34_123Grap" hidden="1">'[5]#REF'!#REF!</definedName>
    <definedName name="_42S" hidden="1">'[5]#REF'!#REF!</definedName>
    <definedName name="_4S" hidden="1">'[5]#REF'!#REF!</definedName>
    <definedName name="_5_0__123Grap" hidden="1">'[5]#REF'!#REF!</definedName>
    <definedName name="_6_0_S" hidden="1">'[5]#REF'!#REF!</definedName>
    <definedName name="_6_123Grap" hidden="1">'[2]#REF'!#REF!</definedName>
    <definedName name="_8_123Grap" hidden="1">'[5]#REF'!#REF!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xlnm._FilterDatabase" localSheetId="4" hidden="1">Drivers!$M$1:$S$92</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dbr" localSheetId="1" hidden="1">{"CHARGE",#N/A,FALSE,"401C11"}</definedName>
    <definedName name="adbr" hidden="1">{"CHARGE",#N/A,FALSE,"401C11"}</definedName>
    <definedName name="b" localSheetId="1" hidden="1">{"CHARGE",#N/A,FALSE,"401C11"}</definedName>
    <definedName name="b" hidden="1">{"CHARGE",#N/A,FALSE,"401C11"}</definedName>
    <definedName name="BMGHIndex" hidden="1">"O"</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da" hidden="1">#REF!</definedName>
    <definedName name="dog" localSheetId="1" hidden="1">{"NET",#N/A,FALSE,"401C11"}</definedName>
    <definedName name="dog" hidden="1">{"NET",#N/A,FALSE,"401C11"}</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output" hidden="1">#REF!</definedName>
    <definedName name="fsdfffd" hidden="1">#REF!</definedName>
    <definedName name="fsdfsd" hidden="1">#REF!</definedName>
    <definedName name="fsfds" hidden="1">#REF!</definedName>
    <definedName name="fsfsd" hidden="1">#REF!</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New" hidden="1">#REF!</definedName>
    <definedName name="OISIII" hidden="1">#REF!</definedName>
    <definedName name="qfx" localSheetId="1" hidden="1">{"NET",#N/A,FALSE,"401C11"}</definedName>
    <definedName name="qfx" hidden="1">{"NET",#N/A,FALSE,"401C11"}</definedName>
    <definedName name="real"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ort" hidden="1">#REF!</definedName>
    <definedName name="Table3.4" localSheetId="1" hidden="1">{"CHARGE",#N/A,FALSE,"401C11"}</definedName>
    <definedName name="Table3.4" hidden="1">{"CHARGE",#N/A,FALSE,"401C11"}</definedName>
    <definedName name="Test23" localSheetId="1" hidden="1">{"NET",#N/A,FALSE,"401C11"}</definedName>
    <definedName name="Test23" hidden="1">{"NET",#N/A,FALSE,"401C11"}</definedName>
    <definedName name="wert" localSheetId="1" hidden="1">{"GROSS",#N/A,FALSE,"401C11"}</definedName>
    <definedName name="wert" hidden="1">{"GROSS",#N/A,FALSE,"401C11"}</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 l="1"/>
  <c r="C92" i="9" l="1"/>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H6" i="2" l="1"/>
  <c r="C11" i="48" l="1"/>
  <c r="C10" i="48"/>
  <c r="C9" i="48"/>
  <c r="G11" i="35" l="1"/>
  <c r="D42" i="35" l="1"/>
  <c r="D35" i="35"/>
  <c r="E31" i="35"/>
  <c r="D36" i="35"/>
  <c r="E37" i="35"/>
  <c r="D41" i="35"/>
  <c r="D44" i="35"/>
  <c r="E38" i="35"/>
  <c r="E39" i="35"/>
  <c r="E35" i="35"/>
  <c r="D38" i="35"/>
  <c r="C35" i="35"/>
  <c r="D33" i="35"/>
  <c r="E33" i="35"/>
  <c r="C28" i="35"/>
  <c r="C42" i="35"/>
  <c r="D40" i="35"/>
  <c r="D32" i="35"/>
  <c r="C31" i="35"/>
  <c r="E42" i="35"/>
  <c r="E32" i="35"/>
  <c r="E36" i="35"/>
  <c r="E29" i="35"/>
  <c r="C29" i="35"/>
  <c r="D43" i="35"/>
  <c r="E34" i="35"/>
  <c r="C34" i="35"/>
  <c r="C41" i="35"/>
  <c r="C44" i="35"/>
  <c r="C36" i="35"/>
  <c r="C30" i="35"/>
  <c r="D30" i="35"/>
  <c r="E44" i="35"/>
  <c r="E28" i="35"/>
  <c r="C38" i="35"/>
  <c r="C43" i="35"/>
  <c r="E43" i="35"/>
  <c r="D28" i="35"/>
  <c r="D34" i="35"/>
  <c r="E41" i="35"/>
  <c r="E30" i="35"/>
  <c r="D39" i="35"/>
  <c r="D31" i="35"/>
  <c r="C37" i="35"/>
  <c r="C39" i="35"/>
  <c r="C32" i="35"/>
  <c r="D29" i="35"/>
  <c r="C33" i="35"/>
  <c r="D37" i="35"/>
  <c r="E40" i="35"/>
  <c r="C40" i="35"/>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5" i="11"/>
  <c r="K5" i="11" s="1"/>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5" i="9"/>
  <c r="B4" i="49" l="1"/>
  <c r="P21" i="35" l="1"/>
  <c r="O21" i="35"/>
  <c r="L21" i="35"/>
  <c r="K21" i="35"/>
  <c r="J21" i="35"/>
  <c r="I21" i="35"/>
  <c r="H21" i="35"/>
  <c r="G21" i="35"/>
  <c r="G96" i="9" l="1"/>
  <c r="F96" i="9"/>
  <c r="E96" i="9"/>
  <c r="C1" i="2" l="1"/>
  <c r="D1" i="11" l="1"/>
  <c r="A91" i="2" l="1"/>
  <c r="A10" i="2"/>
  <c r="A86" i="2"/>
  <c r="A81" i="2"/>
  <c r="A73" i="2"/>
  <c r="A68" i="2"/>
  <c r="A63" i="2"/>
  <c r="A58" i="2"/>
  <c r="A53" i="2"/>
  <c r="A48" i="2"/>
  <c r="A43" i="2"/>
  <c r="A38" i="2"/>
  <c r="A30" i="2"/>
  <c r="A25" i="2"/>
  <c r="A20" i="2"/>
  <c r="A15" i="2"/>
  <c r="A93" i="2"/>
  <c r="A7" i="2" l="1"/>
  <c r="A8" i="2"/>
  <c r="A9" i="2"/>
  <c r="A11" i="2"/>
  <c r="A12" i="2"/>
  <c r="A13" i="2"/>
  <c r="A14" i="2"/>
  <c r="A16" i="2"/>
  <c r="A17" i="2"/>
  <c r="A18" i="2"/>
  <c r="A19" i="2"/>
  <c r="A21" i="2"/>
  <c r="A22" i="2"/>
  <c r="A23" i="2"/>
  <c r="A24" i="2"/>
  <c r="A26" i="2"/>
  <c r="A27" i="2"/>
  <c r="A28" i="2"/>
  <c r="A29" i="2"/>
  <c r="A31" i="2"/>
  <c r="A32" i="2"/>
  <c r="A33" i="2"/>
  <c r="A34" i="2"/>
  <c r="A35" i="2"/>
  <c r="A36" i="2"/>
  <c r="A37" i="2"/>
  <c r="A39" i="2"/>
  <c r="A40" i="2"/>
  <c r="A41" i="2"/>
  <c r="A42" i="2"/>
  <c r="A44" i="2"/>
  <c r="A45" i="2"/>
  <c r="A46" i="2"/>
  <c r="A47" i="2"/>
  <c r="A49" i="2"/>
  <c r="A50" i="2"/>
  <c r="A51" i="2"/>
  <c r="A52" i="2"/>
  <c r="A54" i="2"/>
  <c r="A55" i="2"/>
  <c r="A56" i="2"/>
  <c r="A57" i="2"/>
  <c r="A59" i="2"/>
  <c r="A60" i="2"/>
  <c r="A61" i="2"/>
  <c r="A62" i="2"/>
  <c r="A64" i="2"/>
  <c r="A65" i="2"/>
  <c r="A66" i="2"/>
  <c r="A67" i="2"/>
  <c r="A69" i="2"/>
  <c r="A70" i="2"/>
  <c r="A71" i="2"/>
  <c r="A72" i="2"/>
  <c r="A74" i="2"/>
  <c r="A75" i="2"/>
  <c r="A76" i="2"/>
  <c r="A77" i="2"/>
  <c r="A78" i="2"/>
  <c r="A79" i="2"/>
  <c r="A80" i="2"/>
  <c r="A82" i="2"/>
  <c r="A83" i="2"/>
  <c r="A84" i="2"/>
  <c r="A85" i="2"/>
  <c r="A87" i="2"/>
  <c r="A88" i="2"/>
  <c r="A89" i="2"/>
  <c r="A90" i="2"/>
  <c r="A92" i="2"/>
  <c r="A6" i="2"/>
  <c r="I77" i="2" l="1"/>
  <c r="I6" i="2"/>
  <c r="I10" i="2"/>
  <c r="I88" i="2"/>
  <c r="I84" i="2"/>
  <c r="I73" i="2"/>
  <c r="I69" i="2"/>
  <c r="I74" i="2"/>
  <c r="I60" i="2"/>
  <c r="I56" i="2"/>
  <c r="I48" i="2"/>
  <c r="I44" i="2"/>
  <c r="I36" i="2"/>
  <c r="I30" i="2"/>
  <c r="I26" i="2"/>
  <c r="I22" i="2"/>
  <c r="I18" i="2"/>
  <c r="I91" i="2"/>
  <c r="I83" i="2"/>
  <c r="I63" i="2"/>
  <c r="I59" i="2"/>
  <c r="I55" i="2"/>
  <c r="I51" i="2"/>
  <c r="I35" i="2"/>
  <c r="I33" i="2"/>
  <c r="I25" i="2"/>
  <c r="I21" i="2"/>
  <c r="I17" i="2"/>
  <c r="I13" i="2"/>
  <c r="I7" i="2"/>
  <c r="I87" i="2"/>
  <c r="I79" i="2"/>
  <c r="I8" i="2"/>
  <c r="I86" i="2"/>
  <c r="I82" i="2"/>
  <c r="I78" i="2"/>
  <c r="I71" i="2"/>
  <c r="I76" i="2"/>
  <c r="I58" i="2"/>
  <c r="I54" i="2"/>
  <c r="I50" i="2"/>
  <c r="I46" i="2"/>
  <c r="I38" i="2"/>
  <c r="I34" i="2"/>
  <c r="I32" i="2"/>
  <c r="I28" i="2"/>
  <c r="I20" i="2"/>
  <c r="I16" i="2"/>
  <c r="I12" i="2"/>
  <c r="I89" i="2"/>
  <c r="I81" i="2"/>
  <c r="I70" i="2"/>
  <c r="I75" i="2"/>
  <c r="I61" i="2"/>
  <c r="I53" i="2"/>
  <c r="I49" i="2"/>
  <c r="I45" i="2"/>
  <c r="I93" i="2"/>
  <c r="I31" i="2"/>
  <c r="I27" i="2"/>
  <c r="I23" i="2"/>
  <c r="I15" i="2"/>
  <c r="I11" i="2"/>
  <c r="I41" i="2" l="1"/>
  <c r="I57" i="2"/>
  <c r="I62" i="2"/>
  <c r="I29" i="2"/>
  <c r="I43" i="2"/>
  <c r="I72" i="2"/>
  <c r="I92" i="2"/>
  <c r="I80" i="2"/>
  <c r="I47" i="2"/>
  <c r="I52" i="2"/>
  <c r="I65" i="2"/>
  <c r="I67" i="2"/>
  <c r="I64" i="2"/>
  <c r="I40" i="2"/>
  <c r="I85" i="2"/>
  <c r="I19" i="2"/>
  <c r="I24" i="2"/>
  <c r="I37" i="2"/>
  <c r="I66" i="2"/>
  <c r="I42" i="2"/>
  <c r="I90" i="2"/>
  <c r="I39" i="2"/>
  <c r="I68" i="2"/>
  <c r="I14" i="2"/>
  <c r="I9" i="2"/>
  <c r="H31" i="2" l="1"/>
  <c r="J32" i="2"/>
  <c r="H74" i="2"/>
  <c r="J93" i="2"/>
  <c r="J31" i="2"/>
  <c r="H33" i="2"/>
  <c r="J76" i="2"/>
  <c r="H76" i="2"/>
  <c r="H32" i="2"/>
  <c r="J75" i="2"/>
  <c r="J33" i="2"/>
  <c r="H75" i="2"/>
  <c r="J74" i="2"/>
  <c r="J27" i="2" l="1"/>
  <c r="J66" i="2"/>
  <c r="H67" i="2"/>
  <c r="H64" i="2"/>
  <c r="J49" i="2"/>
  <c r="H35" i="2"/>
  <c r="H90" i="2"/>
  <c r="J23" i="2"/>
  <c r="J40" i="2"/>
  <c r="J60" i="2"/>
  <c r="J79" i="2"/>
  <c r="H22" i="2"/>
  <c r="H41" i="2"/>
  <c r="H61" i="2"/>
  <c r="H80" i="2"/>
  <c r="J19" i="2"/>
  <c r="J36" i="2"/>
  <c r="J56" i="2"/>
  <c r="J72" i="2"/>
  <c r="H18" i="2"/>
  <c r="H37" i="2"/>
  <c r="H57" i="2"/>
  <c r="H82" i="2"/>
  <c r="J59" i="2"/>
  <c r="H40" i="2"/>
  <c r="H14" i="2"/>
  <c r="J26" i="2"/>
  <c r="J42" i="2"/>
  <c r="J62" i="2"/>
  <c r="J82" i="2"/>
  <c r="H24" i="2"/>
  <c r="H44" i="2"/>
  <c r="H83" i="2"/>
  <c r="J17" i="2"/>
  <c r="J54" i="2"/>
  <c r="H84" i="2"/>
  <c r="H50" i="2"/>
  <c r="J8" i="2"/>
  <c r="J28" i="2"/>
  <c r="J45" i="2"/>
  <c r="J84" i="2"/>
  <c r="H27" i="2"/>
  <c r="H46" i="2"/>
  <c r="H85" i="2"/>
  <c r="J24" i="2"/>
  <c r="J41" i="2"/>
  <c r="J61" i="2"/>
  <c r="J80" i="2"/>
  <c r="H23" i="2"/>
  <c r="H42" i="2"/>
  <c r="H62" i="2"/>
  <c r="H87" i="2"/>
  <c r="J70" i="2"/>
  <c r="H55" i="2"/>
  <c r="J11" i="2"/>
  <c r="J47" i="2"/>
  <c r="J64" i="2"/>
  <c r="J87" i="2"/>
  <c r="H29" i="2"/>
  <c r="H49" i="2"/>
  <c r="H65" i="2"/>
  <c r="H88" i="2"/>
  <c r="J22" i="2"/>
  <c r="J65" i="2"/>
  <c r="H45" i="2"/>
  <c r="H13" i="2"/>
  <c r="J12" i="2"/>
  <c r="J83" i="2"/>
  <c r="J29" i="2"/>
  <c r="J85" i="2"/>
  <c r="H28" i="2"/>
  <c r="H47" i="2"/>
  <c r="H69" i="2"/>
  <c r="H11" i="2"/>
  <c r="J88" i="2"/>
  <c r="H66" i="2"/>
  <c r="J16" i="2"/>
  <c r="J52" i="2"/>
  <c r="J69" i="2"/>
  <c r="J6" i="2"/>
  <c r="H34" i="2"/>
  <c r="H54" i="2"/>
  <c r="H70" i="2"/>
  <c r="H12" i="2"/>
  <c r="J78" i="2"/>
  <c r="H60" i="2"/>
  <c r="J13" i="2"/>
  <c r="J50" i="2"/>
  <c r="J89" i="2"/>
  <c r="H51" i="2"/>
  <c r="J9" i="2"/>
  <c r="J46" i="2"/>
  <c r="J34" i="2"/>
  <c r="H21" i="2"/>
  <c r="H79" i="2"/>
  <c r="J18" i="2"/>
  <c r="J35" i="2"/>
  <c r="J55" i="2"/>
  <c r="J71" i="2"/>
  <c r="H17" i="2"/>
  <c r="H36" i="2"/>
  <c r="H56" i="2"/>
  <c r="H72" i="2"/>
  <c r="J14" i="2"/>
  <c r="J92" i="2"/>
  <c r="J51" i="2"/>
  <c r="J67" i="2"/>
  <c r="J90" i="2"/>
  <c r="H52" i="2"/>
  <c r="H77" i="2"/>
  <c r="J39" i="2"/>
  <c r="H26" i="2"/>
  <c r="H89" i="2"/>
  <c r="J21" i="2"/>
  <c r="J37" i="2"/>
  <c r="J57" i="2"/>
  <c r="J77" i="2"/>
  <c r="H19" i="2"/>
  <c r="H39" i="2"/>
  <c r="H59" i="2"/>
  <c r="H78" i="2"/>
  <c r="J7" i="2"/>
  <c r="J44" i="2"/>
  <c r="H16" i="2"/>
  <c r="H71" i="2"/>
  <c r="J48" i="2"/>
  <c r="J20" i="2"/>
  <c r="J53" i="2"/>
  <c r="J10" i="2"/>
  <c r="J73" i="2"/>
  <c r="J86" i="2"/>
  <c r="J91" i="2"/>
  <c r="J43" i="2"/>
  <c r="J68" i="2"/>
  <c r="J15" i="2"/>
  <c r="J25" i="2"/>
  <c r="J63" i="2"/>
  <c r="J38" i="2"/>
  <c r="J30" i="2"/>
  <c r="J81" i="2"/>
  <c r="J58" i="2"/>
  <c r="H58" i="2" l="1"/>
  <c r="H9" i="2"/>
  <c r="H48" i="2"/>
  <c r="H30" i="2"/>
  <c r="H7" i="2"/>
  <c r="H91" i="2"/>
  <c r="H63" i="2"/>
  <c r="H68" i="2"/>
  <c r="H86" i="2"/>
  <c r="H43" i="2"/>
  <c r="H73" i="2"/>
  <c r="H20" i="2"/>
  <c r="H38" i="2"/>
  <c r="H53" i="2"/>
  <c r="H81" i="2"/>
  <c r="H25" i="2"/>
  <c r="H8" i="2"/>
  <c r="H15" i="2"/>
  <c r="H10" i="2" l="1"/>
  <c r="D68" i="2" l="1"/>
  <c r="D58" i="2"/>
  <c r="D63" i="2"/>
  <c r="D91" i="2"/>
  <c r="D73" i="2"/>
  <c r="D86" i="2"/>
  <c r="D81" i="2"/>
  <c r="D43" i="2" l="1"/>
  <c r="D30" i="2"/>
  <c r="D25" i="2"/>
  <c r="D15" i="2"/>
  <c r="E10" i="2"/>
  <c r="D53" i="2"/>
  <c r="E43" i="2"/>
  <c r="E86" i="2"/>
  <c r="E81" i="2"/>
  <c r="E20" i="2"/>
  <c r="D93" i="2"/>
  <c r="D20" i="2"/>
  <c r="D19" i="11" s="1"/>
  <c r="D48" i="2"/>
  <c r="D38" i="2"/>
  <c r="D42" i="11" l="1"/>
  <c r="D85" i="11"/>
  <c r="D80" i="11"/>
  <c r="E93" i="2"/>
  <c r="D92" i="11" s="1"/>
  <c r="E15" i="2"/>
  <c r="F53" i="2"/>
  <c r="K52" i="11"/>
  <c r="K80" i="11"/>
  <c r="F81" i="2"/>
  <c r="E80" i="11" s="1"/>
  <c r="F30" i="2"/>
  <c r="K29" i="11"/>
  <c r="K72" i="11"/>
  <c r="F73" i="2"/>
  <c r="K85" i="11"/>
  <c r="F86" i="2"/>
  <c r="E85" i="11" s="1"/>
  <c r="N85" i="11" s="1"/>
  <c r="E25" i="2"/>
  <c r="D24" i="11" s="1"/>
  <c r="E58" i="2"/>
  <c r="K90" i="11"/>
  <c r="F91" i="2"/>
  <c r="K92" i="11"/>
  <c r="F93" i="2"/>
  <c r="F15" i="2"/>
  <c r="K14" i="11"/>
  <c r="K42" i="11"/>
  <c r="M42" i="11" s="1"/>
  <c r="F43" i="2"/>
  <c r="E42" i="11" s="1"/>
  <c r="F25" i="2"/>
  <c r="K24" i="11"/>
  <c r="D10" i="2"/>
  <c r="D9" i="11" s="1"/>
  <c r="E68" i="2"/>
  <c r="E38" i="2"/>
  <c r="E48" i="2"/>
  <c r="F68" i="2"/>
  <c r="K67" i="11"/>
  <c r="F58" i="2"/>
  <c r="K57" i="11"/>
  <c r="F38" i="2"/>
  <c r="K37" i="11"/>
  <c r="E53" i="2"/>
  <c r="E91" i="2"/>
  <c r="E30" i="2"/>
  <c r="D29" i="11" s="1"/>
  <c r="E63" i="2"/>
  <c r="E73" i="2"/>
  <c r="F20" i="2"/>
  <c r="E19" i="11" s="1"/>
  <c r="K19" i="11"/>
  <c r="M19" i="11" s="1"/>
  <c r="K9" i="11"/>
  <c r="F10" i="2"/>
  <c r="K47" i="11"/>
  <c r="F48" i="2"/>
  <c r="F63" i="2"/>
  <c r="K62" i="11"/>
  <c r="E92" i="11" l="1"/>
  <c r="N92" i="11" s="1"/>
  <c r="N19" i="11"/>
  <c r="E37" i="11"/>
  <c r="N37" i="11" s="1"/>
  <c r="M92" i="11"/>
  <c r="M24" i="11"/>
  <c r="M29" i="11"/>
  <c r="D72" i="11"/>
  <c r="M72" i="11" s="1"/>
  <c r="D52" i="11"/>
  <c r="M52" i="11" s="1"/>
  <c r="M80" i="11"/>
  <c r="D62" i="11"/>
  <c r="M62" i="11" s="1"/>
  <c r="D67" i="11"/>
  <c r="M67" i="11" s="1"/>
  <c r="N42" i="11"/>
  <c r="D57" i="11"/>
  <c r="M57" i="11" s="1"/>
  <c r="N80" i="11"/>
  <c r="M85" i="11"/>
  <c r="D90" i="11"/>
  <c r="M90" i="11" s="1"/>
  <c r="E47" i="11"/>
  <c r="N47" i="11" s="1"/>
  <c r="M9" i="11"/>
  <c r="D37" i="11"/>
  <c r="M37" i="11" s="1"/>
  <c r="D14" i="11"/>
  <c r="M14" i="11" s="1"/>
  <c r="D47" i="11"/>
  <c r="M47" i="11" s="1"/>
  <c r="E52" i="11"/>
  <c r="N52" i="11" s="1"/>
  <c r="E24" i="11"/>
  <c r="N24" i="11" s="1"/>
  <c r="E14" i="11"/>
  <c r="N14" i="11" s="1"/>
  <c r="E62" i="11"/>
  <c r="N62" i="11" s="1"/>
  <c r="E90" i="11"/>
  <c r="N90" i="11" s="1"/>
  <c r="E67" i="11"/>
  <c r="N67" i="11" s="1"/>
  <c r="E57" i="11"/>
  <c r="N57" i="11" s="1"/>
  <c r="E29" i="11"/>
  <c r="N29" i="11" s="1"/>
  <c r="E72" i="11"/>
  <c r="N72" i="11" s="1"/>
  <c r="E9" i="11"/>
  <c r="N9" i="11" s="1"/>
  <c r="F95" i="9" l="1"/>
  <c r="F97" i="9"/>
  <c r="D56" i="2"/>
  <c r="D89" i="2"/>
  <c r="D72" i="2"/>
  <c r="D57" i="2"/>
  <c r="D79" i="2"/>
  <c r="D80" i="2"/>
  <c r="D71" i="2"/>
  <c r="D66" i="2"/>
  <c r="D85" i="2"/>
  <c r="D33" i="2"/>
  <c r="K32" i="11" l="1"/>
  <c r="F33" i="2"/>
  <c r="D52" i="2"/>
  <c r="D29" i="2"/>
  <c r="D23" i="2"/>
  <c r="D47" i="2"/>
  <c r="D13" i="2"/>
  <c r="D14" i="2"/>
  <c r="D37" i="2"/>
  <c r="F76" i="2"/>
  <c r="K75" i="11"/>
  <c r="D18" i="2"/>
  <c r="D19" i="2"/>
  <c r="D24" i="2"/>
  <c r="D8" i="2"/>
  <c r="D51" i="2"/>
  <c r="D36" i="2"/>
  <c r="D28" i="2"/>
  <c r="D67" i="2"/>
  <c r="D76" i="2"/>
  <c r="D90" i="2"/>
  <c r="D84" i="2"/>
  <c r="D61" i="2"/>
  <c r="D62" i="2"/>
  <c r="D31" i="2"/>
  <c r="D77" i="2"/>
  <c r="D59" i="2"/>
  <c r="E76" i="2"/>
  <c r="D70" i="2"/>
  <c r="D87" i="2"/>
  <c r="E33" i="2"/>
  <c r="D32" i="11" s="1"/>
  <c r="D65" i="2"/>
  <c r="D78" i="2"/>
  <c r="D75" i="2"/>
  <c r="M32" i="11" l="1"/>
  <c r="D75" i="11"/>
  <c r="M75" i="11" s="1"/>
  <c r="F32" i="2"/>
  <c r="K31" i="11"/>
  <c r="E13" i="2"/>
  <c r="D12" i="11" s="1"/>
  <c r="E90" i="2"/>
  <c r="E19" i="2"/>
  <c r="D18" i="11" s="1"/>
  <c r="E47" i="2"/>
  <c r="D27" i="2"/>
  <c r="E79" i="2"/>
  <c r="D40" i="2"/>
  <c r="E36" i="2"/>
  <c r="E46" i="2"/>
  <c r="D46" i="2"/>
  <c r="D9" i="2"/>
  <c r="F57" i="2"/>
  <c r="K56" i="11"/>
  <c r="F41" i="2"/>
  <c r="K40" i="11"/>
  <c r="F61" i="2"/>
  <c r="K60" i="11"/>
  <c r="K12" i="11"/>
  <c r="F13" i="2"/>
  <c r="F14" i="2"/>
  <c r="K13" i="11"/>
  <c r="K35" i="11"/>
  <c r="F36" i="2"/>
  <c r="F29" i="2"/>
  <c r="K28" i="11"/>
  <c r="D6" i="2"/>
  <c r="F31" i="2"/>
  <c r="K30" i="11"/>
  <c r="D22" i="2"/>
  <c r="E41" i="2"/>
  <c r="E62" i="2"/>
  <c r="E84" i="2"/>
  <c r="D83" i="11" s="1"/>
  <c r="E23" i="2"/>
  <c r="E52" i="2"/>
  <c r="E18" i="2"/>
  <c r="D44" i="2"/>
  <c r="D26" i="2"/>
  <c r="F74" i="2"/>
  <c r="K73" i="11"/>
  <c r="K61" i="11"/>
  <c r="F62" i="2"/>
  <c r="K70" i="11"/>
  <c r="F71" i="2"/>
  <c r="F28" i="2"/>
  <c r="K27" i="11"/>
  <c r="K50" i="11"/>
  <c r="F51" i="2"/>
  <c r="F56" i="2"/>
  <c r="K55" i="11"/>
  <c r="K23" i="11"/>
  <c r="F24" i="2"/>
  <c r="F72" i="2"/>
  <c r="K71" i="11"/>
  <c r="K78" i="11"/>
  <c r="F79" i="2"/>
  <c r="K66" i="11"/>
  <c r="F67" i="2"/>
  <c r="K51" i="11"/>
  <c r="F52" i="2"/>
  <c r="F8" i="2"/>
  <c r="K7" i="11"/>
  <c r="F9" i="2"/>
  <c r="K8" i="11"/>
  <c r="D45" i="2"/>
  <c r="E80" i="2"/>
  <c r="E28" i="2"/>
  <c r="D27" i="11" s="1"/>
  <c r="M27" i="11" s="1"/>
  <c r="E56" i="2"/>
  <c r="E72" i="2"/>
  <c r="E85" i="2"/>
  <c r="D11" i="2"/>
  <c r="D34" i="2"/>
  <c r="E57" i="2"/>
  <c r="E66" i="2"/>
  <c r="E42" i="2"/>
  <c r="D12" i="2"/>
  <c r="D49" i="2"/>
  <c r="D41" i="2"/>
  <c r="F90" i="2"/>
  <c r="E89" i="11" s="1"/>
  <c r="K89" i="11"/>
  <c r="F42" i="2"/>
  <c r="K41" i="11"/>
  <c r="F85" i="2"/>
  <c r="K84" i="11"/>
  <c r="F18" i="2"/>
  <c r="K17" i="11"/>
  <c r="K79" i="11"/>
  <c r="F80" i="2"/>
  <c r="K74" i="11"/>
  <c r="F75" i="2"/>
  <c r="E71" i="2"/>
  <c r="E89" i="2"/>
  <c r="D16" i="2"/>
  <c r="E24" i="2"/>
  <c r="E37" i="2"/>
  <c r="D36" i="11" s="1"/>
  <c r="E14" i="2"/>
  <c r="D13" i="11" s="1"/>
  <c r="M13" i="11" s="1"/>
  <c r="E51" i="2"/>
  <c r="E67" i="2"/>
  <c r="D66" i="11" s="1"/>
  <c r="E9" i="2"/>
  <c r="E29" i="2"/>
  <c r="E61" i="2"/>
  <c r="E8" i="2"/>
  <c r="D7" i="11" s="1"/>
  <c r="M7" i="11" s="1"/>
  <c r="D42" i="2"/>
  <c r="D41" i="11" s="1"/>
  <c r="E75" i="11"/>
  <c r="N75" i="11" s="1"/>
  <c r="K45" i="11"/>
  <c r="F46" i="2"/>
  <c r="K88" i="11"/>
  <c r="F89" i="2"/>
  <c r="F19" i="2"/>
  <c r="K18" i="11"/>
  <c r="E32" i="11"/>
  <c r="N32" i="11" s="1"/>
  <c r="F84" i="2"/>
  <c r="K83" i="11"/>
  <c r="K36" i="11"/>
  <c r="F37" i="2"/>
  <c r="F47" i="2"/>
  <c r="K46" i="11"/>
  <c r="K65" i="11"/>
  <c r="F66" i="2"/>
  <c r="F23" i="2"/>
  <c r="K22" i="11"/>
  <c r="D64" i="2"/>
  <c r="D32" i="2"/>
  <c r="D83" i="2"/>
  <c r="D60" i="2"/>
  <c r="D82" i="2"/>
  <c r="D69" i="2"/>
  <c r="D88" i="2"/>
  <c r="E75" i="2"/>
  <c r="D74" i="11" s="1"/>
  <c r="M74" i="11" s="1"/>
  <c r="D74" i="2"/>
  <c r="E32" i="2"/>
  <c r="E31" i="2"/>
  <c r="E74" i="2"/>
  <c r="M41" i="11" l="1"/>
  <c r="D40" i="11"/>
  <c r="E18" i="11"/>
  <c r="N18" i="11"/>
  <c r="M12" i="11"/>
  <c r="M40" i="11"/>
  <c r="M83" i="11"/>
  <c r="N89" i="11"/>
  <c r="M66" i="11"/>
  <c r="D56" i="11"/>
  <c r="M56" i="11" s="1"/>
  <c r="D71" i="11"/>
  <c r="M71" i="11" s="1"/>
  <c r="M18" i="11"/>
  <c r="M36" i="11"/>
  <c r="E46" i="11"/>
  <c r="N46" i="11" s="1"/>
  <c r="D88" i="11"/>
  <c r="M88" i="11" s="1"/>
  <c r="D55" i="11"/>
  <c r="M55" i="11" s="1"/>
  <c r="D8" i="11"/>
  <c r="M8" i="11" s="1"/>
  <c r="D50" i="11"/>
  <c r="M50" i="11" s="1"/>
  <c r="D30" i="11"/>
  <c r="M30" i="11" s="1"/>
  <c r="D35" i="11"/>
  <c r="M35" i="11" s="1"/>
  <c r="D17" i="11"/>
  <c r="M17" i="11" s="1"/>
  <c r="D31" i="11"/>
  <c r="M31" i="11" s="1"/>
  <c r="D70" i="11"/>
  <c r="M70" i="11" s="1"/>
  <c r="D45" i="11"/>
  <c r="M45" i="11" s="1"/>
  <c r="D78" i="11"/>
  <c r="M78" i="11" s="1"/>
  <c r="D51" i="11"/>
  <c r="M51" i="11" s="1"/>
  <c r="D61" i="11"/>
  <c r="M61" i="11" s="1"/>
  <c r="D73" i="11"/>
  <c r="M73" i="11" s="1"/>
  <c r="D65" i="11"/>
  <c r="M65" i="11" s="1"/>
  <c r="D84" i="11"/>
  <c r="M84" i="11" s="1"/>
  <c r="D79" i="11"/>
  <c r="M79" i="11" s="1"/>
  <c r="D23" i="11"/>
  <c r="M23" i="11" s="1"/>
  <c r="D46" i="11"/>
  <c r="M46" i="11" s="1"/>
  <c r="D28" i="11"/>
  <c r="M28" i="11" s="1"/>
  <c r="D60" i="11"/>
  <c r="M60" i="11" s="1"/>
  <c r="D22" i="11"/>
  <c r="M22" i="11" s="1"/>
  <c r="D89" i="11"/>
  <c r="M89" i="11" s="1"/>
  <c r="E12" i="11"/>
  <c r="N12" i="11" s="1"/>
  <c r="E83" i="11"/>
  <c r="N83" i="11" s="1"/>
  <c r="E27" i="11"/>
  <c r="N27" i="11" s="1"/>
  <c r="E60" i="11"/>
  <c r="N60" i="11" s="1"/>
  <c r="E17" i="11"/>
  <c r="N17" i="11" s="1"/>
  <c r="E35" i="11"/>
  <c r="N35" i="11" s="1"/>
  <c r="E50" i="11"/>
  <c r="N50" i="11" s="1"/>
  <c r="E51" i="11"/>
  <c r="N51" i="11" s="1"/>
  <c r="E23" i="11"/>
  <c r="N23" i="11" s="1"/>
  <c r="E78" i="2"/>
  <c r="E60" i="2"/>
  <c r="D59" i="11" s="1"/>
  <c r="E40" i="11"/>
  <c r="N40" i="11" s="1"/>
  <c r="E30" i="11"/>
  <c r="N30" i="11" s="1"/>
  <c r="E66" i="11"/>
  <c r="N66" i="11" s="1"/>
  <c r="E8" i="11"/>
  <c r="N8" i="11" s="1"/>
  <c r="K68" i="11"/>
  <c r="F69" i="2"/>
  <c r="E78" i="11"/>
  <c r="N78" i="11" s="1"/>
  <c r="E65" i="2"/>
  <c r="E49" i="2"/>
  <c r="E12" i="2"/>
  <c r="E40" i="2"/>
  <c r="E6" i="2"/>
  <c r="D5" i="11" s="1"/>
  <c r="M5" i="11" s="1"/>
  <c r="E39" i="2"/>
  <c r="E92" i="2"/>
  <c r="E70" i="2"/>
  <c r="E17" i="2"/>
  <c r="E73" i="11"/>
  <c r="N73" i="11" s="1"/>
  <c r="E44" i="2"/>
  <c r="E35" i="2"/>
  <c r="E34" i="2"/>
  <c r="D33" i="11" s="1"/>
  <c r="E87" i="2"/>
  <c r="E83" i="2"/>
  <c r="D82" i="11" s="1"/>
  <c r="D35" i="2"/>
  <c r="D17" i="2"/>
  <c r="D16" i="11" s="1"/>
  <c r="D39" i="2"/>
  <c r="D38" i="11" s="1"/>
  <c r="E41" i="11"/>
  <c r="N41" i="11" s="1"/>
  <c r="E88" i="11"/>
  <c r="N88" i="11" s="1"/>
  <c r="F77" i="2"/>
  <c r="K76" i="11"/>
  <c r="K34" i="11"/>
  <c r="F35" i="2"/>
  <c r="K26" i="11"/>
  <c r="F27" i="2"/>
  <c r="F12" i="2"/>
  <c r="K11" i="11"/>
  <c r="E28" i="11"/>
  <c r="N28" i="11" s="1"/>
  <c r="E56" i="11"/>
  <c r="N56" i="11" s="1"/>
  <c r="E84" i="11"/>
  <c r="N84" i="11" s="1"/>
  <c r="E55" i="11"/>
  <c r="N55" i="11" s="1"/>
  <c r="E79" i="11"/>
  <c r="N79" i="11" s="1"/>
  <c r="F59" i="2"/>
  <c r="K58" i="11"/>
  <c r="K20" i="11"/>
  <c r="F21" i="2"/>
  <c r="E7" i="11"/>
  <c r="N7" i="11" s="1"/>
  <c r="K91" i="11"/>
  <c r="F92" i="2"/>
  <c r="E61" i="11"/>
  <c r="N61" i="11" s="1"/>
  <c r="K44" i="11"/>
  <c r="F45" i="2"/>
  <c r="K77" i="11"/>
  <c r="F78" i="2"/>
  <c r="F11" i="2"/>
  <c r="K10" i="11"/>
  <c r="F6" i="2"/>
  <c r="E22" i="11"/>
  <c r="N22" i="11" s="1"/>
  <c r="K48" i="11"/>
  <c r="F49" i="2"/>
  <c r="K64" i="11"/>
  <c r="F65" i="2"/>
  <c r="F22" i="2"/>
  <c r="K21" i="11"/>
  <c r="E27" i="2"/>
  <c r="D26" i="11" s="1"/>
  <c r="E21" i="2"/>
  <c r="E77" i="2"/>
  <c r="E74" i="11"/>
  <c r="N74" i="11" s="1"/>
  <c r="E64" i="2"/>
  <c r="E59" i="2"/>
  <c r="D21" i="2"/>
  <c r="E26" i="2"/>
  <c r="D50" i="2"/>
  <c r="D7" i="2"/>
  <c r="E45" i="11"/>
  <c r="N45" i="11" s="1"/>
  <c r="E7" i="2"/>
  <c r="E69" i="2"/>
  <c r="E82" i="2"/>
  <c r="D81" i="11" s="1"/>
  <c r="E11" i="2"/>
  <c r="D10" i="11" s="1"/>
  <c r="E45" i="2"/>
  <c r="E16" i="2"/>
  <c r="D15" i="11" s="1"/>
  <c r="E22" i="2"/>
  <c r="E50" i="2"/>
  <c r="E31" i="11"/>
  <c r="N31" i="11" s="1"/>
  <c r="F70" i="2"/>
  <c r="K69" i="11"/>
  <c r="E13" i="11"/>
  <c r="N13" i="11" s="1"/>
  <c r="E70" i="11"/>
  <c r="N70" i="11" s="1"/>
  <c r="K81" i="11"/>
  <c r="F82" i="2"/>
  <c r="F26" i="2"/>
  <c r="K25" i="11"/>
  <c r="E65" i="11"/>
  <c r="N65" i="11" s="1"/>
  <c r="E71" i="11"/>
  <c r="N71" i="11" s="1"/>
  <c r="K38" i="11"/>
  <c r="F39" i="2"/>
  <c r="K33" i="11"/>
  <c r="F34" i="2"/>
  <c r="K49" i="11"/>
  <c r="F50" i="2"/>
  <c r="F16" i="2"/>
  <c r="K15" i="11"/>
  <c r="E36" i="11"/>
  <c r="N36" i="11" s="1"/>
  <c r="K82" i="11"/>
  <c r="F83" i="2"/>
  <c r="F40" i="2"/>
  <c r="K39" i="11"/>
  <c r="K86" i="11"/>
  <c r="F87" i="2"/>
  <c r="F7" i="2"/>
  <c r="K6" i="11"/>
  <c r="K63" i="11"/>
  <c r="F64" i="2"/>
  <c r="K43" i="11"/>
  <c r="F44" i="2"/>
  <c r="K59" i="11"/>
  <c r="F60" i="2"/>
  <c r="F17" i="2"/>
  <c r="K16" i="11"/>
  <c r="D55" i="2"/>
  <c r="D54" i="2"/>
  <c r="M82" i="11" l="1"/>
  <c r="D20" i="11"/>
  <c r="E43" i="11"/>
  <c r="N43" i="11" s="1"/>
  <c r="M10" i="11"/>
  <c r="M59" i="11"/>
  <c r="M33" i="11"/>
  <c r="M15" i="11"/>
  <c r="D49" i="11"/>
  <c r="M49" i="11" s="1"/>
  <c r="M26" i="11"/>
  <c r="D77" i="11"/>
  <c r="M77" i="11" s="1"/>
  <c r="M81" i="11"/>
  <c r="D25" i="11"/>
  <c r="M25" i="11" s="1"/>
  <c r="M38" i="11"/>
  <c r="D86" i="11"/>
  <c r="M86" i="11" s="1"/>
  <c r="D44" i="11"/>
  <c r="M44" i="11" s="1"/>
  <c r="D11" i="11"/>
  <c r="M11" i="11" s="1"/>
  <c r="F29" i="35" s="1"/>
  <c r="D34" i="11"/>
  <c r="M34" i="11" s="1"/>
  <c r="D69" i="11"/>
  <c r="M69" i="11" s="1"/>
  <c r="M20" i="11"/>
  <c r="D76" i="11"/>
  <c r="M76" i="11" s="1"/>
  <c r="E39" i="11"/>
  <c r="N39" i="11" s="1"/>
  <c r="D6" i="11"/>
  <c r="M6" i="11" s="1"/>
  <c r="F28" i="35" s="1"/>
  <c r="D58" i="11"/>
  <c r="M58" i="11" s="1"/>
  <c r="F39" i="35" s="1"/>
  <c r="M16" i="11"/>
  <c r="D64" i="11"/>
  <c r="M64" i="11" s="1"/>
  <c r="D21" i="11"/>
  <c r="M21" i="11" s="1"/>
  <c r="D63" i="11"/>
  <c r="M63" i="11" s="1"/>
  <c r="D68" i="11"/>
  <c r="M68" i="11" s="1"/>
  <c r="D48" i="11"/>
  <c r="M48" i="11" s="1"/>
  <c r="D39" i="11"/>
  <c r="M39" i="11" s="1"/>
  <c r="D43" i="11"/>
  <c r="M43" i="11" s="1"/>
  <c r="F36" i="35" s="1"/>
  <c r="E11" i="11"/>
  <c r="N11" i="11" s="1"/>
  <c r="E26" i="11"/>
  <c r="N26" i="11" s="1"/>
  <c r="E48" i="11"/>
  <c r="N48" i="11" s="1"/>
  <c r="E25" i="11"/>
  <c r="N25" i="11" s="1"/>
  <c r="E5" i="11"/>
  <c r="N5" i="11" s="1"/>
  <c r="E33" i="11"/>
  <c r="N33" i="11" s="1"/>
  <c r="E59" i="11"/>
  <c r="N59" i="11" s="1"/>
  <c r="E82" i="11"/>
  <c r="N82" i="11" s="1"/>
  <c r="E15" i="11"/>
  <c r="N15" i="11" s="1"/>
  <c r="E6" i="11"/>
  <c r="N6" i="11" s="1"/>
  <c r="E20" i="11"/>
  <c r="N20" i="11" s="1"/>
  <c r="F55" i="2"/>
  <c r="K54" i="11"/>
  <c r="E16" i="11"/>
  <c r="N16" i="11" s="1"/>
  <c r="E63" i="11"/>
  <c r="N63" i="11" s="1"/>
  <c r="G97" i="9"/>
  <c r="G95" i="9"/>
  <c r="E44" i="11"/>
  <c r="N44" i="11" s="1"/>
  <c r="E86" i="11"/>
  <c r="N86" i="11" s="1"/>
  <c r="E69" i="11"/>
  <c r="N69" i="11" s="1"/>
  <c r="E10" i="11"/>
  <c r="N10" i="11" s="1"/>
  <c r="E49" i="11"/>
  <c r="N49" i="11" s="1"/>
  <c r="E58" i="11"/>
  <c r="N58" i="11" s="1"/>
  <c r="E38" i="11"/>
  <c r="N38" i="11" s="1"/>
  <c r="E34" i="11"/>
  <c r="N34" i="11" s="1"/>
  <c r="K87" i="11"/>
  <c r="F88" i="2"/>
  <c r="E64" i="11"/>
  <c r="N64" i="11" s="1"/>
  <c r="E88" i="2"/>
  <c r="E55" i="2"/>
  <c r="D54" i="11" s="1"/>
  <c r="E81" i="11"/>
  <c r="N81" i="11" s="1"/>
  <c r="E68" i="11"/>
  <c r="N68" i="11" s="1"/>
  <c r="E76" i="11"/>
  <c r="N76" i="11" s="1"/>
  <c r="E21" i="11"/>
  <c r="N21" i="11" s="1"/>
  <c r="E77" i="11"/>
  <c r="N77" i="11" s="1"/>
  <c r="M54" i="11" l="1"/>
  <c r="F35" i="35"/>
  <c r="D87" i="11"/>
  <c r="M87" i="11" s="1"/>
  <c r="F44" i="35" s="1"/>
  <c r="E54" i="11"/>
  <c r="N54" i="11" s="1"/>
  <c r="G39" i="35"/>
  <c r="M39" i="35" s="1"/>
  <c r="G32" i="35"/>
  <c r="G37" i="35"/>
  <c r="G34" i="35"/>
  <c r="G29" i="35"/>
  <c r="M29" i="35" s="1"/>
  <c r="C53" i="35" s="1"/>
  <c r="G35" i="35"/>
  <c r="M35" i="35" s="1"/>
  <c r="G41" i="35"/>
  <c r="G40" i="35"/>
  <c r="F37" i="35"/>
  <c r="G43" i="35"/>
  <c r="F30" i="35"/>
  <c r="F42" i="35"/>
  <c r="F41" i="35"/>
  <c r="G36" i="35"/>
  <c r="M36" i="35" s="1"/>
  <c r="F40" i="35"/>
  <c r="E54" i="2"/>
  <c r="G42" i="35"/>
  <c r="E87" i="11"/>
  <c r="F54" i="2"/>
  <c r="K53" i="11"/>
  <c r="G30" i="35"/>
  <c r="G31" i="35"/>
  <c r="F43" i="35"/>
  <c r="F34" i="35"/>
  <c r="F31" i="35"/>
  <c r="F32" i="35"/>
  <c r="M32" i="35" s="1"/>
  <c r="G28" i="35"/>
  <c r="M28" i="35" s="1"/>
  <c r="M43" i="35" l="1"/>
  <c r="M31" i="35"/>
  <c r="M40" i="35"/>
  <c r="M34" i="35"/>
  <c r="C52" i="35"/>
  <c r="M30" i="35"/>
  <c r="C54" i="35" s="1"/>
  <c r="M41" i="35"/>
  <c r="M37" i="35"/>
  <c r="G44" i="35"/>
  <c r="M44" i="35" s="1"/>
  <c r="N87" i="11"/>
  <c r="D53" i="11"/>
  <c r="M53" i="11" s="1"/>
  <c r="M42" i="35"/>
  <c r="E53" i="11"/>
  <c r="N53" i="11" s="1"/>
  <c r="G49" i="2" l="1"/>
  <c r="J48" i="11" s="1"/>
  <c r="S48" i="11" s="1"/>
  <c r="G47" i="2"/>
  <c r="J46" i="11" s="1"/>
  <c r="S46" i="11" s="1"/>
  <c r="G34" i="2"/>
  <c r="J33" i="11" s="1"/>
  <c r="S33" i="11" s="1"/>
  <c r="G29" i="2"/>
  <c r="J28" i="11" s="1"/>
  <c r="S28" i="11" s="1"/>
  <c r="G86" i="2"/>
  <c r="J85" i="11" s="1"/>
  <c r="S85" i="11" s="1"/>
  <c r="G85" i="2"/>
  <c r="J84" i="11" s="1"/>
  <c r="S84" i="11" s="1"/>
  <c r="G12" i="2"/>
  <c r="J11" i="11" s="1"/>
  <c r="S11" i="11" s="1"/>
  <c r="G30" i="2"/>
  <c r="J29" i="11" s="1"/>
  <c r="S29" i="11" s="1"/>
  <c r="G64" i="2"/>
  <c r="J63" i="11" s="1"/>
  <c r="S63" i="11" s="1"/>
  <c r="G53" i="2"/>
  <c r="J52" i="11" s="1"/>
  <c r="S52" i="11" s="1"/>
  <c r="G17" i="2"/>
  <c r="J16" i="11" s="1"/>
  <c r="S16" i="11" s="1"/>
  <c r="G84" i="2"/>
  <c r="J83" i="11" s="1"/>
  <c r="S83" i="11" s="1"/>
  <c r="G7" i="2"/>
  <c r="J6" i="11" s="1"/>
  <c r="S6" i="11" s="1"/>
  <c r="G89" i="2"/>
  <c r="J88" i="11" s="1"/>
  <c r="S88" i="11" s="1"/>
  <c r="G58" i="2"/>
  <c r="J57" i="11" s="1"/>
  <c r="S57" i="11" s="1"/>
  <c r="G62" i="2"/>
  <c r="J61" i="11" s="1"/>
  <c r="S61" i="11" s="1"/>
  <c r="G91" i="2"/>
  <c r="J90" i="11" s="1"/>
  <c r="S90" i="11" s="1"/>
  <c r="G69" i="2"/>
  <c r="J68" i="11" s="1"/>
  <c r="S68" i="11" s="1"/>
  <c r="G75" i="2"/>
  <c r="J74" i="11" s="1"/>
  <c r="S74" i="11" s="1"/>
  <c r="G83" i="2"/>
  <c r="J82" i="11" s="1"/>
  <c r="S82" i="11" s="1"/>
  <c r="G46" i="2"/>
  <c r="J45" i="11" s="1"/>
  <c r="S45" i="11" s="1"/>
  <c r="G59" i="2"/>
  <c r="J58" i="11" s="1"/>
  <c r="S58" i="11" s="1"/>
  <c r="G74" i="2"/>
  <c r="J73" i="11" s="1"/>
  <c r="S73" i="11" s="1"/>
  <c r="G48" i="2"/>
  <c r="J47" i="11" s="1"/>
  <c r="S47" i="11" s="1"/>
  <c r="G60" i="2"/>
  <c r="J59" i="11" s="1"/>
  <c r="S59" i="11" s="1"/>
  <c r="G6" i="2"/>
  <c r="J5" i="11" s="1"/>
  <c r="S5" i="11" s="1"/>
  <c r="G9" i="2"/>
  <c r="J8" i="11" s="1"/>
  <c r="S8" i="11" s="1"/>
  <c r="G78" i="2"/>
  <c r="J77" i="11" s="1"/>
  <c r="S77" i="11" s="1"/>
  <c r="G19" i="2"/>
  <c r="J18" i="11" s="1"/>
  <c r="S18" i="11" s="1"/>
  <c r="G70" i="2"/>
  <c r="J69" i="11" s="1"/>
  <c r="S69" i="11" s="1"/>
  <c r="G16" i="2"/>
  <c r="J15" i="11" s="1"/>
  <c r="S15" i="11" s="1"/>
  <c r="G38" i="2"/>
  <c r="J37" i="11" s="1"/>
  <c r="S37" i="11" s="1"/>
  <c r="G27" i="2"/>
  <c r="J26" i="11" s="1"/>
  <c r="S26" i="11" s="1"/>
  <c r="G57" i="2"/>
  <c r="J56" i="11" s="1"/>
  <c r="S56" i="11" s="1"/>
  <c r="G25" i="2"/>
  <c r="J24" i="11" s="1"/>
  <c r="S24" i="11" s="1"/>
  <c r="G35" i="2"/>
  <c r="J34" i="11" s="1"/>
  <c r="S34" i="11" s="1"/>
  <c r="G73" i="2"/>
  <c r="J72" i="11" s="1"/>
  <c r="S72" i="11" s="1"/>
  <c r="G18" i="2"/>
  <c r="J17" i="11" s="1"/>
  <c r="S17" i="11" s="1"/>
  <c r="G88" i="2"/>
  <c r="J87" i="11" s="1"/>
  <c r="S87" i="11" s="1"/>
  <c r="G43" i="2"/>
  <c r="J42" i="11" s="1"/>
  <c r="S42" i="11" s="1"/>
  <c r="G79" i="2"/>
  <c r="J78" i="11" s="1"/>
  <c r="S78" i="11" s="1"/>
  <c r="G52" i="2"/>
  <c r="J51" i="11" s="1"/>
  <c r="S51" i="11" s="1"/>
  <c r="G44" i="2"/>
  <c r="J43" i="11" s="1"/>
  <c r="S43" i="11" s="1"/>
  <c r="G36" i="2"/>
  <c r="J35" i="11" s="1"/>
  <c r="S35" i="11" s="1"/>
  <c r="G65" i="2"/>
  <c r="J64" i="11" s="1"/>
  <c r="S64" i="11" s="1"/>
  <c r="G64" i="11" l="1"/>
  <c r="P64" i="11" s="1"/>
  <c r="F64" i="11"/>
  <c r="O64" i="11" s="1"/>
  <c r="H64" i="11"/>
  <c r="Q64" i="11" s="1"/>
  <c r="I64" i="11"/>
  <c r="R64" i="11" s="1"/>
  <c r="G58" i="11"/>
  <c r="P58" i="11" s="1"/>
  <c r="F58" i="11"/>
  <c r="O58" i="11" s="1"/>
  <c r="H58" i="11"/>
  <c r="Q58" i="11" s="1"/>
  <c r="I58" i="11"/>
  <c r="R58" i="11" s="1"/>
  <c r="F43" i="11"/>
  <c r="O43" i="11" s="1"/>
  <c r="G43" i="11"/>
  <c r="P43" i="11" s="1"/>
  <c r="H43" i="11"/>
  <c r="Q43" i="11" s="1"/>
  <c r="I43" i="11"/>
  <c r="R43" i="11" s="1"/>
  <c r="F51" i="11"/>
  <c r="O51" i="11" s="1"/>
  <c r="G51" i="11"/>
  <c r="P51" i="11" s="1"/>
  <c r="I51" i="11"/>
  <c r="R51" i="11" s="1"/>
  <c r="H51" i="11"/>
  <c r="Q51" i="11" s="1"/>
  <c r="F78" i="11"/>
  <c r="O78" i="11" s="1"/>
  <c r="G78" i="11"/>
  <c r="P78" i="11" s="1"/>
  <c r="H78" i="11"/>
  <c r="Q78" i="11" s="1"/>
  <c r="I78" i="11"/>
  <c r="R78" i="11" s="1"/>
  <c r="F42" i="11"/>
  <c r="O42" i="11" s="1"/>
  <c r="G42" i="11"/>
  <c r="P42" i="11" s="1"/>
  <c r="H42" i="11"/>
  <c r="Q42" i="11" s="1"/>
  <c r="I42" i="11"/>
  <c r="R42" i="11" s="1"/>
  <c r="G87" i="11"/>
  <c r="P87" i="11" s="1"/>
  <c r="F87" i="11"/>
  <c r="O87" i="11" s="1"/>
  <c r="H87" i="11"/>
  <c r="Q87" i="11" s="1"/>
  <c r="I87" i="11"/>
  <c r="R87" i="11" s="1"/>
  <c r="F17" i="11"/>
  <c r="O17" i="11" s="1"/>
  <c r="G17" i="11"/>
  <c r="P17" i="11" s="1"/>
  <c r="H17" i="11"/>
  <c r="Q17" i="11" s="1"/>
  <c r="I17" i="11"/>
  <c r="R17" i="11" s="1"/>
  <c r="G34" i="11"/>
  <c r="P34" i="11" s="1"/>
  <c r="F34" i="11"/>
  <c r="O34" i="11" s="1"/>
  <c r="H34" i="11"/>
  <c r="Q34" i="11" s="1"/>
  <c r="I34" i="11"/>
  <c r="R34" i="11" s="1"/>
  <c r="F24" i="11"/>
  <c r="O24" i="11" s="1"/>
  <c r="G24" i="11"/>
  <c r="P24" i="11" s="1"/>
  <c r="I24" i="11"/>
  <c r="R24" i="11" s="1"/>
  <c r="H24" i="11"/>
  <c r="Q24" i="11" s="1"/>
  <c r="G37" i="11"/>
  <c r="P37" i="11" s="1"/>
  <c r="F37" i="11"/>
  <c r="O37" i="11" s="1"/>
  <c r="H37" i="11"/>
  <c r="Q37" i="11" s="1"/>
  <c r="I37" i="11"/>
  <c r="R37" i="11" s="1"/>
  <c r="F69" i="11"/>
  <c r="O69" i="11" s="1"/>
  <c r="G69" i="11"/>
  <c r="P69" i="11" s="1"/>
  <c r="I69" i="11"/>
  <c r="R69" i="11" s="1"/>
  <c r="H69" i="11"/>
  <c r="Q69" i="11" s="1"/>
  <c r="F77" i="11"/>
  <c r="O77" i="11" s="1"/>
  <c r="G77" i="11"/>
  <c r="P77" i="11" s="1"/>
  <c r="I77" i="11"/>
  <c r="R77" i="11" s="1"/>
  <c r="H77" i="11"/>
  <c r="Q77" i="11" s="1"/>
  <c r="G5" i="11"/>
  <c r="P5" i="11" s="1"/>
  <c r="F5" i="11"/>
  <c r="O5" i="11" s="1"/>
  <c r="H5" i="11"/>
  <c r="Q5" i="11" s="1"/>
  <c r="I5" i="11"/>
  <c r="R5" i="11" s="1"/>
  <c r="F73" i="11"/>
  <c r="O73" i="11" s="1"/>
  <c r="G73" i="11"/>
  <c r="P73" i="11" s="1"/>
  <c r="H73" i="11"/>
  <c r="Q73" i="11" s="1"/>
  <c r="I73" i="11"/>
  <c r="R73" i="11" s="1"/>
  <c r="G45" i="11"/>
  <c r="P45" i="11" s="1"/>
  <c r="F45" i="11"/>
  <c r="O45" i="11" s="1"/>
  <c r="I45" i="11"/>
  <c r="R45" i="11" s="1"/>
  <c r="H45" i="11"/>
  <c r="Q45" i="11" s="1"/>
  <c r="F57" i="11"/>
  <c r="O57" i="11" s="1"/>
  <c r="G57" i="11"/>
  <c r="P57" i="11" s="1"/>
  <c r="I57" i="11"/>
  <c r="R57" i="11" s="1"/>
  <c r="H57" i="11"/>
  <c r="Q57" i="11" s="1"/>
  <c r="F6" i="11"/>
  <c r="O6" i="11" s="1"/>
  <c r="G6" i="11"/>
  <c r="P6" i="11" s="1"/>
  <c r="I6" i="11"/>
  <c r="R6" i="11" s="1"/>
  <c r="H6" i="11"/>
  <c r="Q6" i="11" s="1"/>
  <c r="G63" i="11"/>
  <c r="P63" i="11" s="1"/>
  <c r="F63" i="11"/>
  <c r="O63" i="11" s="1"/>
  <c r="H63" i="11"/>
  <c r="Q63" i="11" s="1"/>
  <c r="I63" i="11"/>
  <c r="R63" i="11" s="1"/>
  <c r="G11" i="11"/>
  <c r="P11" i="11" s="1"/>
  <c r="F11" i="11"/>
  <c r="O11" i="11" s="1"/>
  <c r="I11" i="11"/>
  <c r="R11" i="11" s="1"/>
  <c r="H11" i="11"/>
  <c r="Q11" i="11" s="1"/>
  <c r="F85" i="11"/>
  <c r="O85" i="11" s="1"/>
  <c r="G85" i="11"/>
  <c r="P85" i="11" s="1"/>
  <c r="H85" i="11"/>
  <c r="Q85" i="11" s="1"/>
  <c r="I85" i="11"/>
  <c r="R85" i="11" s="1"/>
  <c r="F46" i="11"/>
  <c r="O46" i="11" s="1"/>
  <c r="G46" i="11"/>
  <c r="P46" i="11" s="1"/>
  <c r="I46" i="11"/>
  <c r="R46" i="11" s="1"/>
  <c r="H46" i="11"/>
  <c r="Q46" i="11" s="1"/>
  <c r="G59" i="11"/>
  <c r="P59" i="11" s="1"/>
  <c r="F59" i="11"/>
  <c r="O59" i="11" s="1"/>
  <c r="H59" i="11"/>
  <c r="Q59" i="11" s="1"/>
  <c r="I59" i="11"/>
  <c r="R59" i="11" s="1"/>
  <c r="G82" i="11"/>
  <c r="P82" i="11" s="1"/>
  <c r="F82" i="11"/>
  <c r="O82" i="11" s="1"/>
  <c r="H82" i="11"/>
  <c r="Q82" i="11" s="1"/>
  <c r="I82" i="11"/>
  <c r="R82" i="11" s="1"/>
  <c r="G90" i="11"/>
  <c r="P90" i="11" s="1"/>
  <c r="F90" i="11"/>
  <c r="O90" i="11" s="1"/>
  <c r="I90" i="11"/>
  <c r="R90" i="11" s="1"/>
  <c r="H90" i="11"/>
  <c r="Q90" i="11" s="1"/>
  <c r="G83" i="11"/>
  <c r="P83" i="11" s="1"/>
  <c r="F83" i="11"/>
  <c r="O83" i="11" s="1"/>
  <c r="H83" i="11"/>
  <c r="Q83" i="11" s="1"/>
  <c r="I83" i="11"/>
  <c r="R83" i="11" s="1"/>
  <c r="G84" i="11"/>
  <c r="P84" i="11" s="1"/>
  <c r="F84" i="11"/>
  <c r="O84" i="11" s="1"/>
  <c r="I84" i="11"/>
  <c r="R84" i="11" s="1"/>
  <c r="H84" i="11"/>
  <c r="Q84" i="11" s="1"/>
  <c r="F28" i="11"/>
  <c r="O28" i="11" s="1"/>
  <c r="G28" i="11"/>
  <c r="P28" i="11" s="1"/>
  <c r="I28" i="11"/>
  <c r="R28" i="11" s="1"/>
  <c r="H28" i="11"/>
  <c r="Q28" i="11" s="1"/>
  <c r="F48" i="11"/>
  <c r="O48" i="11" s="1"/>
  <c r="G48" i="11"/>
  <c r="P48" i="11" s="1"/>
  <c r="H48" i="11"/>
  <c r="Q48" i="11" s="1"/>
  <c r="I48" i="11"/>
  <c r="R48" i="11" s="1"/>
  <c r="F35" i="11"/>
  <c r="O35" i="11" s="1"/>
  <c r="G35" i="11"/>
  <c r="P35" i="11" s="1"/>
  <c r="H35" i="11"/>
  <c r="Q35" i="11" s="1"/>
  <c r="I35" i="11"/>
  <c r="R35" i="11" s="1"/>
  <c r="G72" i="11"/>
  <c r="P72" i="11" s="1"/>
  <c r="F72" i="11"/>
  <c r="O72" i="11" s="1"/>
  <c r="H72" i="11"/>
  <c r="Q72" i="11" s="1"/>
  <c r="I72" i="11"/>
  <c r="R72" i="11" s="1"/>
  <c r="F56" i="11"/>
  <c r="O56" i="11" s="1"/>
  <c r="G56" i="11"/>
  <c r="P56" i="11" s="1"/>
  <c r="H56" i="11"/>
  <c r="Q56" i="11" s="1"/>
  <c r="I56" i="11"/>
  <c r="R56" i="11" s="1"/>
  <c r="F26" i="11"/>
  <c r="O26" i="11" s="1"/>
  <c r="G26" i="11"/>
  <c r="P26" i="11" s="1"/>
  <c r="I26" i="11"/>
  <c r="R26" i="11" s="1"/>
  <c r="H26" i="11"/>
  <c r="Q26" i="11" s="1"/>
  <c r="F15" i="11"/>
  <c r="O15" i="11" s="1"/>
  <c r="G15" i="11"/>
  <c r="P15" i="11" s="1"/>
  <c r="I15" i="11"/>
  <c r="R15" i="11" s="1"/>
  <c r="H15" i="11"/>
  <c r="Q15" i="11" s="1"/>
  <c r="F18" i="11"/>
  <c r="O18" i="11" s="1"/>
  <c r="G18" i="11"/>
  <c r="P18" i="11" s="1"/>
  <c r="H18" i="11"/>
  <c r="Q18" i="11" s="1"/>
  <c r="I18" i="11"/>
  <c r="R18" i="11" s="1"/>
  <c r="F8" i="11"/>
  <c r="O8" i="11" s="1"/>
  <c r="G8" i="11"/>
  <c r="P8" i="11" s="1"/>
  <c r="H8" i="11"/>
  <c r="Q8" i="11" s="1"/>
  <c r="I8" i="11"/>
  <c r="R8" i="11" s="1"/>
  <c r="G47" i="11"/>
  <c r="P47" i="11" s="1"/>
  <c r="F47" i="11"/>
  <c r="O47" i="11" s="1"/>
  <c r="H47" i="11"/>
  <c r="Q47" i="11" s="1"/>
  <c r="I47" i="11"/>
  <c r="R47" i="11" s="1"/>
  <c r="F74" i="11"/>
  <c r="O74" i="11" s="1"/>
  <c r="G74" i="11"/>
  <c r="P74" i="11" s="1"/>
  <c r="H74" i="11"/>
  <c r="Q74" i="11" s="1"/>
  <c r="I74" i="11"/>
  <c r="R74" i="11" s="1"/>
  <c r="G68" i="11"/>
  <c r="P68" i="11" s="1"/>
  <c r="F68" i="11"/>
  <c r="O68" i="11" s="1"/>
  <c r="I68" i="11"/>
  <c r="R68" i="11" s="1"/>
  <c r="H68" i="11"/>
  <c r="Q68" i="11" s="1"/>
  <c r="G61" i="11"/>
  <c r="P61" i="11" s="1"/>
  <c r="F61" i="11"/>
  <c r="O61" i="11" s="1"/>
  <c r="I61" i="11"/>
  <c r="R61" i="11" s="1"/>
  <c r="H61" i="11"/>
  <c r="Q61" i="11" s="1"/>
  <c r="F88" i="11"/>
  <c r="O88" i="11" s="1"/>
  <c r="G88" i="11"/>
  <c r="P88" i="11" s="1"/>
  <c r="I88" i="11"/>
  <c r="R88" i="11" s="1"/>
  <c r="H88" i="11"/>
  <c r="Q88" i="11" s="1"/>
  <c r="F16" i="11"/>
  <c r="O16" i="11" s="1"/>
  <c r="G16" i="11"/>
  <c r="P16" i="11" s="1"/>
  <c r="I16" i="11"/>
  <c r="R16" i="11" s="1"/>
  <c r="H16" i="11"/>
  <c r="Q16" i="11" s="1"/>
  <c r="G52" i="11"/>
  <c r="P52" i="11" s="1"/>
  <c r="F52" i="11"/>
  <c r="O52" i="11" s="1"/>
  <c r="H52" i="11"/>
  <c r="Q52" i="11" s="1"/>
  <c r="I52" i="11"/>
  <c r="R52" i="11" s="1"/>
  <c r="G29" i="11"/>
  <c r="P29" i="11" s="1"/>
  <c r="F29" i="11"/>
  <c r="O29" i="11" s="1"/>
  <c r="H29" i="11"/>
  <c r="Q29" i="11" s="1"/>
  <c r="I29" i="11"/>
  <c r="R29" i="11" s="1"/>
  <c r="G33" i="11"/>
  <c r="P33" i="11" s="1"/>
  <c r="F33" i="11"/>
  <c r="O33" i="11" s="1"/>
  <c r="H33" i="11"/>
  <c r="Q33" i="11" s="1"/>
  <c r="I33" i="11"/>
  <c r="R33" i="11" s="1"/>
  <c r="G38" i="35"/>
  <c r="F38" i="35"/>
  <c r="G72" i="2"/>
  <c r="J71" i="11" s="1"/>
  <c r="S71" i="11" s="1"/>
  <c r="G67" i="2"/>
  <c r="J66" i="11" s="1"/>
  <c r="S66" i="11" s="1"/>
  <c r="G61" i="2"/>
  <c r="J60" i="11" s="1"/>
  <c r="S60" i="11" s="1"/>
  <c r="G24" i="2"/>
  <c r="J23" i="11" s="1"/>
  <c r="S23" i="11" s="1"/>
  <c r="G90" i="2"/>
  <c r="J89" i="11" s="1"/>
  <c r="S89" i="11" s="1"/>
  <c r="G56" i="2"/>
  <c r="J55" i="11" s="1"/>
  <c r="S55" i="11" s="1"/>
  <c r="G39" i="2"/>
  <c r="J38" i="11" s="1"/>
  <c r="S38" i="11" s="1"/>
  <c r="G23" i="2"/>
  <c r="J22" i="11" s="1"/>
  <c r="S22" i="11" s="1"/>
  <c r="G54" i="2"/>
  <c r="J53" i="11" s="1"/>
  <c r="S53" i="11" s="1"/>
  <c r="G15" i="2"/>
  <c r="J14" i="11" s="1"/>
  <c r="S14" i="11" s="1"/>
  <c r="G28" i="2"/>
  <c r="J27" i="11" s="1"/>
  <c r="S27" i="11" s="1"/>
  <c r="G92" i="2"/>
  <c r="J91" i="11" s="1"/>
  <c r="S91" i="11" s="1"/>
  <c r="G45" i="2"/>
  <c r="J44" i="11" s="1"/>
  <c r="S44" i="11" s="1"/>
  <c r="G80" i="2"/>
  <c r="J79" i="11" s="1"/>
  <c r="S79" i="11" s="1"/>
  <c r="G42" i="2"/>
  <c r="J41" i="11" s="1"/>
  <c r="S41" i="11" s="1"/>
  <c r="G11" i="2"/>
  <c r="J10" i="11" s="1"/>
  <c r="S10" i="11" s="1"/>
  <c r="G81" i="2"/>
  <c r="J80" i="11" s="1"/>
  <c r="S80" i="11" s="1"/>
  <c r="G21" i="2"/>
  <c r="J20" i="11" s="1"/>
  <c r="S20" i="11" s="1"/>
  <c r="G37" i="2"/>
  <c r="J36" i="11" s="1"/>
  <c r="S36" i="11" s="1"/>
  <c r="G41" i="2"/>
  <c r="J40" i="11" s="1"/>
  <c r="S40" i="11" s="1"/>
  <c r="G51" i="2"/>
  <c r="J50" i="11" s="1"/>
  <c r="S50" i="11" s="1"/>
  <c r="G20" i="2"/>
  <c r="J19" i="11" s="1"/>
  <c r="S19" i="11" s="1"/>
  <c r="G63" i="2"/>
  <c r="J62" i="11" s="1"/>
  <c r="S62" i="11" s="1"/>
  <c r="G82" i="2"/>
  <c r="J81" i="11" s="1"/>
  <c r="S81" i="11" s="1"/>
  <c r="G66" i="2"/>
  <c r="J65" i="11" s="1"/>
  <c r="S65" i="11" s="1"/>
  <c r="G14" i="2"/>
  <c r="J13" i="11" s="1"/>
  <c r="S13" i="11" s="1"/>
  <c r="G10" i="2"/>
  <c r="J9" i="11" s="1"/>
  <c r="S9" i="11" s="1"/>
  <c r="G26" i="2"/>
  <c r="J25" i="11" s="1"/>
  <c r="S25" i="11" s="1"/>
  <c r="G22" i="2"/>
  <c r="J21" i="11" s="1"/>
  <c r="S21" i="11" s="1"/>
  <c r="G40" i="2"/>
  <c r="J39" i="11" s="1"/>
  <c r="S39" i="11" s="1"/>
  <c r="G87" i="2"/>
  <c r="J86" i="11" s="1"/>
  <c r="S86" i="11" s="1"/>
  <c r="G71" i="2"/>
  <c r="J70" i="11" s="1"/>
  <c r="S70" i="11" s="1"/>
  <c r="G13" i="2"/>
  <c r="J12" i="11" s="1"/>
  <c r="S12" i="11" s="1"/>
  <c r="G50" i="2"/>
  <c r="J49" i="11" s="1"/>
  <c r="S49" i="11" s="1"/>
  <c r="G8" i="2"/>
  <c r="J7" i="11" s="1"/>
  <c r="S7" i="11" s="1"/>
  <c r="G77" i="2"/>
  <c r="J76" i="11" s="1"/>
  <c r="S76" i="11" s="1"/>
  <c r="G76" i="2"/>
  <c r="J75" i="11" s="1"/>
  <c r="S75" i="11" s="1"/>
  <c r="G68" i="2"/>
  <c r="J67" i="11" s="1"/>
  <c r="S67" i="11" s="1"/>
  <c r="M38" i="35" l="1"/>
  <c r="F60" i="11"/>
  <c r="O60" i="11" s="1"/>
  <c r="G60" i="11"/>
  <c r="P60" i="11" s="1"/>
  <c r="H60" i="11"/>
  <c r="Q60" i="11" s="1"/>
  <c r="I60" i="11"/>
  <c r="R60" i="11" s="1"/>
  <c r="G67" i="11"/>
  <c r="P67" i="11" s="1"/>
  <c r="F67" i="11"/>
  <c r="O67" i="11" s="1"/>
  <c r="I67" i="11"/>
  <c r="R67" i="11" s="1"/>
  <c r="H67" i="11"/>
  <c r="Q67" i="11" s="1"/>
  <c r="G75" i="11"/>
  <c r="P75" i="11" s="1"/>
  <c r="F75" i="11"/>
  <c r="O75" i="11" s="1"/>
  <c r="H75" i="11"/>
  <c r="Q75" i="11" s="1"/>
  <c r="I75" i="11"/>
  <c r="R75" i="11" s="1"/>
  <c r="G49" i="11"/>
  <c r="P49" i="11" s="1"/>
  <c r="F49" i="11"/>
  <c r="O49" i="11" s="1"/>
  <c r="I49" i="11"/>
  <c r="R49" i="11" s="1"/>
  <c r="H49" i="11"/>
  <c r="Q49" i="11" s="1"/>
  <c r="G86" i="11"/>
  <c r="P86" i="11" s="1"/>
  <c r="F86" i="11"/>
  <c r="O86" i="11" s="1"/>
  <c r="H86" i="11"/>
  <c r="Q86" i="11" s="1"/>
  <c r="I86" i="11"/>
  <c r="R86" i="11" s="1"/>
  <c r="F13" i="11"/>
  <c r="O13" i="11" s="1"/>
  <c r="G13" i="11"/>
  <c r="P13" i="11" s="1"/>
  <c r="I13" i="11"/>
  <c r="R13" i="11" s="1"/>
  <c r="H13" i="11"/>
  <c r="Q13" i="11" s="1"/>
  <c r="G50" i="11"/>
  <c r="P50" i="11" s="1"/>
  <c r="F50" i="11"/>
  <c r="O50" i="11" s="1"/>
  <c r="I50" i="11"/>
  <c r="R50" i="11" s="1"/>
  <c r="H50" i="11"/>
  <c r="Q50" i="11" s="1"/>
  <c r="G41" i="11"/>
  <c r="P41" i="11" s="1"/>
  <c r="F41" i="11"/>
  <c r="O41" i="11" s="1"/>
  <c r="I41" i="11"/>
  <c r="R41" i="11" s="1"/>
  <c r="H41" i="11"/>
  <c r="Q41" i="11" s="1"/>
  <c r="G91" i="11"/>
  <c r="P91" i="11" s="1"/>
  <c r="F27" i="11"/>
  <c r="O27" i="11" s="1"/>
  <c r="G27" i="11"/>
  <c r="P27" i="11" s="1"/>
  <c r="H27" i="11"/>
  <c r="Q27" i="11" s="1"/>
  <c r="I27" i="11"/>
  <c r="R27" i="11" s="1"/>
  <c r="G22" i="11"/>
  <c r="P22" i="11" s="1"/>
  <c r="F22" i="11"/>
  <c r="O22" i="11" s="1"/>
  <c r="H22" i="11"/>
  <c r="Q22" i="11" s="1"/>
  <c r="I22" i="11"/>
  <c r="R22" i="11" s="1"/>
  <c r="G89" i="11"/>
  <c r="P89" i="11" s="1"/>
  <c r="F89" i="11"/>
  <c r="O89" i="11" s="1"/>
  <c r="I89" i="11"/>
  <c r="R89" i="11" s="1"/>
  <c r="H89" i="11"/>
  <c r="Q89" i="11" s="1"/>
  <c r="G66" i="11"/>
  <c r="P66" i="11" s="1"/>
  <c r="F66" i="11"/>
  <c r="O66" i="11" s="1"/>
  <c r="H66" i="11"/>
  <c r="Q66" i="11" s="1"/>
  <c r="I66" i="11"/>
  <c r="R66" i="11" s="1"/>
  <c r="G70" i="11"/>
  <c r="P70" i="11" s="1"/>
  <c r="F70" i="11"/>
  <c r="O70" i="11" s="1"/>
  <c r="H70" i="11"/>
  <c r="Q70" i="11" s="1"/>
  <c r="I70" i="11"/>
  <c r="R70" i="11" s="1"/>
  <c r="F20" i="11"/>
  <c r="O20" i="11" s="1"/>
  <c r="G20" i="11"/>
  <c r="P20" i="11" s="1"/>
  <c r="H20" i="11"/>
  <c r="Q20" i="11" s="1"/>
  <c r="I20" i="11"/>
  <c r="R20" i="11" s="1"/>
  <c r="G76" i="11"/>
  <c r="P76" i="11" s="1"/>
  <c r="F76" i="11"/>
  <c r="O76" i="11" s="1"/>
  <c r="I76" i="11"/>
  <c r="R76" i="11" s="1"/>
  <c r="H76" i="11"/>
  <c r="Q76" i="11" s="1"/>
  <c r="F12" i="11"/>
  <c r="O12" i="11" s="1"/>
  <c r="G12" i="11"/>
  <c r="P12" i="11" s="1"/>
  <c r="I12" i="11"/>
  <c r="R12" i="11" s="1"/>
  <c r="H12" i="11"/>
  <c r="Q12" i="11" s="1"/>
  <c r="G39" i="11"/>
  <c r="P39" i="11" s="1"/>
  <c r="F39" i="11"/>
  <c r="O39" i="11" s="1"/>
  <c r="H39" i="11"/>
  <c r="Q39" i="11" s="1"/>
  <c r="I39" i="11"/>
  <c r="R39" i="11" s="1"/>
  <c r="G65" i="11"/>
  <c r="P65" i="11" s="1"/>
  <c r="F65" i="11"/>
  <c r="O65" i="11" s="1"/>
  <c r="H65" i="11"/>
  <c r="Q65" i="11" s="1"/>
  <c r="I65" i="11"/>
  <c r="R65" i="11" s="1"/>
  <c r="G62" i="11"/>
  <c r="P62" i="11" s="1"/>
  <c r="F62" i="11"/>
  <c r="O62" i="11" s="1"/>
  <c r="I62" i="11"/>
  <c r="R62" i="11" s="1"/>
  <c r="H62" i="11"/>
  <c r="Q62" i="11" s="1"/>
  <c r="F19" i="11"/>
  <c r="G19" i="11"/>
  <c r="H19" i="11"/>
  <c r="I19" i="11"/>
  <c r="L30" i="35"/>
  <c r="G40" i="11"/>
  <c r="P40" i="11" s="1"/>
  <c r="F40" i="11"/>
  <c r="O40" i="11" s="1"/>
  <c r="I40" i="11"/>
  <c r="R40" i="11" s="1"/>
  <c r="H40" i="11"/>
  <c r="Q40" i="11" s="1"/>
  <c r="G10" i="11"/>
  <c r="P10" i="11" s="1"/>
  <c r="F10" i="11"/>
  <c r="O10" i="11" s="1"/>
  <c r="I10" i="11"/>
  <c r="R10" i="11" s="1"/>
  <c r="H10" i="11"/>
  <c r="Q10" i="11" s="1"/>
  <c r="G79" i="11"/>
  <c r="P79" i="11" s="1"/>
  <c r="F79" i="11"/>
  <c r="O79" i="11" s="1"/>
  <c r="H79" i="11"/>
  <c r="Q79" i="11" s="1"/>
  <c r="I79" i="11"/>
  <c r="R79" i="11" s="1"/>
  <c r="F38" i="11"/>
  <c r="O38" i="11" s="1"/>
  <c r="G38" i="11"/>
  <c r="P38" i="11" s="1"/>
  <c r="I38" i="11"/>
  <c r="R38" i="11" s="1"/>
  <c r="H38" i="11"/>
  <c r="Q38" i="11" s="1"/>
  <c r="G55" i="11"/>
  <c r="P55" i="11" s="1"/>
  <c r="F55" i="11"/>
  <c r="O55" i="11" s="1"/>
  <c r="H55" i="11"/>
  <c r="Q55" i="11" s="1"/>
  <c r="I55" i="11"/>
  <c r="R55" i="11" s="1"/>
  <c r="G23" i="11"/>
  <c r="P23" i="11" s="1"/>
  <c r="F23" i="11"/>
  <c r="O23" i="11" s="1"/>
  <c r="H23" i="11"/>
  <c r="Q23" i="11" s="1"/>
  <c r="I23" i="11"/>
  <c r="R23" i="11" s="1"/>
  <c r="F80" i="11"/>
  <c r="O80" i="11" s="1"/>
  <c r="G80" i="11"/>
  <c r="P80" i="11" s="1"/>
  <c r="H80" i="11"/>
  <c r="Q80" i="11" s="1"/>
  <c r="I80" i="11"/>
  <c r="R80" i="11" s="1"/>
  <c r="G7" i="11"/>
  <c r="P7" i="11" s="1"/>
  <c r="F7" i="11"/>
  <c r="O7" i="11" s="1"/>
  <c r="H7" i="11"/>
  <c r="Q7" i="11" s="1"/>
  <c r="I7" i="11"/>
  <c r="R7" i="11" s="1"/>
  <c r="F21" i="11"/>
  <c r="O21" i="11" s="1"/>
  <c r="G21" i="11"/>
  <c r="P21" i="11" s="1"/>
  <c r="H21" i="11"/>
  <c r="Q21" i="11" s="1"/>
  <c r="I21" i="11"/>
  <c r="R21" i="11" s="1"/>
  <c r="G25" i="11"/>
  <c r="P25" i="11" s="1"/>
  <c r="F25" i="11"/>
  <c r="O25" i="11" s="1"/>
  <c r="H25" i="11"/>
  <c r="Q25" i="11" s="1"/>
  <c r="I25" i="11"/>
  <c r="R25" i="11" s="1"/>
  <c r="F9" i="11"/>
  <c r="O9" i="11" s="1"/>
  <c r="G9" i="11"/>
  <c r="P9" i="11" s="1"/>
  <c r="I9" i="11"/>
  <c r="R9" i="11" s="1"/>
  <c r="H9" i="11"/>
  <c r="Q9" i="11" s="1"/>
  <c r="F81" i="11"/>
  <c r="G81" i="11"/>
  <c r="I81" i="11"/>
  <c r="H81" i="11"/>
  <c r="L43" i="35"/>
  <c r="G36" i="11"/>
  <c r="F36" i="11"/>
  <c r="I36" i="11"/>
  <c r="L34" i="35"/>
  <c r="H36" i="11"/>
  <c r="G44" i="11"/>
  <c r="F44" i="11"/>
  <c r="I44" i="11"/>
  <c r="L36" i="35"/>
  <c r="H44" i="11"/>
  <c r="G14" i="11"/>
  <c r="P14" i="11" s="1"/>
  <c r="F14" i="11"/>
  <c r="O14" i="11" s="1"/>
  <c r="I14" i="11"/>
  <c r="R14" i="11" s="1"/>
  <c r="H14" i="11"/>
  <c r="Q14" i="11" s="1"/>
  <c r="F53" i="11"/>
  <c r="O53" i="11" s="1"/>
  <c r="G53" i="11"/>
  <c r="P53" i="11" s="1"/>
  <c r="H53" i="11"/>
  <c r="Q53" i="11" s="1"/>
  <c r="I53" i="11"/>
  <c r="R53" i="11" s="1"/>
  <c r="F71" i="11"/>
  <c r="O71" i="11" s="1"/>
  <c r="G71" i="11"/>
  <c r="P71" i="11" s="1"/>
  <c r="H71" i="11"/>
  <c r="Q71" i="11" s="1"/>
  <c r="L41" i="35"/>
  <c r="I71" i="11"/>
  <c r="R71" i="11" s="1"/>
  <c r="G33" i="2"/>
  <c r="J32" i="11" s="1"/>
  <c r="S32" i="11" s="1"/>
  <c r="G32" i="2"/>
  <c r="J31" i="11" s="1"/>
  <c r="S31" i="11" s="1"/>
  <c r="G31" i="2"/>
  <c r="J30" i="11" s="1"/>
  <c r="S30" i="11" s="1"/>
  <c r="G55" i="2"/>
  <c r="J54" i="11" s="1"/>
  <c r="S54" i="11" s="1"/>
  <c r="J34" i="35" l="1"/>
  <c r="Q36" i="11"/>
  <c r="P81" i="11"/>
  <c r="I43" i="35" s="1"/>
  <c r="R44" i="11"/>
  <c r="K36" i="35" s="1"/>
  <c r="O81" i="11"/>
  <c r="H43" i="35" s="1"/>
  <c r="P19" i="11"/>
  <c r="I30" i="35" s="1"/>
  <c r="O44" i="11"/>
  <c r="H36" i="35" s="1"/>
  <c r="O19" i="11"/>
  <c r="H30" i="35" s="1"/>
  <c r="P36" i="11"/>
  <c r="I34" i="35" s="1"/>
  <c r="Q19" i="11"/>
  <c r="J30" i="35" s="1"/>
  <c r="R36" i="11"/>
  <c r="K34" i="35" s="1"/>
  <c r="Q81" i="11"/>
  <c r="J43" i="35" s="1"/>
  <c r="Q44" i="11"/>
  <c r="J36" i="35" s="1"/>
  <c r="P44" i="11"/>
  <c r="I36" i="35" s="1"/>
  <c r="O36" i="11"/>
  <c r="H34" i="35" s="1"/>
  <c r="R81" i="11"/>
  <c r="K43" i="35" s="1"/>
  <c r="R19" i="11"/>
  <c r="K30" i="35" s="1"/>
  <c r="L39" i="35"/>
  <c r="I40" i="35"/>
  <c r="L37" i="35"/>
  <c r="J32" i="35"/>
  <c r="H39" i="35"/>
  <c r="L40" i="35"/>
  <c r="J37" i="35"/>
  <c r="J39" i="35"/>
  <c r="H32" i="35"/>
  <c r="H40" i="35"/>
  <c r="N40" i="35" s="1"/>
  <c r="K39" i="35"/>
  <c r="J41" i="35"/>
  <c r="I44" i="35"/>
  <c r="H35" i="35"/>
  <c r="K40" i="35"/>
  <c r="K41" i="35"/>
  <c r="H41" i="35"/>
  <c r="K32" i="35"/>
  <c r="I32" i="35"/>
  <c r="I35" i="35"/>
  <c r="J35" i="35"/>
  <c r="I39" i="35"/>
  <c r="J40" i="35"/>
  <c r="J31" i="35"/>
  <c r="I42" i="35"/>
  <c r="I41" i="35"/>
  <c r="G32" i="11"/>
  <c r="P32" i="11" s="1"/>
  <c r="F32" i="11"/>
  <c r="O32" i="11" s="1"/>
  <c r="I32" i="11"/>
  <c r="R32" i="11" s="1"/>
  <c r="H32" i="11"/>
  <c r="Q32" i="11" s="1"/>
  <c r="J42" i="35"/>
  <c r="J44" i="35"/>
  <c r="D92" i="2"/>
  <c r="D91" i="11" s="1"/>
  <c r="M91" i="11" s="1"/>
  <c r="F30" i="11"/>
  <c r="O30" i="11" s="1"/>
  <c r="G30" i="11"/>
  <c r="P30" i="11" s="1"/>
  <c r="H30" i="11"/>
  <c r="Q30" i="11" s="1"/>
  <c r="I30" i="11"/>
  <c r="R30" i="11" s="1"/>
  <c r="L32" i="35"/>
  <c r="L28" i="35"/>
  <c r="K35" i="35"/>
  <c r="J29" i="35"/>
  <c r="H29" i="35"/>
  <c r="K42" i="35"/>
  <c r="I31" i="35"/>
  <c r="K44" i="35"/>
  <c r="H44" i="35"/>
  <c r="L35" i="35"/>
  <c r="L29" i="35"/>
  <c r="I29" i="35"/>
  <c r="L42" i="35"/>
  <c r="H42" i="35"/>
  <c r="K31" i="35"/>
  <c r="H31" i="35"/>
  <c r="L44" i="35"/>
  <c r="I37" i="35"/>
  <c r="F54" i="11"/>
  <c r="G54" i="11"/>
  <c r="H54" i="11"/>
  <c r="I54" i="11"/>
  <c r="L38" i="35"/>
  <c r="K28" i="35"/>
  <c r="G31" i="11"/>
  <c r="P31" i="11" s="1"/>
  <c r="F31" i="11"/>
  <c r="O31" i="11" s="1"/>
  <c r="H31" i="11"/>
  <c r="Q31" i="11" s="1"/>
  <c r="I31" i="11"/>
  <c r="R31" i="11" s="1"/>
  <c r="J28" i="35"/>
  <c r="H28" i="35"/>
  <c r="K29" i="35"/>
  <c r="I28" i="35"/>
  <c r="L31" i="35"/>
  <c r="H37" i="35"/>
  <c r="K37" i="35"/>
  <c r="G93" i="2"/>
  <c r="P40" i="35" l="1"/>
  <c r="F64" i="35" s="1"/>
  <c r="N28" i="35"/>
  <c r="N37" i="35"/>
  <c r="N39" i="35"/>
  <c r="O39" i="35" s="1"/>
  <c r="N34" i="35"/>
  <c r="D58" i="35" s="1"/>
  <c r="P36" i="35"/>
  <c r="F60" i="35" s="1"/>
  <c r="N30" i="35"/>
  <c r="D54" i="35" s="1"/>
  <c r="N31" i="35"/>
  <c r="N36" i="35"/>
  <c r="D60" i="35" s="1"/>
  <c r="N44" i="35"/>
  <c r="D68" i="35" s="1"/>
  <c r="P39" i="35"/>
  <c r="F63" i="35" s="1"/>
  <c r="N43" i="35"/>
  <c r="O43" i="35" s="1"/>
  <c r="P35" i="35"/>
  <c r="O28" i="35"/>
  <c r="N29" i="35"/>
  <c r="P28" i="35"/>
  <c r="O54" i="11"/>
  <c r="H38" i="35" s="1"/>
  <c r="P37" i="35"/>
  <c r="F61" i="35" s="1"/>
  <c r="P32" i="35"/>
  <c r="F56" i="35" s="1"/>
  <c r="P29" i="35"/>
  <c r="F53" i="35" s="1"/>
  <c r="J92" i="11"/>
  <c r="S92" i="11" s="1"/>
  <c r="R54" i="11"/>
  <c r="K38" i="35" s="1"/>
  <c r="N42" i="35"/>
  <c r="P44" i="35"/>
  <c r="F68" i="35" s="1"/>
  <c r="P31" i="35"/>
  <c r="F55" i="35" s="1"/>
  <c r="N35" i="35"/>
  <c r="O35" i="35" s="1"/>
  <c r="P54" i="11"/>
  <c r="I38" i="35" s="1"/>
  <c r="P41" i="35"/>
  <c r="F65" i="35" s="1"/>
  <c r="Q54" i="11"/>
  <c r="J38" i="35" s="1"/>
  <c r="P42" i="35"/>
  <c r="F66" i="35" s="1"/>
  <c r="N41" i="35"/>
  <c r="O41" i="35" s="1"/>
  <c r="N32" i="35"/>
  <c r="P43" i="35"/>
  <c r="F67" i="35" s="1"/>
  <c r="P30" i="35"/>
  <c r="F54" i="35" s="1"/>
  <c r="P34" i="35"/>
  <c r="F58" i="35" s="1"/>
  <c r="F59" i="35"/>
  <c r="E91" i="11"/>
  <c r="N91" i="11" s="1"/>
  <c r="G92" i="11"/>
  <c r="P92" i="11" s="1"/>
  <c r="D64" i="35"/>
  <c r="O40" i="35"/>
  <c r="O36" i="35" l="1"/>
  <c r="Q36" i="35" s="1"/>
  <c r="G60" i="35" s="1"/>
  <c r="D63" i="35"/>
  <c r="D67" i="35"/>
  <c r="O30" i="35"/>
  <c r="E54" i="35" s="1"/>
  <c r="O34" i="35"/>
  <c r="Q34" i="35" s="1"/>
  <c r="G58" i="35" s="1"/>
  <c r="D65" i="35"/>
  <c r="P38" i="35"/>
  <c r="F62" i="35" s="1"/>
  <c r="D59" i="35"/>
  <c r="N38" i="35"/>
  <c r="Q28" i="35"/>
  <c r="D56" i="35"/>
  <c r="O32" i="35"/>
  <c r="E56" i="35" s="1"/>
  <c r="D52" i="35"/>
  <c r="O44" i="35"/>
  <c r="Q41" i="35"/>
  <c r="G65" i="35" s="1"/>
  <c r="E65" i="35"/>
  <c r="D55" i="35"/>
  <c r="O31" i="35"/>
  <c r="Q43" i="35"/>
  <c r="G67" i="35" s="1"/>
  <c r="E67" i="35"/>
  <c r="D53" i="35"/>
  <c r="O29" i="35"/>
  <c r="H93" i="2"/>
  <c r="D61" i="35"/>
  <c r="O37" i="35"/>
  <c r="Q39" i="35"/>
  <c r="G63" i="35" s="1"/>
  <c r="E63" i="35"/>
  <c r="Q35" i="35"/>
  <c r="G59" i="35" s="1"/>
  <c r="E59" i="35"/>
  <c r="F52" i="35"/>
  <c r="H92" i="2"/>
  <c r="Q40" i="35"/>
  <c r="G64" i="35" s="1"/>
  <c r="E64" i="35"/>
  <c r="L33" i="35"/>
  <c r="D66" i="35"/>
  <c r="O42" i="35"/>
  <c r="E60" i="35" l="1"/>
  <c r="Q30" i="35"/>
  <c r="G54" i="35" s="1"/>
  <c r="E58" i="35"/>
  <c r="D62" i="35"/>
  <c r="O38" i="35"/>
  <c r="Q32" i="35"/>
  <c r="G56" i="35" s="1"/>
  <c r="F91" i="11"/>
  <c r="O91" i="11" s="1"/>
  <c r="H91" i="11"/>
  <c r="Q91" i="11" s="1"/>
  <c r="I91" i="11"/>
  <c r="R91" i="11" s="1"/>
  <c r="Q42" i="35"/>
  <c r="G66" i="35" s="1"/>
  <c r="E66" i="35"/>
  <c r="G33" i="35"/>
  <c r="F33" i="35"/>
  <c r="F92" i="11"/>
  <c r="O92" i="11" s="1"/>
  <c r="I92" i="11"/>
  <c r="R92" i="11" s="1"/>
  <c r="H92" i="11"/>
  <c r="Q92" i="11" s="1"/>
  <c r="Q31" i="35"/>
  <c r="G55" i="35" s="1"/>
  <c r="E55" i="35"/>
  <c r="G52" i="35"/>
  <c r="E52" i="35"/>
  <c r="Q37" i="35"/>
  <c r="G61" i="35" s="1"/>
  <c r="E61" i="35"/>
  <c r="Q29" i="35"/>
  <c r="G53" i="35" s="1"/>
  <c r="E53" i="35"/>
  <c r="Q44" i="35"/>
  <c r="G68" i="35" s="1"/>
  <c r="E68" i="35"/>
  <c r="I33" i="35"/>
  <c r="E62" i="35" l="1"/>
  <c r="Q38" i="35"/>
  <c r="G62" i="35" s="1"/>
  <c r="M33" i="35"/>
  <c r="H33" i="35" l="1"/>
  <c r="N33" i="35" s="1"/>
  <c r="J33" i="35"/>
  <c r="K33" i="35"/>
  <c r="P33" i="35" l="1"/>
  <c r="D57" i="35" l="1"/>
  <c r="O33" i="35"/>
  <c r="F57" i="35"/>
  <c r="P52" i="35" l="1"/>
  <c r="O52" i="35" s="1"/>
  <c r="P61" i="35"/>
  <c r="O61" i="35" s="1"/>
  <c r="P57" i="35"/>
  <c r="O57" i="35" s="1"/>
  <c r="P68" i="35"/>
  <c r="O68" i="35" s="1"/>
  <c r="P63" i="35"/>
  <c r="O63" i="35" s="1"/>
  <c r="P64" i="35"/>
  <c r="O64" i="35" s="1"/>
  <c r="P62" i="35"/>
  <c r="O62" i="35" s="1"/>
  <c r="P59" i="35"/>
  <c r="O59" i="35" s="1"/>
  <c r="P67" i="35"/>
  <c r="O67" i="35" s="1"/>
  <c r="P56" i="35"/>
  <c r="O56" i="35" s="1"/>
  <c r="P66" i="35"/>
  <c r="O66" i="35" s="1"/>
  <c r="P60" i="35"/>
  <c r="O60" i="35" s="1"/>
  <c r="P58" i="35"/>
  <c r="O58" i="35" s="1"/>
  <c r="P65" i="35"/>
  <c r="O65" i="35" s="1"/>
  <c r="P54" i="35"/>
  <c r="O54" i="35" s="1"/>
  <c r="P53" i="35"/>
  <c r="O53" i="35" s="1"/>
  <c r="P55" i="35"/>
  <c r="O55" i="35" s="1"/>
  <c r="C55" i="35"/>
  <c r="Q33" i="35"/>
  <c r="E57" i="35"/>
  <c r="S59" i="35" s="1"/>
  <c r="V64" i="35"/>
  <c r="U64" i="35" s="1"/>
  <c r="V60" i="35"/>
  <c r="U60" i="35" s="1"/>
  <c r="V65" i="35"/>
  <c r="U65" i="35" s="1"/>
  <c r="V63" i="35"/>
  <c r="U63" i="35" s="1"/>
  <c r="V53" i="35"/>
  <c r="U53" i="35" s="1"/>
  <c r="V67" i="35"/>
  <c r="U67" i="35" s="1"/>
  <c r="V59" i="35"/>
  <c r="U59" i="35" s="1"/>
  <c r="V68" i="35"/>
  <c r="U68" i="35" s="1"/>
  <c r="V55" i="35"/>
  <c r="U55" i="35" s="1"/>
  <c r="V56" i="35"/>
  <c r="U56" i="35" s="1"/>
  <c r="V57" i="35"/>
  <c r="U57" i="35" s="1"/>
  <c r="V54" i="35"/>
  <c r="U54" i="35" s="1"/>
  <c r="V61" i="35"/>
  <c r="U61" i="35" s="1"/>
  <c r="V58" i="35"/>
  <c r="U58" i="35" s="1"/>
  <c r="V52" i="35"/>
  <c r="U52" i="35" s="1"/>
  <c r="V66" i="35"/>
  <c r="U66" i="35" s="1"/>
  <c r="V62" i="35"/>
  <c r="U62" i="35" s="1"/>
  <c r="G57" i="35" l="1"/>
  <c r="C14" i="35" s="1"/>
  <c r="F6" i="35" s="1"/>
  <c r="C4" i="49" s="1"/>
  <c r="S68" i="35"/>
  <c r="R68" i="35" s="1"/>
  <c r="S66" i="35"/>
  <c r="R66" i="35" s="1"/>
  <c r="S67" i="35"/>
  <c r="R67" i="35" s="1"/>
  <c r="S62" i="35"/>
  <c r="R62" i="35" s="1"/>
  <c r="S64" i="35"/>
  <c r="R64" i="35" s="1"/>
  <c r="S60" i="35"/>
  <c r="R60" i="35" s="1"/>
  <c r="S63" i="35"/>
  <c r="R63" i="35" s="1"/>
  <c r="S65" i="35"/>
  <c r="R65" i="35" s="1"/>
  <c r="S57" i="35"/>
  <c r="R57" i="35" s="1"/>
  <c r="S53" i="35"/>
  <c r="R53" i="35" s="1"/>
  <c r="R59" i="35"/>
  <c r="S54" i="35"/>
  <c r="R54" i="35" s="1"/>
  <c r="S61" i="35"/>
  <c r="R61" i="35" s="1"/>
  <c r="S55" i="35"/>
  <c r="R55" i="35" s="1"/>
  <c r="S58" i="35"/>
  <c r="R58" i="35" s="1"/>
  <c r="S52" i="35"/>
  <c r="R52" i="35" s="1"/>
  <c r="S56" i="35"/>
  <c r="R56" i="35" s="1"/>
  <c r="C13" i="35"/>
  <c r="Y59" i="35"/>
  <c r="Y56" i="35"/>
  <c r="Y61" i="35"/>
  <c r="C9" i="35"/>
  <c r="Y53" i="35"/>
  <c r="C12" i="35"/>
  <c r="Y67" i="35"/>
  <c r="Y60" i="35" l="1"/>
  <c r="Y66" i="35"/>
  <c r="Y68" i="35"/>
  <c r="X68" i="35" s="1"/>
  <c r="Y54" i="35"/>
  <c r="X54" i="35" s="1"/>
  <c r="C15" i="35"/>
  <c r="Y63" i="35"/>
  <c r="Y57" i="35"/>
  <c r="X57" i="35" s="1"/>
  <c r="C11" i="35"/>
  <c r="Y64" i="35"/>
  <c r="Y55" i="35"/>
  <c r="X55" i="35" s="1"/>
  <c r="Y65" i="35"/>
  <c r="X65" i="35" s="1"/>
  <c r="Y52" i="35"/>
  <c r="X52" i="35" s="1"/>
  <c r="C10" i="35"/>
  <c r="Y62" i="35"/>
  <c r="X62" i="35" s="1"/>
  <c r="Y58" i="35"/>
  <c r="X58" i="35" s="1"/>
  <c r="X67" i="35"/>
  <c r="X63" i="35"/>
  <c r="X66" i="35"/>
  <c r="X56" i="35"/>
  <c r="X59" i="35"/>
  <c r="X53" i="35"/>
  <c r="X64" i="35"/>
  <c r="X60" i="35"/>
  <c r="X61" i="35"/>
  <c r="C56" i="35" l="1"/>
  <c r="C58" i="35" l="1"/>
  <c r="C59" i="35" l="1"/>
  <c r="C60" i="35" l="1"/>
  <c r="C61" i="35" l="1"/>
  <c r="C62" i="35" l="1"/>
  <c r="C63" i="35" l="1"/>
  <c r="C57" i="35" l="1"/>
  <c r="C64" i="35" l="1"/>
  <c r="C65" i="35" l="1"/>
  <c r="C66" i="35" l="1"/>
  <c r="C67" i="35" l="1"/>
  <c r="E95" i="9" l="1"/>
  <c r="E97" i="9"/>
  <c r="C68" i="35" l="1"/>
  <c r="M54" i="35" l="1"/>
  <c r="L54" i="35" s="1"/>
  <c r="M53" i="35"/>
  <c r="L53" i="35" s="1"/>
  <c r="M52" i="35"/>
  <c r="L52" i="35" s="1"/>
  <c r="M55" i="35"/>
  <c r="L55" i="35" s="1"/>
  <c r="M60" i="35"/>
  <c r="L60" i="35" s="1"/>
  <c r="M66" i="35"/>
  <c r="L66" i="35" s="1"/>
  <c r="M57" i="35"/>
  <c r="L57" i="35" s="1"/>
  <c r="M68" i="35"/>
  <c r="L68" i="35" s="1"/>
  <c r="M67" i="35"/>
  <c r="L67" i="35" s="1"/>
  <c r="M59" i="35"/>
  <c r="M58" i="35"/>
  <c r="L58" i="35" s="1"/>
  <c r="M65" i="35"/>
  <c r="L65" i="35" s="1"/>
  <c r="M61" i="35"/>
  <c r="L61" i="35" s="1"/>
  <c r="M63" i="35"/>
  <c r="L63" i="35" s="1"/>
  <c r="M62" i="35"/>
  <c r="L62" i="35" s="1"/>
  <c r="M56" i="35"/>
  <c r="L56" i="35" s="1"/>
  <c r="M64" i="35"/>
  <c r="L64" i="35" s="1"/>
</calcChain>
</file>

<file path=xl/sharedStrings.xml><?xml version="1.0" encoding="utf-8"?>
<sst xmlns="http://schemas.openxmlformats.org/spreadsheetml/2006/main" count="882" uniqueCount="287">
  <si>
    <t>ANH14</t>
  </si>
  <si>
    <t>ANH15</t>
  </si>
  <si>
    <t>ANH16</t>
  </si>
  <si>
    <t>ANH17</t>
  </si>
  <si>
    <t>NES14</t>
  </si>
  <si>
    <t>NES15</t>
  </si>
  <si>
    <t>NES16</t>
  </si>
  <si>
    <t>NES17</t>
  </si>
  <si>
    <t>NWT14</t>
  </si>
  <si>
    <t>NWT15</t>
  </si>
  <si>
    <t>NWT16</t>
  </si>
  <si>
    <t>NWT17</t>
  </si>
  <si>
    <t>SRN14</t>
  </si>
  <si>
    <t>SRN15</t>
  </si>
  <si>
    <t>SRN16</t>
  </si>
  <si>
    <t>SRN17</t>
  </si>
  <si>
    <t>SVT14</t>
  </si>
  <si>
    <t>SVT15</t>
  </si>
  <si>
    <t>SVT16</t>
  </si>
  <si>
    <t>SVT17</t>
  </si>
  <si>
    <t>SWT14</t>
  </si>
  <si>
    <t>SWT15</t>
  </si>
  <si>
    <t>SWT16</t>
  </si>
  <si>
    <t>TMS14</t>
  </si>
  <si>
    <t>TMS15</t>
  </si>
  <si>
    <t>TMS16</t>
  </si>
  <si>
    <t>TMS17</t>
  </si>
  <si>
    <t>WSH14</t>
  </si>
  <si>
    <t>WSH15</t>
  </si>
  <si>
    <t>WSH16</t>
  </si>
  <si>
    <t>WSH17</t>
  </si>
  <si>
    <t>WSX14</t>
  </si>
  <si>
    <t>WSX15</t>
  </si>
  <si>
    <t>WSX16</t>
  </si>
  <si>
    <t>WSX17</t>
  </si>
  <si>
    <t>YKY14</t>
  </si>
  <si>
    <t>YKY15</t>
  </si>
  <si>
    <t>YKY16</t>
  </si>
  <si>
    <t>YKY17</t>
  </si>
  <si>
    <t>reROC2</t>
  </si>
  <si>
    <t>reROC4</t>
  </si>
  <si>
    <t>reRDC1</t>
  </si>
  <si>
    <t>reRDC20</t>
  </si>
  <si>
    <t>reRTC3</t>
  </si>
  <si>
    <t>reRTC4</t>
  </si>
  <si>
    <t>reRTC8</t>
  </si>
  <si>
    <t>hhdu_hh</t>
  </si>
  <si>
    <t>hhm_hh</t>
  </si>
  <si>
    <t>lnhh_t</t>
  </si>
  <si>
    <t>lnrev_hh</t>
  </si>
  <si>
    <t>eq_lpcf62</t>
  </si>
  <si>
    <t>incomescore</t>
  </si>
  <si>
    <t>_cons</t>
  </si>
  <si>
    <t>Key</t>
  </si>
  <si>
    <t>Cost drivers</t>
  </si>
  <si>
    <t>AFW14</t>
  </si>
  <si>
    <t>AFW15</t>
  </si>
  <si>
    <t>AFW16</t>
  </si>
  <si>
    <t>AFW17</t>
  </si>
  <si>
    <t>BRL14</t>
  </si>
  <si>
    <t>BRL15</t>
  </si>
  <si>
    <t>BRL16</t>
  </si>
  <si>
    <t>BRL17</t>
  </si>
  <si>
    <t>DVW14</t>
  </si>
  <si>
    <t>DVW15</t>
  </si>
  <si>
    <t>DVW16</t>
  </si>
  <si>
    <t>DVW17</t>
  </si>
  <si>
    <t>PRT14</t>
  </si>
  <si>
    <t>PRT15</t>
  </si>
  <si>
    <t>PRT16</t>
  </si>
  <si>
    <t>PRT17</t>
  </si>
  <si>
    <t>SES14</t>
  </si>
  <si>
    <t>SES15</t>
  </si>
  <si>
    <t>SES16</t>
  </si>
  <si>
    <t>SES17</t>
  </si>
  <si>
    <t>SEW14</t>
  </si>
  <si>
    <t>SEW15</t>
  </si>
  <si>
    <t>SEW16</t>
  </si>
  <si>
    <t>SEW17</t>
  </si>
  <si>
    <t>SSC14</t>
  </si>
  <si>
    <t>SSC15</t>
  </si>
  <si>
    <t>SSC16</t>
  </si>
  <si>
    <t>SSC17</t>
  </si>
  <si>
    <t>SWB17</t>
  </si>
  <si>
    <t>hh_t</t>
  </si>
  <si>
    <t>rev_hh</t>
  </si>
  <si>
    <t>unit</t>
  </si>
  <si>
    <t>000s</t>
  </si>
  <si>
    <t>ln(£)</t>
  </si>
  <si>
    <t>£</t>
  </si>
  <si>
    <t>DC_t</t>
  </si>
  <si>
    <t>Bad debt costs</t>
  </si>
  <si>
    <t>Other costs</t>
  </si>
  <si>
    <t>Total costs</t>
  </si>
  <si>
    <t>Dual service connections</t>
  </si>
  <si>
    <t>Proportion of metered customers</t>
  </si>
  <si>
    <t>Total households connected</t>
  </si>
  <si>
    <t>Insight - % of households with default</t>
  </si>
  <si>
    <t>Combined Income Score for Eng and Wales (IMD)</t>
  </si>
  <si>
    <t>Total internal + international migration</t>
  </si>
  <si>
    <t>To calculate the efficiency scores and efficiency adjustment factors for the final cost allowances.</t>
  </si>
  <si>
    <t>Variables</t>
  </si>
  <si>
    <t>ANH</t>
  </si>
  <si>
    <t>NES</t>
  </si>
  <si>
    <t>NWT</t>
  </si>
  <si>
    <t>SRN</t>
  </si>
  <si>
    <t>SVT</t>
  </si>
  <si>
    <t>TMS</t>
  </si>
  <si>
    <t>WSX</t>
  </si>
  <si>
    <t>YKY</t>
  </si>
  <si>
    <t>AFW</t>
  </si>
  <si>
    <t>BRL</t>
  </si>
  <si>
    <t>DVW</t>
  </si>
  <si>
    <t>PRT</t>
  </si>
  <si>
    <t>SES</t>
  </si>
  <si>
    <t>SEW</t>
  </si>
  <si>
    <t>SSC</t>
  </si>
  <si>
    <t>SWB</t>
  </si>
  <si>
    <t>Efficiency score</t>
  </si>
  <si>
    <t>Actual costs</t>
  </si>
  <si>
    <t>ln(nr)</t>
  </si>
  <si>
    <t>Raw data</t>
  </si>
  <si>
    <t>Transformed data</t>
  </si>
  <si>
    <t>Triangulated</t>
  </si>
  <si>
    <t>Table 1: Efficiency scores</t>
  </si>
  <si>
    <t>Company</t>
  </si>
  <si>
    <t>Modelled costs</t>
  </si>
  <si>
    <t>Sample period</t>
  </si>
  <si>
    <t>Model</t>
  </si>
  <si>
    <t>Years covered</t>
  </si>
  <si>
    <t>1. Retail Total Cost (RTC)</t>
  </si>
  <si>
    <t>2. Retail Other Cost (ROC)</t>
  </si>
  <si>
    <t>3. Retail Debt Cost (RDC)</t>
  </si>
  <si>
    <t>RDC</t>
  </si>
  <si>
    <t>ROC</t>
  </si>
  <si>
    <t>RTC</t>
  </si>
  <si>
    <t>Inputs</t>
  </si>
  <si>
    <t>Calculation of modelled costs and efficiency scores</t>
  </si>
  <si>
    <t>Model name</t>
  </si>
  <si>
    <t>Cost category</t>
  </si>
  <si>
    <t>WSH</t>
  </si>
  <si>
    <t>Totex</t>
  </si>
  <si>
    <t>Rank</t>
  </si>
  <si>
    <t>Totex (triangulated)</t>
  </si>
  <si>
    <t>company</t>
  </si>
  <si>
    <t>Average bill size</t>
  </si>
  <si>
    <t>label</t>
  </si>
  <si>
    <t>stata label</t>
  </si>
  <si>
    <t>Top down - RTC</t>
  </si>
  <si>
    <t>Bottom up - RDC+ROC</t>
  </si>
  <si>
    <t>Triangulated modelled unit costs</t>
  </si>
  <si>
    <t>Percentile</t>
  </si>
  <si>
    <t>Interpretation</t>
  </si>
  <si>
    <t>least efficient</t>
  </si>
  <si>
    <t>lower quartile</t>
  </si>
  <si>
    <t>lower third</t>
  </si>
  <si>
    <t>median</t>
  </si>
  <si>
    <t>upper third</t>
  </si>
  <si>
    <t>upper quartile</t>
  </si>
  <si>
    <t>frontier</t>
  </si>
  <si>
    <t>real £m</t>
  </si>
  <si>
    <t>Modelled costs (£m) - weighted</t>
  </si>
  <si>
    <t>Modelled total costs</t>
  </si>
  <si>
    <t>Summary of catch up adjustments</t>
  </si>
  <si>
    <t>2013-14</t>
  </si>
  <si>
    <t>2014-15</t>
  </si>
  <si>
    <t>2015-16</t>
  </si>
  <si>
    <t>2016-17</t>
  </si>
  <si>
    <t>Final triangulation</t>
  </si>
  <si>
    <t>ROC models</t>
  </si>
  <si>
    <t>RDC models</t>
  </si>
  <si>
    <t>RTC models</t>
  </si>
  <si>
    <t>Model weights and triangulation assumptions</t>
  </si>
  <si>
    <t>Modelled totex (£m) - triangulated</t>
  </si>
  <si>
    <t>ROC+RDC</t>
  </si>
  <si>
    <t>Efficiency scores</t>
  </si>
  <si>
    <t>Table 1 (sorted): Efficiency scores, most efficient company is ranked first</t>
  </si>
  <si>
    <t>Catch up efficiency</t>
  </si>
  <si>
    <t>SWB18</t>
  </si>
  <si>
    <t>ANH18</t>
  </si>
  <si>
    <t>NES18</t>
  </si>
  <si>
    <t>NWT18</t>
  </si>
  <si>
    <t>SRN18</t>
  </si>
  <si>
    <t>SVT18</t>
  </si>
  <si>
    <t>TMS18</t>
  </si>
  <si>
    <t>WSH18</t>
  </si>
  <si>
    <t>WSX18</t>
  </si>
  <si>
    <t>YKY18</t>
  </si>
  <si>
    <t>AFW18</t>
  </si>
  <si>
    <t>BRL18</t>
  </si>
  <si>
    <t>DVW18</t>
  </si>
  <si>
    <t>PRT18</t>
  </si>
  <si>
    <t>SES18</t>
  </si>
  <si>
    <t>SEW18</t>
  </si>
  <si>
    <t>SSC18</t>
  </si>
  <si>
    <t>2013-14 to 2017-18</t>
  </si>
  <si>
    <t>Years in sample</t>
  </si>
  <si>
    <t>2017-18</t>
  </si>
  <si>
    <t>All costs in £m, 2017/18 prices</t>
  </si>
  <si>
    <t>This tab calculates modelled costs per model by multiplying the model coefficients by the cost drivers. Modelled costs are then unlogged and calculated at total level.</t>
  </si>
  <si>
    <t>BWH</t>
  </si>
  <si>
    <t>BWH14</t>
  </si>
  <si>
    <t>BWH15</t>
  </si>
  <si>
    <t>BWH16</t>
  </si>
  <si>
    <t>Catch up efficiency challenge</t>
  </si>
  <si>
    <t>£ per hh</t>
  </si>
  <si>
    <t>dependent variable*</t>
  </si>
  <si>
    <t xml:space="preserve">Model weights </t>
  </si>
  <si>
    <t>ROC2_t</t>
  </si>
  <si>
    <t>Bottom up</t>
  </si>
  <si>
    <t>ROC4_t</t>
  </si>
  <si>
    <t>Top down</t>
  </si>
  <si>
    <t>RDC1_t</t>
  </si>
  <si>
    <t>RDC20_t</t>
  </si>
  <si>
    <t>RTC3_t</t>
  </si>
  <si>
    <t>RTC4_t</t>
  </si>
  <si>
    <t>RTC8_t</t>
  </si>
  <si>
    <t>%</t>
  </si>
  <si>
    <t>Company unique code</t>
  </si>
  <si>
    <t>Combination of company and year</t>
  </si>
  <si>
    <t>No. of obs</t>
  </si>
  <si>
    <t>ROC2_hh</t>
  </si>
  <si>
    <t>ROC4_hh</t>
  </si>
  <si>
    <t>RDC20_hh</t>
  </si>
  <si>
    <t>RTC3_hh</t>
  </si>
  <si>
    <t>RTC4_hh</t>
  </si>
  <si>
    <t>RTC8_hh</t>
  </si>
  <si>
    <t>Other retail costs</t>
  </si>
  <si>
    <t>Total retail costs</t>
  </si>
  <si>
    <t>Stata model code</t>
  </si>
  <si>
    <t>real £/hh</t>
  </si>
  <si>
    <t>Modelled unit costs</t>
  </si>
  <si>
    <t>Excel</t>
  </si>
  <si>
    <t>Stata</t>
  </si>
  <si>
    <t>RDC1_hh</t>
  </si>
  <si>
    <t xml:space="preserve">ROC2 </t>
  </si>
  <si>
    <t xml:space="preserve">ROC4 </t>
  </si>
  <si>
    <t xml:space="preserve">RDC1 </t>
  </si>
  <si>
    <t xml:space="preserve">RDC20 </t>
  </si>
  <si>
    <t xml:space="preserve">RTC3 </t>
  </si>
  <si>
    <t xml:space="preserve">RTC4 </t>
  </si>
  <si>
    <t xml:space="preserve">RTC8 </t>
  </si>
  <si>
    <t>Catch-up efficiency challenge parameters</t>
  </si>
  <si>
    <t>SWT</t>
  </si>
  <si>
    <t>Year</t>
  </si>
  <si>
    <t>Score</t>
  </si>
  <si>
    <t>From year</t>
  </si>
  <si>
    <t>To year</t>
  </si>
  <si>
    <t>Coeffs</t>
  </si>
  <si>
    <t>sTC_tr</t>
  </si>
  <si>
    <t>sOC_tr</t>
  </si>
  <si>
    <t>Reports the company submitted cost drivers used in retail econometric models. The drivers are sourced from FM_RR1.</t>
  </si>
  <si>
    <t>ROC2</t>
  </si>
  <si>
    <t>C_STC_TR_PR19CA009</t>
  </si>
  <si>
    <t>C_SOC_TR_PR19CA009</t>
  </si>
  <si>
    <t>C_DC_T_PR19CA009</t>
  </si>
  <si>
    <t>C_HH_T_PR19CA009</t>
  </si>
  <si>
    <t>C_HHM_HH_PR19CA009</t>
  </si>
  <si>
    <t>C_HHDU_HH_PR19CA009</t>
  </si>
  <si>
    <t>C_REV_HH_PR19CA009</t>
  </si>
  <si>
    <t>C_CD0018_PR19RR1</t>
  </si>
  <si>
    <t>C_CD0019_PR19RR1</t>
  </si>
  <si>
    <t>C_CD0021_PR19RR1</t>
  </si>
  <si>
    <t>Fountain ref</t>
  </si>
  <si>
    <t>Financial year</t>
  </si>
  <si>
    <t>totalmigration</t>
  </si>
  <si>
    <t/>
  </si>
  <si>
    <t>Top-down / bottom-up triangulation weights</t>
  </si>
  <si>
    <t>This tab presents the coefficients from the residential retail models. The coefficients are used to calculate modelled costs. The coefficients are generated in Stata and exported into 'RR coefficients.xls'.</t>
  </si>
  <si>
    <t>This tab presents the actual historic retail costs from 2013/14 to 2017/18. We compare the modelled costs to the actual costs when calculating the catch up efficiency. The costs are sourced from FM_RR1.</t>
  </si>
  <si>
    <t>Outputs</t>
  </si>
  <si>
    <t>Bad debt related costs</t>
  </si>
  <si>
    <t>Modelled costs, £m, 2017-18 prices, 5 years</t>
  </si>
  <si>
    <t>Not applicable</t>
  </si>
  <si>
    <t>Calculated differently relative to surrounding cells</t>
  </si>
  <si>
    <t>Number of years for catch up challenge calc</t>
  </si>
  <si>
    <t>Variable</t>
  </si>
  <si>
    <t>Metered customers</t>
  </si>
  <si>
    <t>Total Households Connected</t>
  </si>
  <si>
    <t>Average bill</t>
  </si>
  <si>
    <t>Households with default (Equifax)</t>
  </si>
  <si>
    <t>Income score for Eng and Wales (IMD)</t>
  </si>
  <si>
    <t>Constant</t>
  </si>
  <si>
    <t>Objective</t>
  </si>
  <si>
    <t>* Where retail total costs cover operating costs plus depreciation on capital investment, excluding third party and pension deficit repair costs.</t>
  </si>
  <si>
    <t>This tab calculates the costs at each level of aggregation and calculates the catch up efficiency challenge. This is estimated from companies’ efficiency scores, which are defined as the ratio of the modelled base costs that results from our model using historical data with modelled base costs as reported by companies for the period 2013/14 to 2017/18. The upper quartile efficiency score is used.</t>
  </si>
  <si>
    <t>Version 1.0. 18th July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</si>
</sst>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0"/>
    <numFmt numFmtId="166" formatCode="_-* #,##0_-;\-* #,##0_-;_-* &quot;-&quot;??_-;_-@_-"/>
    <numFmt numFmtId="167" formatCode="_-* #,##0.000_-;\-* #,##0.000_-;_-* &quot;-&quot;??_-;_-@_-"/>
    <numFmt numFmtId="168" formatCode="_-* #,##0.0000_-;\-* #,##0.0000_-;_-* &quot;-&quot;??_-;_-@_-"/>
    <numFmt numFmtId="169" formatCode="_-* #,##0.0_-;\-* #,##0.0_-;_-* &quot;-&quot;??_-;_-@_-"/>
    <numFmt numFmtId="170" formatCode="#,##0.00_ ;\-#,##0.00\ "/>
    <numFmt numFmtId="171" formatCode="#,##0_);\(#,##0\);&quot;-  &quot;;&quot; &quot;@&quot; &quot;"/>
    <numFmt numFmtId="172" formatCode="#,##0.0000_);\(#,##0.0000\);&quot;-  &quot;;&quot; &quot;@&quot; &quot;"/>
    <numFmt numFmtId="173" formatCode="0.00%_);\-0.00%_);&quot;-  &quot;;&quot; &quot;@&quot; &quot;"/>
    <numFmt numFmtId="174" formatCode="dd\ mmm\ yyyy_);\(###0\);&quot;-  &quot;;&quot; &quot;@&quot; &quot;"/>
    <numFmt numFmtId="175" formatCode="dd\ mmm\ yy_);\(###0\);&quot;-  &quot;;&quot; &quot;@&quot; &quot;"/>
    <numFmt numFmtId="176" formatCode="###0_);\(###0\);&quot;-  &quot;;&quot; &quot;@&quot; &quot;"/>
    <numFmt numFmtId="177" formatCode="&quot;£&quot;#,##0.00"/>
    <numFmt numFmtId="178" formatCode="#,##0.0_ ;[Red]\-#,##0.0\ "/>
    <numFmt numFmtId="179" formatCode="#,##0_ ;[Red]\-#,##0\ "/>
    <numFmt numFmtId="180" formatCode="0.000000"/>
    <numFmt numFmtId="181" formatCode="_-* #,##0.00000_-;\-* #,##0.00000_-;_-* &quot;-&quot;??_-;_-@_-"/>
    <numFmt numFmtId="182" formatCode="#,##0.000"/>
    <numFmt numFmtId="183" formatCode="_(* #,##0.000_);_(* \(#,##0.000\);_(* &quot;-&quot;??_);_(@_)"/>
    <numFmt numFmtId="184" formatCode="0.0"/>
    <numFmt numFmtId="186" formatCode="_(* #,##0.0000_);_(* \(#,##0.0000\);_(* &quot;-&quot;??_);_(@_)"/>
  </numFmts>
  <fonts count="57">
    <font>
      <sz val="11"/>
      <color theme="1"/>
      <name val="Arial"/>
      <family val="2"/>
    </font>
    <font>
      <sz val="11"/>
      <color theme="1"/>
      <name val="Arial"/>
      <family val="2"/>
    </font>
    <font>
      <sz val="11"/>
      <color rgb="FFFF0000"/>
      <name val="Arial"/>
      <family val="2"/>
    </font>
    <font>
      <sz val="11"/>
      <color theme="1"/>
      <name val="Arial"/>
      <family val="2"/>
      <scheme val="minor"/>
    </font>
    <font>
      <sz val="10"/>
      <color theme="1"/>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0"/>
      <name val="Arial"/>
      <family val="2"/>
    </font>
    <font>
      <sz val="11"/>
      <color indexed="8"/>
      <name val="Arial"/>
      <family val="2"/>
      <scheme val="minor"/>
    </font>
    <font>
      <sz val="11"/>
      <color theme="1"/>
      <name val="Verdana"/>
      <family val="2"/>
    </font>
    <font>
      <sz val="10"/>
      <color rgb="FF000000"/>
      <name val="Arial"/>
      <family val="2"/>
    </font>
    <font>
      <b/>
      <sz val="11"/>
      <color rgb="FFA32020"/>
      <name val="Arial"/>
      <family val="2"/>
    </font>
    <font>
      <sz val="10"/>
      <color theme="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10"/>
      <color theme="1"/>
      <name val="Calibri"/>
      <family val="2"/>
    </font>
    <font>
      <b/>
      <sz val="10"/>
      <color theme="1"/>
      <name val="Calibri"/>
      <family val="2"/>
    </font>
    <font>
      <sz val="11"/>
      <color theme="1"/>
      <name val="Calibri"/>
      <family val="2"/>
    </font>
    <font>
      <sz val="10"/>
      <color theme="0" tint="-0.499984740745262"/>
      <name val="Calibri"/>
      <family val="2"/>
    </font>
    <font>
      <sz val="11"/>
      <name val="Calibri"/>
      <family val="2"/>
    </font>
    <font>
      <sz val="11"/>
      <color rgb="FFFF0000"/>
      <name val="Calibri"/>
      <family val="2"/>
    </font>
    <font>
      <b/>
      <sz val="16"/>
      <color theme="3"/>
      <name val="Calibri"/>
      <family val="2"/>
    </font>
    <font>
      <b/>
      <sz val="12"/>
      <color theme="3"/>
      <name val="Calibri"/>
      <family val="2"/>
    </font>
    <font>
      <b/>
      <sz val="11"/>
      <color theme="4"/>
      <name val="Calibri"/>
      <family val="2"/>
    </font>
    <font>
      <b/>
      <sz val="14"/>
      <color theme="0"/>
      <name val="Calibri"/>
      <family val="2"/>
    </font>
    <font>
      <b/>
      <sz val="11"/>
      <color theme="1"/>
      <name val="Calibri"/>
      <family val="2"/>
    </font>
    <font>
      <b/>
      <sz val="11"/>
      <color theme="0"/>
      <name val="Calibri"/>
      <family val="2"/>
    </font>
    <font>
      <sz val="10"/>
      <name val="Calibri"/>
      <family val="2"/>
    </font>
    <font>
      <b/>
      <sz val="10"/>
      <name val="Calibri"/>
      <family val="2"/>
    </font>
    <font>
      <b/>
      <sz val="11"/>
      <color theme="9"/>
      <name val="Calibri"/>
      <family val="2"/>
    </font>
    <font>
      <b/>
      <u/>
      <sz val="10"/>
      <color theme="1"/>
      <name val="Calibri"/>
      <family val="2"/>
    </font>
    <font>
      <b/>
      <sz val="10"/>
      <color theme="0" tint="-0.499984740745262"/>
      <name val="Calibri"/>
      <family val="2"/>
    </font>
    <font>
      <b/>
      <sz val="14"/>
      <color theme="3"/>
      <name val="Calibri"/>
      <family val="2"/>
    </font>
    <font>
      <b/>
      <sz val="9"/>
      <color theme="3"/>
      <name val="Calibri"/>
      <family val="2"/>
    </font>
    <font>
      <sz val="10"/>
      <color rgb="FF000000"/>
      <name val="Calibri"/>
      <family val="2"/>
    </font>
    <font>
      <sz val="10"/>
      <name val="Arial"/>
      <family val="2"/>
    </font>
    <font>
      <b/>
      <sz val="14"/>
      <name val="Calibri"/>
      <family val="2"/>
    </font>
    <font>
      <sz val="11"/>
      <color rgb="FF006100"/>
      <name val="Arial"/>
      <family val="2"/>
    </font>
    <font>
      <sz val="11"/>
      <color theme="3"/>
      <name val="Calibri"/>
      <family val="2"/>
    </font>
    <font>
      <sz val="10"/>
      <color theme="9"/>
      <name val="Calibri"/>
      <family val="2"/>
    </font>
    <font>
      <b/>
      <sz val="10"/>
      <color theme="3"/>
      <name val="Calibri"/>
      <family val="2"/>
    </font>
    <font>
      <sz val="10"/>
      <color rgb="FF006100"/>
      <name val="Arial"/>
      <family val="2"/>
    </font>
    <font>
      <sz val="8"/>
      <color theme="1"/>
      <name val="Calibri"/>
      <family val="2"/>
    </font>
    <font>
      <sz val="11"/>
      <color theme="1"/>
      <name val="Gill Sans MT"/>
      <family val="2"/>
    </font>
    <font>
      <b/>
      <sz val="9"/>
      <color theme="3"/>
      <name val="Arial"/>
      <family val="2"/>
    </font>
  </fonts>
  <fills count="3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bgColor indexed="64"/>
      </patternFill>
    </fill>
    <fill>
      <patternFill patternType="solid">
        <fgColor theme="9"/>
        <bgColor indexed="64"/>
      </patternFill>
    </fill>
    <fill>
      <patternFill patternType="solid">
        <fgColor theme="3"/>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CCFFCC"/>
        <bgColor indexed="64"/>
      </patternFill>
    </fill>
    <fill>
      <patternFill patternType="solid">
        <fgColor rgb="FFC6EFCE"/>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theme="5" tint="0.59999389629810485"/>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diagonal/>
    </border>
    <border>
      <left style="thick">
        <color indexed="64"/>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s>
  <cellStyleXfs count="2742">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71" fontId="1" fillId="0" borderId="0" applyFont="0" applyFill="0" applyBorder="0" applyProtection="0">
      <alignment vertical="top"/>
    </xf>
    <xf numFmtId="164" fontId="1" fillId="0" borderId="0" applyFont="0" applyFill="0" applyBorder="0" applyAlignment="0" applyProtection="0"/>
    <xf numFmtId="173" fontId="1" fillId="0" borderId="0" applyFont="0" applyFill="0" applyBorder="0" applyProtection="0">
      <alignment vertical="top"/>
    </xf>
    <xf numFmtId="0" fontId="1" fillId="0" borderId="0"/>
    <xf numFmtId="0" fontId="1" fillId="0" borderId="0"/>
    <xf numFmtId="0" fontId="10" fillId="0" borderId="0"/>
    <xf numFmtId="0" fontId="10"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0"/>
    <xf numFmtId="0" fontId="1" fillId="0" borderId="0"/>
    <xf numFmtId="0" fontId="10" fillId="0" borderId="0"/>
    <xf numFmtId="0" fontId="1" fillId="0" borderId="0"/>
    <xf numFmtId="0" fontId="1" fillId="0" borderId="0"/>
    <xf numFmtId="9" fontId="12" fillId="0" borderId="0" applyFont="0" applyFill="0" applyBorder="0" applyAlignment="0" applyProtection="0"/>
    <xf numFmtId="0" fontId="1" fillId="0" borderId="0"/>
    <xf numFmtId="171" fontId="1" fillId="0" borderId="0" applyFont="0" applyFill="0" applyBorder="0" applyProtection="0">
      <alignment vertical="top"/>
    </xf>
    <xf numFmtId="0" fontId="1" fillId="0" borderId="0"/>
    <xf numFmtId="0" fontId="14" fillId="0" borderId="0" applyNumberFormat="0" applyFill="0" applyAlignment="0"/>
    <xf numFmtId="164" fontId="1" fillId="0" borderId="0" applyFont="0" applyFill="0" applyBorder="0" applyAlignment="0" applyProtection="0"/>
    <xf numFmtId="0" fontId="3" fillId="0" borderId="0"/>
    <xf numFmtId="9" fontId="10" fillId="0" borderId="0" applyFont="0" applyFill="0" applyBorder="0" applyAlignment="0" applyProtection="0"/>
    <xf numFmtId="0" fontId="9" fillId="18" borderId="22" applyNumberFormat="0" applyFont="0" applyAlignment="0" applyProtection="0"/>
    <xf numFmtId="9" fontId="3" fillId="0" borderId="0" applyFont="0" applyFill="0" applyBorder="0" applyAlignment="0" applyProtection="0"/>
    <xf numFmtId="0" fontId="10" fillId="0" borderId="0" applyNumberFormat="0" applyFill="0" applyBorder="0" applyProtection="0">
      <alignment horizontal="right" vertical="top"/>
    </xf>
    <xf numFmtId="0" fontId="12" fillId="0" borderId="0"/>
    <xf numFmtId="164" fontId="12" fillId="0" borderId="0" applyFont="0" applyFill="0" applyBorder="0" applyAlignment="0" applyProtection="0"/>
    <xf numFmtId="172" fontId="1" fillId="0" borderId="0" applyFont="0" applyFill="0" applyBorder="0" applyProtection="0">
      <alignment vertical="top"/>
    </xf>
    <xf numFmtId="0" fontId="16" fillId="0" borderId="0"/>
    <xf numFmtId="0" fontId="10" fillId="0" borderId="0">
      <alignment vertical="top"/>
    </xf>
    <xf numFmtId="0" fontId="1" fillId="0" borderId="0"/>
    <xf numFmtId="0" fontId="1" fillId="0" borderId="0"/>
    <xf numFmtId="0" fontId="1" fillId="0" borderId="0"/>
    <xf numFmtId="0" fontId="1" fillId="0" borderId="0"/>
    <xf numFmtId="0" fontId="13"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74" fontId="1" fillId="0" borderId="0" applyFont="0" applyFill="0" applyBorder="0" applyProtection="0">
      <alignment vertical="top"/>
    </xf>
    <xf numFmtId="175" fontId="1" fillId="0" borderId="0" applyFont="0" applyFill="0" applyBorder="0" applyProtection="0">
      <alignment vertical="top"/>
    </xf>
    <xf numFmtId="176" fontId="1" fillId="0" borderId="0" applyFont="0" applyFill="0" applyBorder="0" applyProtection="0">
      <alignment vertical="top"/>
    </xf>
    <xf numFmtId="177" fontId="6" fillId="12" borderId="0" applyNumberFormat="0">
      <alignment horizontal="left"/>
    </xf>
    <xf numFmtId="0" fontId="7" fillId="13" borderId="0" applyNumberFormat="0"/>
    <xf numFmtId="0" fontId="8" fillId="19" borderId="0" applyBorder="0"/>
    <xf numFmtId="178" fontId="4" fillId="20" borderId="0">
      <alignment horizontal="right" vertical="center"/>
    </xf>
    <xf numFmtId="0" fontId="4" fillId="15" borderId="21">
      <alignment horizontal="right" vertical="center" wrapText="1"/>
    </xf>
    <xf numFmtId="0" fontId="4" fillId="16" borderId="21">
      <alignment horizontal="right" vertical="center" wrapText="1"/>
    </xf>
    <xf numFmtId="0" fontId="7" fillId="13" borderId="21">
      <alignment horizontal="center" vertical="center" wrapText="1"/>
    </xf>
    <xf numFmtId="0" fontId="5" fillId="14" borderId="23">
      <alignment horizontal="left" vertical="center" wrapText="1"/>
    </xf>
    <xf numFmtId="178" fontId="15" fillId="21" borderId="0">
      <alignment horizontal="right" vertical="center"/>
    </xf>
    <xf numFmtId="0" fontId="6" fillId="12" borderId="21">
      <alignment horizontal="left" vertical="center" wrapText="1" readingOrder="1"/>
    </xf>
    <xf numFmtId="0" fontId="4" fillId="14" borderId="21">
      <alignment horizontal="right" vertical="center" wrapText="1"/>
    </xf>
    <xf numFmtId="0" fontId="15" fillId="19" borderId="21">
      <alignment horizontal="right" vertical="center" wrapText="1"/>
    </xf>
    <xf numFmtId="0" fontId="4" fillId="0" borderId="21">
      <alignment horizontal="left" vertical="center" wrapText="1"/>
    </xf>
    <xf numFmtId="179" fontId="15" fillId="22"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71" fontId="1" fillId="0" borderId="0" applyFont="0" applyFill="0" applyBorder="0" applyProtection="0">
      <alignment vertical="top"/>
    </xf>
    <xf numFmtId="173"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0" fontId="1"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4" fillId="23" borderId="0"/>
    <xf numFmtId="0" fontId="17" fillId="0" borderId="0" applyNumberFormat="0" applyFill="0" applyBorder="0" applyAlignment="0" applyProtection="0"/>
    <xf numFmtId="0" fontId="19" fillId="0" borderId="0"/>
    <xf numFmtId="0" fontId="10" fillId="0" borderId="0"/>
    <xf numFmtId="0" fontId="26" fillId="0" borderId="0"/>
    <xf numFmtId="0" fontId="26" fillId="0" borderId="0"/>
    <xf numFmtId="0" fontId="11" fillId="0" borderId="0"/>
    <xf numFmtId="0" fontId="1" fillId="0" borderId="0"/>
    <xf numFmtId="0" fontId="12" fillId="0" borderId="0"/>
    <xf numFmtId="0" fontId="1" fillId="0" borderId="0"/>
    <xf numFmtId="0" fontId="12" fillId="0" borderId="0"/>
    <xf numFmtId="40" fontId="20" fillId="17" borderId="0">
      <alignment horizontal="right"/>
    </xf>
    <xf numFmtId="0" fontId="21" fillId="17" borderId="0">
      <alignment horizontal="right"/>
    </xf>
    <xf numFmtId="0" fontId="22" fillId="17" borderId="24"/>
    <xf numFmtId="0" fontId="22" fillId="0" borderId="0" applyBorder="0">
      <alignment horizontal="centerContinuous"/>
    </xf>
    <xf numFmtId="0" fontId="23" fillId="0" borderId="0" applyBorder="0">
      <alignment horizontal="centerContinuous"/>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171" fontId="1" fillId="0" borderId="0" applyFont="0" applyFill="0" applyBorder="0" applyProtection="0">
      <alignment vertical="top"/>
    </xf>
    <xf numFmtId="164" fontId="1" fillId="0" borderId="0" applyFont="0" applyFill="0" applyBorder="0" applyAlignment="0" applyProtection="0"/>
    <xf numFmtId="173" fontId="1" fillId="0" borderId="0" applyFont="0" applyFill="0" applyBorder="0" applyProtection="0">
      <alignment vertical="top"/>
    </xf>
    <xf numFmtId="164" fontId="1" fillId="0" borderId="0" applyFont="0" applyFill="0" applyBorder="0" applyAlignment="0" applyProtection="0"/>
    <xf numFmtId="171" fontId="1" fillId="0" borderId="0" applyFont="0" applyFill="0" applyBorder="0" applyProtection="0">
      <alignment vertical="top"/>
    </xf>
    <xf numFmtId="0" fontId="1" fillId="0" borderId="0"/>
    <xf numFmtId="9" fontId="12" fillId="0" borderId="0" applyFont="0" applyFill="0" applyBorder="0" applyAlignment="0" applyProtection="0"/>
    <xf numFmtId="171" fontId="1" fillId="0" borderId="0" applyFont="0" applyFill="0" applyBorder="0" applyProtection="0">
      <alignment vertical="top"/>
    </xf>
    <xf numFmtId="171" fontId="1" fillId="0" borderId="0" applyFont="0" applyFill="0" applyBorder="0" applyProtection="0">
      <alignment vertical="top"/>
    </xf>
    <xf numFmtId="164" fontId="1" fillId="0" borderId="0" applyFont="0" applyFill="0" applyBorder="0" applyAlignment="0" applyProtection="0"/>
    <xf numFmtId="9" fontId="10" fillId="0" borderId="0" applyFont="0" applyFill="0" applyBorder="0" applyAlignment="0" applyProtection="0"/>
    <xf numFmtId="164" fontId="12"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71"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73"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71" fontId="1" fillId="0" borderId="0" applyFont="0" applyFill="0" applyBorder="0" applyProtection="0">
      <alignment vertical="top"/>
    </xf>
    <xf numFmtId="171" fontId="1" fillId="0" borderId="0" applyFont="0" applyFill="0" applyBorder="0" applyProtection="0">
      <alignment vertical="top"/>
    </xf>
    <xf numFmtId="171" fontId="1" fillId="0" borderId="0" applyFont="0" applyFill="0" applyBorder="0" applyProtection="0">
      <alignment vertical="top"/>
    </xf>
    <xf numFmtId="171" fontId="1" fillId="0" borderId="0" applyFont="0" applyFill="0" applyBorder="0" applyProtection="0">
      <alignment vertical="top"/>
    </xf>
    <xf numFmtId="171"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0" fontId="11" fillId="0" borderId="0"/>
    <xf numFmtId="0" fontId="47" fillId="0" borderId="0"/>
    <xf numFmtId="0" fontId="49" fillId="25" borderId="0" applyNumberFormat="0" applyBorder="0" applyAlignment="0" applyProtection="0"/>
  </cellStyleXfs>
  <cellXfs count="220">
    <xf numFmtId="0" fontId="0" fillId="0" borderId="0" xfId="0"/>
    <xf numFmtId="0" fontId="2" fillId="0" borderId="0" xfId="0" applyFont="1"/>
    <xf numFmtId="0" fontId="27" fillId="0" borderId="0" xfId="0" applyFont="1"/>
    <xf numFmtId="0" fontId="27" fillId="6" borderId="1"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27" fillId="2" borderId="1" xfId="0" applyFont="1" applyFill="1" applyBorder="1"/>
    <xf numFmtId="169" fontId="27" fillId="0" borderId="1" xfId="1" applyNumberFormat="1" applyFont="1" applyBorder="1" applyAlignment="1">
      <alignment wrapText="1"/>
    </xf>
    <xf numFmtId="0" fontId="27" fillId="0" borderId="1" xfId="0" applyFont="1" applyFill="1" applyBorder="1" applyAlignment="1">
      <alignment horizontal="center" vertical="center" wrapText="1"/>
    </xf>
    <xf numFmtId="0" fontId="27" fillId="0" borderId="1" xfId="0" applyFont="1" applyBorder="1"/>
    <xf numFmtId="0" fontId="33" fillId="0" borderId="0" xfId="3" applyFont="1"/>
    <xf numFmtId="0" fontId="27" fillId="0" borderId="0" xfId="0" applyFont="1" applyAlignment="1">
      <alignment wrapText="1"/>
    </xf>
    <xf numFmtId="0" fontId="27" fillId="0" borderId="0" xfId="0" applyFont="1" applyFill="1" applyAlignment="1"/>
    <xf numFmtId="0" fontId="27" fillId="0" borderId="0" xfId="0" applyFont="1" applyFill="1" applyAlignment="1">
      <alignment wrapText="1"/>
    </xf>
    <xf numFmtId="0" fontId="34" fillId="0" borderId="0" xfId="3" applyFont="1" applyAlignment="1">
      <alignment horizontal="left" vertical="top"/>
    </xf>
    <xf numFmtId="0" fontId="35" fillId="0" borderId="0" xfId="3" applyFont="1" applyAlignment="1">
      <alignment horizontal="left" vertical="top"/>
    </xf>
    <xf numFmtId="0" fontId="27" fillId="0" borderId="0" xfId="0" applyFont="1" applyFill="1"/>
    <xf numFmtId="166" fontId="36" fillId="11" borderId="0" xfId="1" applyNumberFormat="1" applyFont="1" applyFill="1" applyBorder="1" applyAlignment="1">
      <alignment horizontal="left" vertical="center"/>
    </xf>
    <xf numFmtId="166" fontId="37" fillId="11" borderId="0" xfId="1" applyNumberFormat="1" applyFont="1" applyFill="1" applyBorder="1" applyAlignment="1">
      <alignment horizontal="right" vertical="center"/>
    </xf>
    <xf numFmtId="166" fontId="38" fillId="11" borderId="0" xfId="1" applyNumberFormat="1" applyFont="1" applyFill="1" applyBorder="1" applyAlignment="1">
      <alignment horizontal="left" vertical="center"/>
    </xf>
    <xf numFmtId="0" fontId="35" fillId="0" borderId="0" xfId="3" applyFont="1" applyFill="1" applyAlignment="1">
      <alignment horizontal="left" vertical="top"/>
    </xf>
    <xf numFmtId="0" fontId="28" fillId="0" borderId="1" xfId="0" applyFont="1" applyBorder="1" applyAlignment="1">
      <alignment horizontal="center" vertical="center" wrapText="1"/>
    </xf>
    <xf numFmtId="164" fontId="27" fillId="0" borderId="1" xfId="1" applyFont="1" applyBorder="1" applyAlignment="1">
      <alignment wrapText="1"/>
    </xf>
    <xf numFmtId="167" fontId="27" fillId="0" borderId="1" xfId="1" applyNumberFormat="1" applyFont="1" applyBorder="1" applyAlignment="1">
      <alignment wrapText="1"/>
    </xf>
    <xf numFmtId="0" fontId="27" fillId="0" borderId="3" xfId="0" applyFont="1" applyFill="1" applyBorder="1"/>
    <xf numFmtId="0" fontId="27" fillId="0" borderId="6" xfId="0" applyFont="1" applyFill="1" applyBorder="1"/>
    <xf numFmtId="0" fontId="27" fillId="0" borderId="0" xfId="0" applyFont="1" applyAlignment="1">
      <alignment horizontal="right"/>
    </xf>
    <xf numFmtId="166" fontId="37" fillId="0" borderId="0" xfId="1" applyNumberFormat="1" applyFont="1" applyFill="1" applyBorder="1" applyAlignment="1">
      <alignment horizontal="right" vertical="center"/>
    </xf>
    <xf numFmtId="0" fontId="27" fillId="0" borderId="0" xfId="0" applyFont="1" applyFill="1" applyBorder="1" applyAlignment="1">
      <alignment horizontal="center" vertical="center" wrapText="1"/>
    </xf>
    <xf numFmtId="0" fontId="30" fillId="0" borderId="0" xfId="0" applyFont="1" applyFill="1" applyBorder="1" applyAlignment="1">
      <alignment wrapText="1"/>
    </xf>
    <xf numFmtId="0" fontId="27" fillId="0" borderId="0" xfId="0" applyFont="1" applyBorder="1"/>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wrapText="1"/>
    </xf>
    <xf numFmtId="0" fontId="39" fillId="7" borderId="1" xfId="0" applyFont="1" applyFill="1" applyBorder="1" applyAlignment="1">
      <alignment horizontal="center" vertical="center" wrapText="1"/>
    </xf>
    <xf numFmtId="0" fontId="39" fillId="8" borderId="1" xfId="0" applyFont="1" applyFill="1" applyBorder="1" applyAlignment="1">
      <alignment horizontal="center" vertical="center" wrapText="1"/>
    </xf>
    <xf numFmtId="0" fontId="28" fillId="0" borderId="0" xfId="0" applyFont="1" applyBorder="1" applyAlignment="1">
      <alignment wrapText="1"/>
    </xf>
    <xf numFmtId="0" fontId="37" fillId="0" borderId="0" xfId="0" applyFont="1" applyFill="1" applyBorder="1" applyAlignment="1">
      <alignment wrapText="1"/>
    </xf>
    <xf numFmtId="9" fontId="39" fillId="2" borderId="1" xfId="0" applyNumberFormat="1" applyFont="1" applyFill="1" applyBorder="1" applyAlignment="1">
      <alignment horizontal="center" vertical="center" wrapText="1"/>
    </xf>
    <xf numFmtId="0" fontId="27" fillId="0" borderId="0" xfId="0" applyFont="1" applyFill="1" applyBorder="1" applyAlignment="1">
      <alignment wrapText="1"/>
    </xf>
    <xf numFmtId="9" fontId="30" fillId="0" borderId="0" xfId="0" applyNumberFormat="1" applyFont="1" applyFill="1" applyBorder="1" applyAlignment="1">
      <alignment horizontal="center" vertical="center" wrapText="1"/>
    </xf>
    <xf numFmtId="166" fontId="37" fillId="0" borderId="0" xfId="1" applyNumberFormat="1" applyFont="1" applyFill="1" applyBorder="1" applyAlignment="1">
      <alignment horizontal="left" vertical="center"/>
    </xf>
    <xf numFmtId="166" fontId="41" fillId="0" borderId="0" xfId="1" applyNumberFormat="1" applyFont="1" applyFill="1" applyBorder="1" applyAlignment="1">
      <alignment horizontal="right" vertical="center"/>
    </xf>
    <xf numFmtId="0" fontId="42" fillId="0" borderId="0" xfId="0" applyFont="1" applyAlignment="1"/>
    <xf numFmtId="0" fontId="42" fillId="0" borderId="0" xfId="0" applyFont="1" applyFill="1" applyBorder="1" applyAlignment="1"/>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5" borderId="12"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0" xfId="0" applyFont="1" applyFill="1" applyBorder="1" applyAlignment="1">
      <alignment wrapText="1"/>
    </xf>
    <xf numFmtId="0" fontId="27" fillId="0" borderId="0" xfId="0" applyFont="1" applyFill="1" applyBorder="1"/>
    <xf numFmtId="0" fontId="29" fillId="2" borderId="1" xfId="0" applyFont="1" applyFill="1" applyBorder="1"/>
    <xf numFmtId="169" fontId="27" fillId="0" borderId="1" xfId="0" applyNumberFormat="1" applyFont="1" applyBorder="1" applyAlignment="1">
      <alignment wrapText="1"/>
    </xf>
    <xf numFmtId="169" fontId="27" fillId="0" borderId="3" xfId="0" applyNumberFormat="1" applyFont="1" applyBorder="1" applyAlignment="1">
      <alignment wrapText="1"/>
    </xf>
    <xf numFmtId="169" fontId="28" fillId="0" borderId="12" xfId="0" applyNumberFormat="1" applyFont="1" applyBorder="1" applyAlignment="1">
      <alignment wrapText="1"/>
    </xf>
    <xf numFmtId="0" fontId="29" fillId="2" borderId="3" xfId="0" applyFont="1" applyFill="1" applyBorder="1"/>
    <xf numFmtId="170" fontId="27" fillId="0" borderId="1" xfId="1" applyNumberFormat="1" applyFont="1" applyBorder="1" applyAlignment="1">
      <alignment horizontal="center" wrapText="1"/>
    </xf>
    <xf numFmtId="170" fontId="27" fillId="0" borderId="3" xfId="1" applyNumberFormat="1" applyFont="1" applyBorder="1" applyAlignment="1">
      <alignment horizontal="center" wrapText="1"/>
    </xf>
    <xf numFmtId="170" fontId="27" fillId="0" borderId="16" xfId="1" applyNumberFormat="1" applyFont="1" applyBorder="1" applyAlignment="1">
      <alignment horizontal="center" wrapText="1"/>
    </xf>
    <xf numFmtId="0" fontId="27" fillId="0" borderId="1" xfId="0" applyFont="1" applyBorder="1" applyAlignment="1">
      <alignment horizontal="center" wrapText="1"/>
    </xf>
    <xf numFmtId="2" fontId="27" fillId="0" borderId="1" xfId="1" applyNumberFormat="1" applyFont="1" applyBorder="1" applyAlignment="1">
      <alignment wrapText="1"/>
    </xf>
    <xf numFmtId="164" fontId="27" fillId="0" borderId="0" xfId="1" applyFont="1" applyFill="1" applyBorder="1" applyAlignment="1">
      <alignment wrapText="1"/>
    </xf>
    <xf numFmtId="168" fontId="27" fillId="0" borderId="0" xfId="1" applyNumberFormat="1" applyFont="1" applyFill="1" applyBorder="1" applyAlignment="1">
      <alignment wrapText="1"/>
    </xf>
    <xf numFmtId="170" fontId="27" fillId="0" borderId="17" xfId="1" applyNumberFormat="1" applyFont="1" applyBorder="1" applyAlignment="1">
      <alignment horizontal="center" wrapText="1"/>
    </xf>
    <xf numFmtId="170" fontId="27" fillId="0" borderId="18" xfId="1" applyNumberFormat="1" applyFont="1" applyBorder="1" applyAlignment="1">
      <alignment horizontal="center" wrapText="1"/>
    </xf>
    <xf numFmtId="170" fontId="27" fillId="0" borderId="19" xfId="1" applyNumberFormat="1" applyFont="1" applyBorder="1" applyAlignment="1">
      <alignment horizontal="center" wrapText="1"/>
    </xf>
    <xf numFmtId="170" fontId="27" fillId="0" borderId="1" xfId="1" applyNumberFormat="1" applyFont="1" applyFill="1" applyBorder="1" applyAlignment="1">
      <alignment horizontal="center" wrapText="1"/>
    </xf>
    <xf numFmtId="170" fontId="27" fillId="0" borderId="3" xfId="1" applyNumberFormat="1" applyFont="1" applyFill="1" applyBorder="1" applyAlignment="1">
      <alignment horizontal="center" wrapText="1"/>
    </xf>
    <xf numFmtId="170" fontId="27" fillId="0" borderId="17" xfId="1" applyNumberFormat="1" applyFont="1" applyFill="1" applyBorder="1" applyAlignment="1">
      <alignment horizontal="center" wrapText="1"/>
    </xf>
    <xf numFmtId="169" fontId="28" fillId="0" borderId="13" xfId="0" applyNumberFormat="1" applyFont="1" applyBorder="1" applyAlignment="1">
      <alignment wrapText="1"/>
    </xf>
    <xf numFmtId="170" fontId="27" fillId="0" borderId="20" xfId="1" applyNumberFormat="1" applyFont="1" applyBorder="1" applyAlignment="1">
      <alignment horizontal="center" wrapText="1"/>
    </xf>
    <xf numFmtId="0" fontId="43" fillId="0" borderId="0" xfId="0" applyFont="1" applyBorder="1" applyAlignment="1">
      <alignment horizontal="left" vertical="center" wrapText="1"/>
    </xf>
    <xf numFmtId="9" fontId="30" fillId="0" borderId="0" xfId="0" applyNumberFormat="1" applyFont="1" applyBorder="1" applyAlignment="1">
      <alignment horizontal="center" vertical="center" wrapText="1"/>
    </xf>
    <xf numFmtId="9" fontId="30" fillId="0" borderId="14" xfId="0" applyNumberFormat="1" applyFont="1" applyBorder="1" applyAlignment="1">
      <alignment horizontal="center" vertical="center" wrapText="1"/>
    </xf>
    <xf numFmtId="9" fontId="43" fillId="0" borderId="0" xfId="0" applyNumberFormat="1" applyFont="1" applyFill="1" applyBorder="1" applyAlignment="1">
      <alignment horizontal="center" vertical="center" wrapText="1"/>
    </xf>
    <xf numFmtId="0" fontId="27" fillId="0" borderId="10" xfId="0" applyFont="1" applyBorder="1" applyAlignment="1">
      <alignment horizontal="center" wrapText="1"/>
    </xf>
    <xf numFmtId="0" fontId="27" fillId="0" borderId="0" xfId="0" applyFont="1" applyFill="1" applyBorder="1" applyAlignment="1">
      <alignment horizontal="center" wrapText="1"/>
    </xf>
    <xf numFmtId="0" fontId="29" fillId="2" borderId="1" xfId="0" applyFont="1" applyFill="1" applyBorder="1" applyAlignment="1">
      <alignment horizontal="center"/>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44" fillId="0" borderId="5" xfId="0" applyFont="1" applyFill="1" applyBorder="1" applyAlignment="1">
      <alignment horizontal="centerContinuous"/>
    </xf>
    <xf numFmtId="0" fontId="44" fillId="0" borderId="0" xfId="0" applyFont="1" applyFill="1" applyBorder="1" applyAlignment="1">
      <alignment horizontal="centerContinuous"/>
    </xf>
    <xf numFmtId="0" fontId="29" fillId="0" borderId="0" xfId="0" applyFont="1" applyFill="1" applyBorder="1" applyAlignment="1">
      <alignment horizontal="center"/>
    </xf>
    <xf numFmtId="0" fontId="29" fillId="0" borderId="1" xfId="0" applyFont="1" applyFill="1" applyBorder="1" applyAlignment="1">
      <alignment horizontal="center"/>
    </xf>
    <xf numFmtId="1" fontId="29" fillId="0" borderId="0" xfId="2" applyNumberFormat="1" applyFont="1" applyFill="1" applyBorder="1"/>
    <xf numFmtId="0" fontId="29" fillId="0" borderId="0" xfId="0" applyFont="1" applyFill="1"/>
    <xf numFmtId="0" fontId="29" fillId="0" borderId="1" xfId="0" applyFont="1" applyFill="1" applyBorder="1"/>
    <xf numFmtId="0" fontId="29" fillId="0" borderId="0" xfId="0" applyFont="1" applyFill="1" applyBorder="1"/>
    <xf numFmtId="180" fontId="29" fillId="0" borderId="0" xfId="0" applyNumberFormat="1" applyFont="1" applyFill="1" applyBorder="1"/>
    <xf numFmtId="0" fontId="0" fillId="0" borderId="0" xfId="0" applyFill="1" applyBorder="1"/>
    <xf numFmtId="10" fontId="29" fillId="0" borderId="0" xfId="0" applyNumberFormat="1" applyFont="1" applyFill="1" applyBorder="1"/>
    <xf numFmtId="181" fontId="30" fillId="0" borderId="0" xfId="0" applyNumberFormat="1" applyFont="1" applyBorder="1" applyAlignment="1">
      <alignment horizontal="center" vertical="center" wrapText="1"/>
    </xf>
    <xf numFmtId="0" fontId="37" fillId="0" borderId="0" xfId="0" applyFont="1" applyFill="1"/>
    <xf numFmtId="0" fontId="29" fillId="0" borderId="26" xfId="0" applyFont="1" applyFill="1" applyBorder="1"/>
    <xf numFmtId="166" fontId="36" fillId="0" borderId="0" xfId="1" applyNumberFormat="1" applyFont="1" applyFill="1" applyBorder="1" applyAlignment="1">
      <alignment horizontal="left" vertical="center"/>
    </xf>
    <xf numFmtId="166" fontId="38" fillId="0" borderId="0" xfId="1" applyNumberFormat="1" applyFont="1" applyFill="1" applyBorder="1" applyAlignment="1">
      <alignment horizontal="left" vertical="center"/>
    </xf>
    <xf numFmtId="166" fontId="48" fillId="0" borderId="0" xfId="1" applyNumberFormat="1" applyFont="1" applyFill="1" applyBorder="1" applyAlignment="1">
      <alignment horizontal="left" vertical="center"/>
    </xf>
    <xf numFmtId="0" fontId="44" fillId="0" borderId="0" xfId="3" applyFont="1" applyFill="1"/>
    <xf numFmtId="0" fontId="29" fillId="0" borderId="2" xfId="0" applyFont="1" applyFill="1" applyBorder="1"/>
    <xf numFmtId="0" fontId="45" fillId="0" borderId="0" xfId="3" applyFont="1" applyFill="1" applyBorder="1"/>
    <xf numFmtId="0" fontId="29" fillId="0" borderId="0" xfId="0" quotePrefix="1" applyFont="1" applyFill="1"/>
    <xf numFmtId="0" fontId="31" fillId="0" borderId="0" xfId="0" applyFont="1" applyFill="1" applyBorder="1"/>
    <xf numFmtId="0" fontId="28" fillId="0" borderId="0" xfId="0" applyFont="1" applyFill="1"/>
    <xf numFmtId="0" fontId="27" fillId="0" borderId="9" xfId="0" applyFont="1" applyFill="1" applyBorder="1"/>
    <xf numFmtId="4" fontId="29" fillId="0" borderId="0" xfId="0" applyNumberFormat="1" applyFont="1" applyFill="1"/>
    <xf numFmtId="0" fontId="28" fillId="3" borderId="3" xfId="0" applyFont="1" applyFill="1" applyBorder="1" applyAlignment="1">
      <alignment horizontal="left" wrapText="1"/>
    </xf>
    <xf numFmtId="0" fontId="28" fillId="3" borderId="5" xfId="0" applyFont="1" applyFill="1" applyBorder="1" applyAlignment="1">
      <alignment horizontal="left" wrapText="1"/>
    </xf>
    <xf numFmtId="0" fontId="28" fillId="3" borderId="6" xfId="0" applyFont="1" applyFill="1" applyBorder="1" applyAlignment="1">
      <alignment horizontal="center" vertical="center" wrapText="1"/>
    </xf>
    <xf numFmtId="0" fontId="27" fillId="0" borderId="3" xfId="0" applyFont="1" applyFill="1" applyBorder="1" applyAlignment="1">
      <alignment vertical="center"/>
    </xf>
    <xf numFmtId="0" fontId="27" fillId="0" borderId="5" xfId="0" applyFont="1" applyFill="1" applyBorder="1" applyAlignment="1">
      <alignment vertical="center" wrapText="1"/>
    </xf>
    <xf numFmtId="0" fontId="27" fillId="0" borderId="5" xfId="0" applyFont="1" applyFill="1" applyBorder="1" applyAlignment="1">
      <alignment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 xfId="0" applyFont="1" applyFill="1" applyBorder="1"/>
    <xf numFmtId="0" fontId="27" fillId="0" borderId="1" xfId="0" applyFont="1" applyFill="1" applyBorder="1" applyAlignment="1"/>
    <xf numFmtId="180" fontId="32" fillId="0" borderId="0" xfId="0" applyNumberFormat="1" applyFont="1" applyFill="1" applyBorder="1"/>
    <xf numFmtId="0" fontId="44" fillId="0" borderId="3" xfId="0" applyFont="1" applyFill="1" applyBorder="1" applyAlignment="1">
      <alignment horizontal="centerContinuous"/>
    </xf>
    <xf numFmtId="0" fontId="44" fillId="0" borderId="6" xfId="0" applyFont="1" applyFill="1" applyBorder="1" applyAlignment="1">
      <alignment horizontal="centerContinuous"/>
    </xf>
    <xf numFmtId="0" fontId="31" fillId="0" borderId="1" xfId="0" applyFont="1" applyFill="1" applyBorder="1" applyAlignment="1">
      <alignment horizontal="center" vertical="center" wrapText="1"/>
    </xf>
    <xf numFmtId="4" fontId="29" fillId="0" borderId="1" xfId="2" applyNumberFormat="1" applyFont="1" applyFill="1" applyBorder="1"/>
    <xf numFmtId="165" fontId="29" fillId="0" borderId="1" xfId="2" applyNumberFormat="1" applyFont="1" applyFill="1" applyBorder="1"/>
    <xf numFmtId="4" fontId="29" fillId="0" borderId="1" xfId="0" applyNumberFormat="1" applyFont="1" applyFill="1" applyBorder="1"/>
    <xf numFmtId="2" fontId="29" fillId="0" borderId="1" xfId="2" applyNumberFormat="1" applyFont="1" applyFill="1" applyBorder="1"/>
    <xf numFmtId="0" fontId="50" fillId="0" borderId="1" xfId="0" applyFont="1" applyFill="1" applyBorder="1" applyAlignment="1">
      <alignment horizontal="center"/>
    </xf>
    <xf numFmtId="0" fontId="27" fillId="0" borderId="1" xfId="0" applyFont="1" applyFill="1" applyBorder="1" applyAlignment="1">
      <alignment vertical="center" wrapText="1"/>
    </xf>
    <xf numFmtId="0" fontId="27" fillId="0" borderId="6" xfId="0" applyFont="1" applyFill="1" applyBorder="1" applyAlignment="1">
      <alignment vertical="center" wrapText="1"/>
    </xf>
    <xf numFmtId="0" fontId="29" fillId="0" borderId="6" xfId="0" applyFont="1" applyFill="1" applyBorder="1"/>
    <xf numFmtId="0" fontId="51" fillId="0" borderId="0" xfId="0" applyFont="1" applyFill="1"/>
    <xf numFmtId="0" fontId="27" fillId="9"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9" fillId="0" borderId="5" xfId="0" applyFont="1" applyFill="1" applyBorder="1" applyAlignment="1">
      <alignment horizontal="centerContinuous"/>
    </xf>
    <xf numFmtId="0" fontId="29" fillId="0" borderId="6" xfId="0" applyFont="1" applyFill="1" applyBorder="1" applyAlignment="1">
      <alignment horizontal="centerContinuous"/>
    </xf>
    <xf numFmtId="0" fontId="29" fillId="0" borderId="4" xfId="0" applyFont="1" applyFill="1" applyBorder="1"/>
    <xf numFmtId="182" fontId="29" fillId="0" borderId="1" xfId="0" applyNumberFormat="1" applyFont="1" applyFill="1" applyBorder="1"/>
    <xf numFmtId="0" fontId="52" fillId="0" borderId="3" xfId="0" applyFont="1" applyFill="1" applyBorder="1" applyAlignment="1">
      <alignment horizontal="centerContinuous"/>
    </xf>
    <xf numFmtId="0" fontId="27" fillId="0" borderId="5" xfId="0" applyFont="1" applyFill="1" applyBorder="1" applyAlignment="1">
      <alignment horizontal="centerContinuous"/>
    </xf>
    <xf numFmtId="0" fontId="52" fillId="0" borderId="1" xfId="0" applyFont="1" applyFill="1" applyBorder="1" applyAlignment="1">
      <alignment horizontal="centerContinuous"/>
    </xf>
    <xf numFmtId="0" fontId="28" fillId="0" borderId="3" xfId="0" applyFont="1" applyBorder="1"/>
    <xf numFmtId="0" fontId="27" fillId="0" borderId="1" xfId="0" applyFont="1" applyFill="1" applyBorder="1" applyAlignment="1">
      <alignment horizontal="centerContinuous"/>
    </xf>
    <xf numFmtId="0" fontId="27" fillId="0" borderId="1" xfId="0" applyFont="1" applyFill="1" applyBorder="1" applyAlignment="1">
      <alignment horizontal="centerContinuous" vertical="top"/>
    </xf>
    <xf numFmtId="2" fontId="27" fillId="0" borderId="0" xfId="0" applyNumberFormat="1" applyFont="1" applyFill="1"/>
    <xf numFmtId="9" fontId="27" fillId="0" borderId="0" xfId="2" applyFont="1" applyFill="1"/>
    <xf numFmtId="0" fontId="53" fillId="25" borderId="1" xfId="2741" applyFont="1" applyBorder="1" applyAlignment="1">
      <alignment horizontal="center"/>
    </xf>
    <xf numFmtId="184" fontId="27" fillId="0" borderId="1" xfId="0" applyNumberFormat="1" applyFont="1" applyFill="1" applyBorder="1" applyAlignment="1">
      <alignment horizontal="right" vertical="center"/>
    </xf>
    <xf numFmtId="184" fontId="39" fillId="0" borderId="1" xfId="0" applyNumberFormat="1" applyFont="1" applyFill="1" applyBorder="1" applyAlignment="1">
      <alignment horizontal="right" vertical="center"/>
    </xf>
    <xf numFmtId="0" fontId="27" fillId="0" borderId="1" xfId="0" applyFont="1" applyBorder="1" applyAlignment="1">
      <alignment horizontal="left" vertical="center" wrapText="1"/>
    </xf>
    <xf numFmtId="0" fontId="27" fillId="0" borderId="1" xfId="0" applyFont="1" applyBorder="1" applyAlignment="1">
      <alignment vertical="center" wrapText="1"/>
    </xf>
    <xf numFmtId="165" fontId="27" fillId="0" borderId="1" xfId="0" applyNumberFormat="1" applyFont="1" applyBorder="1" applyAlignment="1">
      <alignment horizontal="right" vertical="center"/>
    </xf>
    <xf numFmtId="165" fontId="27" fillId="0" borderId="0" xfId="0" applyNumberFormat="1" applyFont="1"/>
    <xf numFmtId="165" fontId="27" fillId="0" borderId="0" xfId="0" applyNumberFormat="1" applyFont="1" applyFill="1"/>
    <xf numFmtId="4" fontId="27" fillId="0" borderId="0" xfId="0" applyNumberFormat="1" applyFont="1" applyFill="1"/>
    <xf numFmtId="0" fontId="28" fillId="0" borderId="26" xfId="0" applyFont="1" applyBorder="1" applyAlignment="1">
      <alignment horizontal="left" vertical="center"/>
    </xf>
    <xf numFmtId="0" fontId="27" fillId="0" borderId="14" xfId="0" applyFont="1" applyFill="1" applyBorder="1" applyAlignment="1">
      <alignment vertical="center"/>
    </xf>
    <xf numFmtId="0" fontId="28" fillId="0" borderId="1" xfId="0" applyFont="1" applyFill="1" applyBorder="1" applyAlignment="1">
      <alignment horizontal="center" vertical="center"/>
    </xf>
    <xf numFmtId="0" fontId="27" fillId="0" borderId="25" xfId="0" applyFont="1" applyFill="1" applyBorder="1" applyAlignment="1">
      <alignment vertical="center"/>
    </xf>
    <xf numFmtId="0" fontId="27" fillId="0" borderId="0" xfId="0" applyFont="1" applyFill="1" applyBorder="1" applyAlignment="1">
      <alignment vertical="center"/>
    </xf>
    <xf numFmtId="0" fontId="27" fillId="0" borderId="24" xfId="0" applyFont="1" applyFill="1" applyBorder="1" applyAlignment="1">
      <alignment vertical="center"/>
    </xf>
    <xf numFmtId="0" fontId="27" fillId="0" borderId="1" xfId="0" applyFont="1" applyFill="1" applyBorder="1" applyAlignment="1">
      <alignment horizontal="center"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0" fontId="27" fillId="0" borderId="27" xfId="0" applyFont="1" applyFill="1" applyBorder="1" applyAlignment="1">
      <alignment vertical="center"/>
    </xf>
    <xf numFmtId="0" fontId="27" fillId="0" borderId="14" xfId="0" applyFont="1" applyFill="1" applyBorder="1"/>
    <xf numFmtId="9" fontId="27" fillId="2" borderId="1" xfId="2" applyFont="1" applyFill="1" applyBorder="1" applyAlignment="1">
      <alignment horizontal="center" vertical="center"/>
    </xf>
    <xf numFmtId="0" fontId="29" fillId="0" borderId="9" xfId="0" applyFont="1" applyFill="1" applyBorder="1" applyAlignment="1">
      <alignment horizontal="centerContinuous"/>
    </xf>
    <xf numFmtId="0" fontId="37" fillId="0" borderId="26" xfId="0" applyFont="1" applyFill="1" applyBorder="1"/>
    <xf numFmtId="0" fontId="9" fillId="0" borderId="1" xfId="0" applyFont="1" applyFill="1" applyBorder="1" applyAlignment="1">
      <alignment horizontal="center"/>
    </xf>
    <xf numFmtId="0" fontId="9" fillId="0" borderId="1" xfId="0" applyFont="1" applyBorder="1"/>
    <xf numFmtId="0" fontId="29" fillId="0" borderId="5" xfId="0" applyFont="1" applyFill="1" applyBorder="1"/>
    <xf numFmtId="0" fontId="27" fillId="0" borderId="7" xfId="0" applyFont="1" applyFill="1" applyBorder="1" applyAlignment="1">
      <alignment vertical="center" wrapText="1"/>
    </xf>
    <xf numFmtId="0" fontId="54" fillId="2" borderId="1" xfId="0" applyFont="1" applyFill="1" applyBorder="1"/>
    <xf numFmtId="0" fontId="27" fillId="24" borderId="1" xfId="0" applyFont="1" applyFill="1" applyBorder="1" applyAlignment="1">
      <alignment horizontal="center" vertical="center"/>
    </xf>
    <xf numFmtId="164" fontId="27" fillId="2" borderId="1" xfId="1" applyFont="1" applyFill="1" applyBorder="1" applyAlignment="1">
      <alignment wrapText="1"/>
    </xf>
    <xf numFmtId="183" fontId="27" fillId="2" borderId="1" xfId="1" applyNumberFormat="1" applyFont="1" applyFill="1" applyBorder="1" applyAlignment="1">
      <alignment wrapText="1"/>
    </xf>
    <xf numFmtId="0" fontId="27" fillId="2" borderId="3" xfId="0" applyFont="1" applyFill="1" applyBorder="1"/>
    <xf numFmtId="0" fontId="27" fillId="2" borderId="6" xfId="0" applyFont="1" applyFill="1" applyBorder="1"/>
    <xf numFmtId="4" fontId="29" fillId="27" borderId="1" xfId="0" applyNumberFormat="1" applyFont="1" applyFill="1" applyBorder="1" applyAlignment="1">
      <alignment horizontal="right" vertical="center"/>
    </xf>
    <xf numFmtId="0" fontId="27" fillId="6" borderId="1" xfId="0" applyFont="1" applyFill="1" applyBorder="1" applyAlignment="1">
      <alignment horizontal="center"/>
    </xf>
    <xf numFmtId="3" fontId="27" fillId="6" borderId="1" xfId="0" applyNumberFormat="1" applyFont="1" applyFill="1" applyBorder="1" applyAlignment="1">
      <alignment horizontal="right" vertical="center"/>
    </xf>
    <xf numFmtId="169" fontId="27" fillId="6" borderId="1" xfId="1" applyNumberFormat="1" applyFont="1" applyFill="1" applyBorder="1" applyAlignment="1">
      <alignment wrapText="1"/>
    </xf>
    <xf numFmtId="0" fontId="27" fillId="26" borderId="1" xfId="0" applyFont="1" applyFill="1" applyBorder="1" applyAlignment="1">
      <alignment horizontal="center" vertical="center" wrapText="1"/>
    </xf>
    <xf numFmtId="0" fontId="28" fillId="0" borderId="0" xfId="0" applyFont="1"/>
    <xf numFmtId="0" fontId="28" fillId="0" borderId="6" xfId="0" applyFont="1" applyBorder="1"/>
    <xf numFmtId="0" fontId="27" fillId="0" borderId="4" xfId="0" applyFont="1" applyFill="1" applyBorder="1"/>
    <xf numFmtId="0" fontId="56" fillId="28" borderId="0" xfId="2739" applyFont="1" applyFill="1"/>
    <xf numFmtId="0" fontId="29" fillId="0" borderId="0" xfId="0" applyFont="1" applyFill="1" applyBorder="1" applyAlignment="1"/>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0" xfId="0" applyFont="1" applyBorder="1" applyAlignment="1">
      <alignment horizontal="center" vertical="center" wrapText="1"/>
    </xf>
    <xf numFmtId="0" fontId="40" fillId="8" borderId="1" xfId="0" applyFont="1" applyFill="1" applyBorder="1" applyAlignment="1">
      <alignment horizontal="center" vertical="center" wrapText="1"/>
    </xf>
    <xf numFmtId="0" fontId="28" fillId="0" borderId="5" xfId="0" applyFont="1" applyBorder="1" applyAlignment="1">
      <alignment horizontal="center" vertical="center" wrapText="1"/>
    </xf>
    <xf numFmtId="0" fontId="40" fillId="7" borderId="1"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28" fillId="7" borderId="1" xfId="0" applyFont="1" applyFill="1" applyBorder="1" applyAlignment="1">
      <alignment horizontal="center" vertical="center" wrapText="1"/>
    </xf>
    <xf numFmtId="166" fontId="37" fillId="0" borderId="1" xfId="1" applyNumberFormat="1" applyFont="1" applyFill="1" applyBorder="1" applyAlignment="1">
      <alignment horizontal="left" vertical="center" wrapText="1"/>
    </xf>
    <xf numFmtId="166" fontId="37" fillId="26" borderId="1" xfId="1" applyNumberFormat="1" applyFont="1" applyFill="1" applyBorder="1" applyAlignment="1">
      <alignment horizontal="center" vertical="center"/>
    </xf>
    <xf numFmtId="0" fontId="28" fillId="5"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6" xfId="0" applyFont="1" applyFill="1" applyBorder="1" applyAlignment="1">
      <alignment horizontal="center" vertical="center" wrapText="1"/>
    </xf>
    <xf numFmtId="166" fontId="37" fillId="7" borderId="3" xfId="1" applyNumberFormat="1" applyFont="1" applyFill="1" applyBorder="1" applyAlignment="1">
      <alignment horizontal="center" vertical="center"/>
    </xf>
    <xf numFmtId="166" fontId="37" fillId="7" borderId="5" xfId="1" applyNumberFormat="1" applyFont="1" applyFill="1" applyBorder="1" applyAlignment="1">
      <alignment horizontal="center" vertical="center"/>
    </xf>
    <xf numFmtId="166" fontId="37" fillId="7" borderId="6" xfId="1" applyNumberFormat="1" applyFont="1" applyFill="1" applyBorder="1" applyAlignment="1">
      <alignment horizontal="center" vertical="center"/>
    </xf>
    <xf numFmtId="0" fontId="28" fillId="8" borderId="14" xfId="0" applyFont="1" applyFill="1" applyBorder="1" applyAlignment="1">
      <alignment horizontal="center" vertical="center" wrapText="1"/>
    </xf>
    <xf numFmtId="0" fontId="28" fillId="8" borderId="9" xfId="0" applyFont="1" applyFill="1" applyBorder="1" applyAlignment="1">
      <alignment horizontal="center" vertical="center" wrapText="1"/>
    </xf>
    <xf numFmtId="0" fontId="37" fillId="0" borderId="0" xfId="0" applyFont="1" applyFill="1" applyBorder="1"/>
    <xf numFmtId="0" fontId="29" fillId="29" borderId="0" xfId="0" applyFont="1" applyFill="1" applyBorder="1"/>
    <xf numFmtId="0" fontId="37" fillId="29" borderId="0" xfId="0" applyFont="1" applyFill="1" applyBorder="1"/>
    <xf numFmtId="0" fontId="46" fillId="29" borderId="0" xfId="3" applyFont="1" applyFill="1" applyBorder="1" applyAlignment="1"/>
    <xf numFmtId="184" fontId="55" fillId="29" borderId="0" xfId="0" applyNumberFormat="1" applyFont="1" applyFill="1" applyBorder="1" applyAlignment="1">
      <alignment vertical="center"/>
    </xf>
    <xf numFmtId="0" fontId="1" fillId="29" borderId="0" xfId="0" applyFont="1" applyFill="1" applyBorder="1"/>
    <xf numFmtId="0" fontId="31" fillId="29" borderId="0" xfId="0" applyFont="1" applyFill="1" applyBorder="1"/>
    <xf numFmtId="0" fontId="29" fillId="29" borderId="0" xfId="0" applyFont="1" applyFill="1" applyBorder="1" applyAlignment="1">
      <alignment horizontal="left"/>
    </xf>
    <xf numFmtId="0" fontId="29" fillId="29" borderId="0" xfId="0" applyFont="1" applyFill="1" applyBorder="1" applyAlignment="1">
      <alignment horizontal="left" wrapText="1"/>
    </xf>
    <xf numFmtId="186" fontId="37" fillId="0" borderId="1" xfId="1" applyNumberFormat="1" applyFont="1" applyFill="1" applyBorder="1" applyAlignment="1">
      <alignment horizontal="right" vertical="center"/>
    </xf>
    <xf numFmtId="186" fontId="27" fillId="2" borderId="1" xfId="1" applyNumberFormat="1" applyFont="1" applyFill="1" applyBorder="1"/>
  </cellXfs>
  <cellStyles count="2742">
    <cellStyle name="Att1" xfId="165"/>
    <cellStyle name="Att1 2" xfId="166"/>
    <cellStyle name="Att1 2 2" xfId="167"/>
    <cellStyle name="Att1 3" xfId="168"/>
    <cellStyle name="Att1 3 2" xfId="169"/>
    <cellStyle name="Att1 3 3" xfId="170"/>
    <cellStyle name="Att1 4" xfId="171"/>
    <cellStyle name="Att1 4 2" xfId="172"/>
    <cellStyle name="Att1 4 3" xfId="173"/>
    <cellStyle name="BM Heading 3" xfId="23"/>
    <cellStyle name="BM Input" xfId="27"/>
    <cellStyle name="Column 4" xfId="29"/>
    <cellStyle name="Comma" xfId="1" builtinId="3"/>
    <cellStyle name="Comma 10" xfId="2631"/>
    <cellStyle name="Comma 11" xfId="5"/>
    <cellStyle name="Comma 2" xfId="11"/>
    <cellStyle name="Comma 2 10" xfId="175"/>
    <cellStyle name="Comma 2 10 2" xfId="176"/>
    <cellStyle name="Comma 2 10 2 2" xfId="177"/>
    <cellStyle name="Comma 2 10 3" xfId="178"/>
    <cellStyle name="Comma 2 10 4" xfId="179"/>
    <cellStyle name="Comma 2 11" xfId="180"/>
    <cellStyle name="Comma 2 11 2" xfId="181"/>
    <cellStyle name="Comma 2 11 2 2" xfId="182"/>
    <cellStyle name="Comma 2 11 3" xfId="183"/>
    <cellStyle name="Comma 2 11 4" xfId="184"/>
    <cellStyle name="Comma 2 12" xfId="185"/>
    <cellStyle name="Comma 2 12 2" xfId="186"/>
    <cellStyle name="Comma 2 12 2 2" xfId="187"/>
    <cellStyle name="Comma 2 12 3" xfId="188"/>
    <cellStyle name="Comma 2 12 4" xfId="189"/>
    <cellStyle name="Comma 2 13" xfId="190"/>
    <cellStyle name="Comma 2 13 2" xfId="191"/>
    <cellStyle name="Comma 2 13 2 2" xfId="192"/>
    <cellStyle name="Comma 2 13 3" xfId="193"/>
    <cellStyle name="Comma 2 13 4" xfId="194"/>
    <cellStyle name="Comma 2 14" xfId="195"/>
    <cellStyle name="Comma 2 14 2" xfId="196"/>
    <cellStyle name="Comma 2 14 3" xfId="197"/>
    <cellStyle name="Comma 2 15" xfId="198"/>
    <cellStyle name="Comma 2 15 2" xfId="199"/>
    <cellStyle name="Comma 2 16" xfId="200"/>
    <cellStyle name="Comma 2 17" xfId="201"/>
    <cellStyle name="Comma 2 18" xfId="202"/>
    <cellStyle name="Comma 2 19" xfId="2564"/>
    <cellStyle name="Comma 2 2" xfId="24"/>
    <cellStyle name="Comma 2 2 10" xfId="204"/>
    <cellStyle name="Comma 2 2 10 2" xfId="205"/>
    <cellStyle name="Comma 2 2 10 3" xfId="206"/>
    <cellStyle name="Comma 2 2 11" xfId="207"/>
    <cellStyle name="Comma 2 2 11 2" xfId="208"/>
    <cellStyle name="Comma 2 2 12" xfId="209"/>
    <cellStyle name="Comma 2 2 13" xfId="210"/>
    <cellStyle name="Comma 2 2 14" xfId="211"/>
    <cellStyle name="Comma 2 2 15" xfId="2570"/>
    <cellStyle name="Comma 2 2 16" xfId="2633"/>
    <cellStyle name="Comma 2 2 17" xfId="203"/>
    <cellStyle name="Comma 2 2 2" xfId="41"/>
    <cellStyle name="Comma 2 2 2 10" xfId="213"/>
    <cellStyle name="Comma 2 2 2 11" xfId="2575"/>
    <cellStyle name="Comma 2 2 2 12" xfId="2636"/>
    <cellStyle name="Comma 2 2 2 13" xfId="212"/>
    <cellStyle name="Comma 2 2 2 2" xfId="65"/>
    <cellStyle name="Comma 2 2 2 2 10" xfId="2583"/>
    <cellStyle name="Comma 2 2 2 2 11" xfId="2643"/>
    <cellStyle name="Comma 2 2 2 2 12" xfId="214"/>
    <cellStyle name="Comma 2 2 2 2 2" xfId="78"/>
    <cellStyle name="Comma 2 2 2 2 2 2" xfId="107"/>
    <cellStyle name="Comma 2 2 2 2 2 2 2" xfId="161"/>
    <cellStyle name="Comma 2 2 2 2 2 2 2 2" xfId="2737"/>
    <cellStyle name="Comma 2 2 2 2 2 2 2 3" xfId="217"/>
    <cellStyle name="Comma 2 2 2 2 2 2 3" xfId="2624"/>
    <cellStyle name="Comma 2 2 2 2 2 2 4" xfId="2683"/>
    <cellStyle name="Comma 2 2 2 2 2 2 5" xfId="216"/>
    <cellStyle name="Comma 2 2 2 2 2 3" xfId="134"/>
    <cellStyle name="Comma 2 2 2 2 2 3 2" xfId="2710"/>
    <cellStyle name="Comma 2 2 2 2 2 3 3" xfId="218"/>
    <cellStyle name="Comma 2 2 2 2 2 4" xfId="219"/>
    <cellStyle name="Comma 2 2 2 2 2 5" xfId="2596"/>
    <cellStyle name="Comma 2 2 2 2 2 6" xfId="2656"/>
    <cellStyle name="Comma 2 2 2 2 2 7" xfId="215"/>
    <cellStyle name="Comma 2 2 2 2 3" xfId="94"/>
    <cellStyle name="Comma 2 2 2 2 3 2" xfId="148"/>
    <cellStyle name="Comma 2 2 2 2 3 2 2" xfId="222"/>
    <cellStyle name="Comma 2 2 2 2 3 2 3" xfId="2724"/>
    <cellStyle name="Comma 2 2 2 2 3 2 4" xfId="221"/>
    <cellStyle name="Comma 2 2 2 2 3 3" xfId="223"/>
    <cellStyle name="Comma 2 2 2 2 3 4" xfId="224"/>
    <cellStyle name="Comma 2 2 2 2 3 5" xfId="2611"/>
    <cellStyle name="Comma 2 2 2 2 3 6" xfId="2670"/>
    <cellStyle name="Comma 2 2 2 2 3 7" xfId="220"/>
    <cellStyle name="Comma 2 2 2 2 4" xfId="121"/>
    <cellStyle name="Comma 2 2 2 2 4 2" xfId="226"/>
    <cellStyle name="Comma 2 2 2 2 4 2 2" xfId="227"/>
    <cellStyle name="Comma 2 2 2 2 4 3" xfId="228"/>
    <cellStyle name="Comma 2 2 2 2 4 4" xfId="229"/>
    <cellStyle name="Comma 2 2 2 2 4 5" xfId="2697"/>
    <cellStyle name="Comma 2 2 2 2 4 6" xfId="225"/>
    <cellStyle name="Comma 2 2 2 2 5" xfId="230"/>
    <cellStyle name="Comma 2 2 2 2 5 2" xfId="231"/>
    <cellStyle name="Comma 2 2 2 2 5 2 2" xfId="232"/>
    <cellStyle name="Comma 2 2 2 2 5 3" xfId="233"/>
    <cellStyle name="Comma 2 2 2 2 5 4" xfId="234"/>
    <cellStyle name="Comma 2 2 2 2 6" xfId="235"/>
    <cellStyle name="Comma 2 2 2 2 6 2" xfId="236"/>
    <cellStyle name="Comma 2 2 2 2 6 3" xfId="237"/>
    <cellStyle name="Comma 2 2 2 2 7" xfId="238"/>
    <cellStyle name="Comma 2 2 2 2 7 2" xfId="239"/>
    <cellStyle name="Comma 2 2 2 2 8" xfId="240"/>
    <cellStyle name="Comma 2 2 2 2 9" xfId="241"/>
    <cellStyle name="Comma 2 2 2 3" xfId="71"/>
    <cellStyle name="Comma 2 2 2 3 2" xfId="100"/>
    <cellStyle name="Comma 2 2 2 3 2 2" xfId="154"/>
    <cellStyle name="Comma 2 2 2 3 2 2 2" xfId="2730"/>
    <cellStyle name="Comma 2 2 2 3 2 2 3" xfId="244"/>
    <cellStyle name="Comma 2 2 2 3 2 3" xfId="2617"/>
    <cellStyle name="Comma 2 2 2 3 2 4" xfId="2676"/>
    <cellStyle name="Comma 2 2 2 3 2 5" xfId="243"/>
    <cellStyle name="Comma 2 2 2 3 3" xfId="127"/>
    <cellStyle name="Comma 2 2 2 3 3 2" xfId="2703"/>
    <cellStyle name="Comma 2 2 2 3 3 3" xfId="245"/>
    <cellStyle name="Comma 2 2 2 3 4" xfId="246"/>
    <cellStyle name="Comma 2 2 2 3 5" xfId="2589"/>
    <cellStyle name="Comma 2 2 2 3 6" xfId="2649"/>
    <cellStyle name="Comma 2 2 2 3 7" xfId="242"/>
    <cellStyle name="Comma 2 2 2 4" xfId="87"/>
    <cellStyle name="Comma 2 2 2 4 2" xfId="141"/>
    <cellStyle name="Comma 2 2 2 4 2 2" xfId="249"/>
    <cellStyle name="Comma 2 2 2 4 2 3" xfId="2717"/>
    <cellStyle name="Comma 2 2 2 4 2 4" xfId="248"/>
    <cellStyle name="Comma 2 2 2 4 3" xfId="250"/>
    <cellStyle name="Comma 2 2 2 4 4" xfId="251"/>
    <cellStyle name="Comma 2 2 2 4 5" xfId="2604"/>
    <cellStyle name="Comma 2 2 2 4 6" xfId="2663"/>
    <cellStyle name="Comma 2 2 2 4 7" xfId="247"/>
    <cellStyle name="Comma 2 2 2 5" xfId="114"/>
    <cellStyle name="Comma 2 2 2 5 2" xfId="253"/>
    <cellStyle name="Comma 2 2 2 5 2 2" xfId="254"/>
    <cellStyle name="Comma 2 2 2 5 3" xfId="255"/>
    <cellStyle name="Comma 2 2 2 5 4" xfId="256"/>
    <cellStyle name="Comma 2 2 2 5 5" xfId="2690"/>
    <cellStyle name="Comma 2 2 2 5 6" xfId="252"/>
    <cellStyle name="Comma 2 2 2 6" xfId="257"/>
    <cellStyle name="Comma 2 2 2 6 2" xfId="258"/>
    <cellStyle name="Comma 2 2 2 6 2 2" xfId="259"/>
    <cellStyle name="Comma 2 2 2 6 3" xfId="260"/>
    <cellStyle name="Comma 2 2 2 6 4" xfId="261"/>
    <cellStyle name="Comma 2 2 2 7" xfId="262"/>
    <cellStyle name="Comma 2 2 2 7 2" xfId="263"/>
    <cellStyle name="Comma 2 2 2 7 3" xfId="264"/>
    <cellStyle name="Comma 2 2 2 8" xfId="265"/>
    <cellStyle name="Comma 2 2 2 8 2" xfId="266"/>
    <cellStyle name="Comma 2 2 2 9" xfId="267"/>
    <cellStyle name="Comma 2 2 3" xfId="62"/>
    <cellStyle name="Comma 2 2 3 10" xfId="269"/>
    <cellStyle name="Comma 2 2 3 11" xfId="2580"/>
    <cellStyle name="Comma 2 2 3 12" xfId="2640"/>
    <cellStyle name="Comma 2 2 3 13" xfId="268"/>
    <cellStyle name="Comma 2 2 3 2" xfId="75"/>
    <cellStyle name="Comma 2 2 3 2 10" xfId="2593"/>
    <cellStyle name="Comma 2 2 3 2 11" xfId="2653"/>
    <cellStyle name="Comma 2 2 3 2 12" xfId="270"/>
    <cellStyle name="Comma 2 2 3 2 2" xfId="104"/>
    <cellStyle name="Comma 2 2 3 2 2 2" xfId="158"/>
    <cellStyle name="Comma 2 2 3 2 2 2 2" xfId="273"/>
    <cellStyle name="Comma 2 2 3 2 2 2 3" xfId="2734"/>
    <cellStyle name="Comma 2 2 3 2 2 2 4" xfId="272"/>
    <cellStyle name="Comma 2 2 3 2 2 3" xfId="274"/>
    <cellStyle name="Comma 2 2 3 2 2 4" xfId="275"/>
    <cellStyle name="Comma 2 2 3 2 2 5" xfId="2621"/>
    <cellStyle name="Comma 2 2 3 2 2 6" xfId="2680"/>
    <cellStyle name="Comma 2 2 3 2 2 7" xfId="271"/>
    <cellStyle name="Comma 2 2 3 2 3" xfId="131"/>
    <cellStyle name="Comma 2 2 3 2 3 2" xfId="277"/>
    <cellStyle name="Comma 2 2 3 2 3 2 2" xfId="278"/>
    <cellStyle name="Comma 2 2 3 2 3 3" xfId="279"/>
    <cellStyle name="Comma 2 2 3 2 3 4" xfId="280"/>
    <cellStyle name="Comma 2 2 3 2 3 5" xfId="2707"/>
    <cellStyle name="Comma 2 2 3 2 3 6" xfId="276"/>
    <cellStyle name="Comma 2 2 3 2 4" xfId="281"/>
    <cellStyle name="Comma 2 2 3 2 4 2" xfId="282"/>
    <cellStyle name="Comma 2 2 3 2 4 2 2" xfId="283"/>
    <cellStyle name="Comma 2 2 3 2 4 3" xfId="284"/>
    <cellStyle name="Comma 2 2 3 2 4 4" xfId="285"/>
    <cellStyle name="Comma 2 2 3 2 5" xfId="286"/>
    <cellStyle name="Comma 2 2 3 2 5 2" xfId="287"/>
    <cellStyle name="Comma 2 2 3 2 5 2 2" xfId="288"/>
    <cellStyle name="Comma 2 2 3 2 5 3" xfId="289"/>
    <cellStyle name="Comma 2 2 3 2 5 4" xfId="290"/>
    <cellStyle name="Comma 2 2 3 2 6" xfId="291"/>
    <cellStyle name="Comma 2 2 3 2 6 2" xfId="292"/>
    <cellStyle name="Comma 2 2 3 2 6 3" xfId="293"/>
    <cellStyle name="Comma 2 2 3 2 7" xfId="294"/>
    <cellStyle name="Comma 2 2 3 2 7 2" xfId="295"/>
    <cellStyle name="Comma 2 2 3 2 8" xfId="296"/>
    <cellStyle name="Comma 2 2 3 2 9" xfId="297"/>
    <cellStyle name="Comma 2 2 3 3" xfId="91"/>
    <cellStyle name="Comma 2 2 3 3 2" xfId="145"/>
    <cellStyle name="Comma 2 2 3 3 2 2" xfId="300"/>
    <cellStyle name="Comma 2 2 3 3 2 3" xfId="2721"/>
    <cellStyle name="Comma 2 2 3 3 2 4" xfId="299"/>
    <cellStyle name="Comma 2 2 3 3 3" xfId="301"/>
    <cellStyle name="Comma 2 2 3 3 4" xfId="302"/>
    <cellStyle name="Comma 2 2 3 3 5" xfId="2608"/>
    <cellStyle name="Comma 2 2 3 3 6" xfId="2667"/>
    <cellStyle name="Comma 2 2 3 3 7" xfId="298"/>
    <cellStyle name="Comma 2 2 3 4" xfId="118"/>
    <cellStyle name="Comma 2 2 3 4 2" xfId="304"/>
    <cellStyle name="Comma 2 2 3 4 2 2" xfId="305"/>
    <cellStyle name="Comma 2 2 3 4 3" xfId="306"/>
    <cellStyle name="Comma 2 2 3 4 4" xfId="307"/>
    <cellStyle name="Comma 2 2 3 4 5" xfId="2694"/>
    <cellStyle name="Comma 2 2 3 4 6" xfId="303"/>
    <cellStyle name="Comma 2 2 3 5" xfId="308"/>
    <cellStyle name="Comma 2 2 3 5 2" xfId="309"/>
    <cellStyle name="Comma 2 2 3 5 2 2" xfId="310"/>
    <cellStyle name="Comma 2 2 3 5 3" xfId="311"/>
    <cellStyle name="Comma 2 2 3 5 4" xfId="312"/>
    <cellStyle name="Comma 2 2 3 6" xfId="313"/>
    <cellStyle name="Comma 2 2 3 6 2" xfId="314"/>
    <cellStyle name="Comma 2 2 3 6 2 2" xfId="315"/>
    <cellStyle name="Comma 2 2 3 6 3" xfId="316"/>
    <cellStyle name="Comma 2 2 3 6 4" xfId="317"/>
    <cellStyle name="Comma 2 2 3 7" xfId="318"/>
    <cellStyle name="Comma 2 2 3 7 2" xfId="319"/>
    <cellStyle name="Comma 2 2 3 7 3" xfId="320"/>
    <cellStyle name="Comma 2 2 3 8" xfId="321"/>
    <cellStyle name="Comma 2 2 3 8 2" xfId="322"/>
    <cellStyle name="Comma 2 2 3 9" xfId="323"/>
    <cellStyle name="Comma 2 2 4" xfId="68"/>
    <cellStyle name="Comma 2 2 4 10" xfId="325"/>
    <cellStyle name="Comma 2 2 4 11" xfId="2586"/>
    <cellStyle name="Comma 2 2 4 12" xfId="2646"/>
    <cellStyle name="Comma 2 2 4 13" xfId="324"/>
    <cellStyle name="Comma 2 2 4 2" xfId="97"/>
    <cellStyle name="Comma 2 2 4 2 10" xfId="2614"/>
    <cellStyle name="Comma 2 2 4 2 11" xfId="2673"/>
    <cellStyle name="Comma 2 2 4 2 12" xfId="326"/>
    <cellStyle name="Comma 2 2 4 2 2" xfId="151"/>
    <cellStyle name="Comma 2 2 4 2 2 2" xfId="328"/>
    <cellStyle name="Comma 2 2 4 2 2 2 2" xfId="329"/>
    <cellStyle name="Comma 2 2 4 2 2 3" xfId="330"/>
    <cellStyle name="Comma 2 2 4 2 2 4" xfId="331"/>
    <cellStyle name="Comma 2 2 4 2 2 5" xfId="2727"/>
    <cellStyle name="Comma 2 2 4 2 2 6" xfId="327"/>
    <cellStyle name="Comma 2 2 4 2 3" xfId="332"/>
    <cellStyle name="Comma 2 2 4 2 3 2" xfId="333"/>
    <cellStyle name="Comma 2 2 4 2 3 2 2" xfId="334"/>
    <cellStyle name="Comma 2 2 4 2 3 3" xfId="335"/>
    <cellStyle name="Comma 2 2 4 2 3 4" xfId="336"/>
    <cellStyle name="Comma 2 2 4 2 4" xfId="337"/>
    <cellStyle name="Comma 2 2 4 2 4 2" xfId="338"/>
    <cellStyle name="Comma 2 2 4 2 4 2 2" xfId="339"/>
    <cellStyle name="Comma 2 2 4 2 4 3" xfId="340"/>
    <cellStyle name="Comma 2 2 4 2 4 4" xfId="341"/>
    <cellStyle name="Comma 2 2 4 2 5" xfId="342"/>
    <cellStyle name="Comma 2 2 4 2 5 2" xfId="343"/>
    <cellStyle name="Comma 2 2 4 2 5 2 2" xfId="344"/>
    <cellStyle name="Comma 2 2 4 2 5 3" xfId="345"/>
    <cellStyle name="Comma 2 2 4 2 5 4" xfId="346"/>
    <cellStyle name="Comma 2 2 4 2 6" xfId="347"/>
    <cellStyle name="Comma 2 2 4 2 6 2" xfId="348"/>
    <cellStyle name="Comma 2 2 4 2 6 3" xfId="349"/>
    <cellStyle name="Comma 2 2 4 2 7" xfId="350"/>
    <cellStyle name="Comma 2 2 4 2 7 2" xfId="351"/>
    <cellStyle name="Comma 2 2 4 2 8" xfId="352"/>
    <cellStyle name="Comma 2 2 4 2 9" xfId="353"/>
    <cellStyle name="Comma 2 2 4 3" xfId="124"/>
    <cellStyle name="Comma 2 2 4 3 2" xfId="355"/>
    <cellStyle name="Comma 2 2 4 3 2 2" xfId="356"/>
    <cellStyle name="Comma 2 2 4 3 3" xfId="357"/>
    <cellStyle name="Comma 2 2 4 3 4" xfId="358"/>
    <cellStyle name="Comma 2 2 4 3 5" xfId="2700"/>
    <cellStyle name="Comma 2 2 4 3 6" xfId="354"/>
    <cellStyle name="Comma 2 2 4 4" xfId="359"/>
    <cellStyle name="Comma 2 2 4 4 2" xfId="360"/>
    <cellStyle name="Comma 2 2 4 4 2 2" xfId="361"/>
    <cellStyle name="Comma 2 2 4 4 3" xfId="362"/>
    <cellStyle name="Comma 2 2 4 4 4" xfId="363"/>
    <cellStyle name="Comma 2 2 4 5" xfId="364"/>
    <cellStyle name="Comma 2 2 4 5 2" xfId="365"/>
    <cellStyle name="Comma 2 2 4 5 2 2" xfId="366"/>
    <cellStyle name="Comma 2 2 4 5 3" xfId="367"/>
    <cellStyle name="Comma 2 2 4 5 4" xfId="368"/>
    <cellStyle name="Comma 2 2 4 6" xfId="369"/>
    <cellStyle name="Comma 2 2 4 6 2" xfId="370"/>
    <cellStyle name="Comma 2 2 4 6 2 2" xfId="371"/>
    <cellStyle name="Comma 2 2 4 6 3" xfId="372"/>
    <cellStyle name="Comma 2 2 4 6 4" xfId="373"/>
    <cellStyle name="Comma 2 2 4 7" xfId="374"/>
    <cellStyle name="Comma 2 2 4 7 2" xfId="375"/>
    <cellStyle name="Comma 2 2 4 7 3" xfId="376"/>
    <cellStyle name="Comma 2 2 4 8" xfId="377"/>
    <cellStyle name="Comma 2 2 4 8 2" xfId="378"/>
    <cellStyle name="Comma 2 2 4 9" xfId="379"/>
    <cellStyle name="Comma 2 2 5" xfId="84"/>
    <cellStyle name="Comma 2 2 5 10" xfId="2601"/>
    <cellStyle name="Comma 2 2 5 11" xfId="2660"/>
    <cellStyle name="Comma 2 2 5 12" xfId="380"/>
    <cellStyle name="Comma 2 2 5 2" xfId="138"/>
    <cellStyle name="Comma 2 2 5 2 2" xfId="382"/>
    <cellStyle name="Comma 2 2 5 2 2 2" xfId="383"/>
    <cellStyle name="Comma 2 2 5 2 3" xfId="384"/>
    <cellStyle name="Comma 2 2 5 2 4" xfId="385"/>
    <cellStyle name="Comma 2 2 5 2 5" xfId="2714"/>
    <cellStyle name="Comma 2 2 5 2 6" xfId="381"/>
    <cellStyle name="Comma 2 2 5 3" xfId="386"/>
    <cellStyle name="Comma 2 2 5 3 2" xfId="387"/>
    <cellStyle name="Comma 2 2 5 3 2 2" xfId="388"/>
    <cellStyle name="Comma 2 2 5 3 3" xfId="389"/>
    <cellStyle name="Comma 2 2 5 3 4" xfId="390"/>
    <cellStyle name="Comma 2 2 5 4" xfId="391"/>
    <cellStyle name="Comma 2 2 5 4 2" xfId="392"/>
    <cellStyle name="Comma 2 2 5 4 2 2" xfId="393"/>
    <cellStyle name="Comma 2 2 5 4 3" xfId="394"/>
    <cellStyle name="Comma 2 2 5 4 4" xfId="395"/>
    <cellStyle name="Comma 2 2 5 5" xfId="396"/>
    <cellStyle name="Comma 2 2 5 5 2" xfId="397"/>
    <cellStyle name="Comma 2 2 5 5 2 2" xfId="398"/>
    <cellStyle name="Comma 2 2 5 5 3" xfId="399"/>
    <cellStyle name="Comma 2 2 5 5 4" xfId="400"/>
    <cellStyle name="Comma 2 2 5 6" xfId="401"/>
    <cellStyle name="Comma 2 2 5 6 2" xfId="402"/>
    <cellStyle name="Comma 2 2 5 6 3" xfId="403"/>
    <cellStyle name="Comma 2 2 5 7" xfId="404"/>
    <cellStyle name="Comma 2 2 5 7 2" xfId="405"/>
    <cellStyle name="Comma 2 2 5 8" xfId="406"/>
    <cellStyle name="Comma 2 2 5 9" xfId="407"/>
    <cellStyle name="Comma 2 2 6" xfId="111"/>
    <cellStyle name="Comma 2 2 6 2" xfId="409"/>
    <cellStyle name="Comma 2 2 6 2 2" xfId="410"/>
    <cellStyle name="Comma 2 2 6 3" xfId="411"/>
    <cellStyle name="Comma 2 2 6 4" xfId="412"/>
    <cellStyle name="Comma 2 2 6 5" xfId="2687"/>
    <cellStyle name="Comma 2 2 6 6" xfId="408"/>
    <cellStyle name="Comma 2 2 7" xfId="413"/>
    <cellStyle name="Comma 2 2 7 2" xfId="414"/>
    <cellStyle name="Comma 2 2 7 2 2" xfId="415"/>
    <cellStyle name="Comma 2 2 7 3" xfId="416"/>
    <cellStyle name="Comma 2 2 7 4" xfId="417"/>
    <cellStyle name="Comma 2 2 8" xfId="418"/>
    <cellStyle name="Comma 2 2 8 2" xfId="419"/>
    <cellStyle name="Comma 2 2 8 2 2" xfId="420"/>
    <cellStyle name="Comma 2 2 8 3" xfId="421"/>
    <cellStyle name="Comma 2 2 8 4" xfId="422"/>
    <cellStyle name="Comma 2 2 9" xfId="423"/>
    <cellStyle name="Comma 2 2 9 2" xfId="424"/>
    <cellStyle name="Comma 2 2 9 2 2" xfId="425"/>
    <cellStyle name="Comma 2 2 9 3" xfId="426"/>
    <cellStyle name="Comma 2 2 9 4" xfId="427"/>
    <cellStyle name="Comma 2 20" xfId="2632"/>
    <cellStyle name="Comma 2 21" xfId="174"/>
    <cellStyle name="Comma 2 3" xfId="40"/>
    <cellStyle name="Comma 2 3 10" xfId="429"/>
    <cellStyle name="Comma 2 3 10 2" xfId="430"/>
    <cellStyle name="Comma 2 3 10 3" xfId="431"/>
    <cellStyle name="Comma 2 3 11" xfId="432"/>
    <cellStyle name="Comma 2 3 11 2" xfId="433"/>
    <cellStyle name="Comma 2 3 12" xfId="434"/>
    <cellStyle name="Comma 2 3 13" xfId="435"/>
    <cellStyle name="Comma 2 3 14" xfId="2574"/>
    <cellStyle name="Comma 2 3 15" xfId="2635"/>
    <cellStyle name="Comma 2 3 16" xfId="428"/>
    <cellStyle name="Comma 2 3 2" xfId="64"/>
    <cellStyle name="Comma 2 3 2 10" xfId="437"/>
    <cellStyle name="Comma 2 3 2 11" xfId="2582"/>
    <cellStyle name="Comma 2 3 2 12" xfId="2642"/>
    <cellStyle name="Comma 2 3 2 13" xfId="436"/>
    <cellStyle name="Comma 2 3 2 2" xfId="77"/>
    <cellStyle name="Comma 2 3 2 2 10" xfId="2595"/>
    <cellStyle name="Comma 2 3 2 2 11" xfId="2655"/>
    <cellStyle name="Comma 2 3 2 2 12" xfId="438"/>
    <cellStyle name="Comma 2 3 2 2 2" xfId="106"/>
    <cellStyle name="Comma 2 3 2 2 2 2" xfId="160"/>
    <cellStyle name="Comma 2 3 2 2 2 2 2" xfId="441"/>
    <cellStyle name="Comma 2 3 2 2 2 2 3" xfId="2736"/>
    <cellStyle name="Comma 2 3 2 2 2 2 4" xfId="440"/>
    <cellStyle name="Comma 2 3 2 2 2 3" xfId="442"/>
    <cellStyle name="Comma 2 3 2 2 2 4" xfId="443"/>
    <cellStyle name="Comma 2 3 2 2 2 5" xfId="2623"/>
    <cellStyle name="Comma 2 3 2 2 2 6" xfId="2682"/>
    <cellStyle name="Comma 2 3 2 2 2 7" xfId="439"/>
    <cellStyle name="Comma 2 3 2 2 3" xfId="133"/>
    <cellStyle name="Comma 2 3 2 2 3 2" xfId="445"/>
    <cellStyle name="Comma 2 3 2 2 3 2 2" xfId="446"/>
    <cellStyle name="Comma 2 3 2 2 3 3" xfId="447"/>
    <cellStyle name="Comma 2 3 2 2 3 4" xfId="448"/>
    <cellStyle name="Comma 2 3 2 2 3 5" xfId="2709"/>
    <cellStyle name="Comma 2 3 2 2 3 6" xfId="444"/>
    <cellStyle name="Comma 2 3 2 2 4" xfId="449"/>
    <cellStyle name="Comma 2 3 2 2 4 2" xfId="450"/>
    <cellStyle name="Comma 2 3 2 2 4 2 2" xfId="451"/>
    <cellStyle name="Comma 2 3 2 2 4 3" xfId="452"/>
    <cellStyle name="Comma 2 3 2 2 4 4" xfId="453"/>
    <cellStyle name="Comma 2 3 2 2 5" xfId="454"/>
    <cellStyle name="Comma 2 3 2 2 5 2" xfId="455"/>
    <cellStyle name="Comma 2 3 2 2 5 2 2" xfId="456"/>
    <cellStyle name="Comma 2 3 2 2 5 3" xfId="457"/>
    <cellStyle name="Comma 2 3 2 2 5 4" xfId="458"/>
    <cellStyle name="Comma 2 3 2 2 6" xfId="459"/>
    <cellStyle name="Comma 2 3 2 2 6 2" xfId="460"/>
    <cellStyle name="Comma 2 3 2 2 6 3" xfId="461"/>
    <cellStyle name="Comma 2 3 2 2 7" xfId="462"/>
    <cellStyle name="Comma 2 3 2 2 7 2" xfId="463"/>
    <cellStyle name="Comma 2 3 2 2 8" xfId="464"/>
    <cellStyle name="Comma 2 3 2 2 9" xfId="465"/>
    <cellStyle name="Comma 2 3 2 3" xfId="93"/>
    <cellStyle name="Comma 2 3 2 3 2" xfId="147"/>
    <cellStyle name="Comma 2 3 2 3 2 2" xfId="468"/>
    <cellStyle name="Comma 2 3 2 3 2 3" xfId="2723"/>
    <cellStyle name="Comma 2 3 2 3 2 4" xfId="467"/>
    <cellStyle name="Comma 2 3 2 3 3" xfId="469"/>
    <cellStyle name="Comma 2 3 2 3 4" xfId="470"/>
    <cellStyle name="Comma 2 3 2 3 5" xfId="2610"/>
    <cellStyle name="Comma 2 3 2 3 6" xfId="2669"/>
    <cellStyle name="Comma 2 3 2 3 7" xfId="466"/>
    <cellStyle name="Comma 2 3 2 4" xfId="120"/>
    <cellStyle name="Comma 2 3 2 4 2" xfId="472"/>
    <cellStyle name="Comma 2 3 2 4 2 2" xfId="473"/>
    <cellStyle name="Comma 2 3 2 4 3" xfId="474"/>
    <cellStyle name="Comma 2 3 2 4 4" xfId="475"/>
    <cellStyle name="Comma 2 3 2 4 5" xfId="2696"/>
    <cellStyle name="Comma 2 3 2 4 6" xfId="471"/>
    <cellStyle name="Comma 2 3 2 5" xfId="476"/>
    <cellStyle name="Comma 2 3 2 5 2" xfId="477"/>
    <cellStyle name="Comma 2 3 2 5 2 2" xfId="478"/>
    <cellStyle name="Comma 2 3 2 5 3" xfId="479"/>
    <cellStyle name="Comma 2 3 2 5 4" xfId="480"/>
    <cellStyle name="Comma 2 3 2 6" xfId="481"/>
    <cellStyle name="Comma 2 3 2 6 2" xfId="482"/>
    <cellStyle name="Comma 2 3 2 6 2 2" xfId="483"/>
    <cellStyle name="Comma 2 3 2 6 3" xfId="484"/>
    <cellStyle name="Comma 2 3 2 6 4" xfId="485"/>
    <cellStyle name="Comma 2 3 2 7" xfId="486"/>
    <cellStyle name="Comma 2 3 2 7 2" xfId="487"/>
    <cellStyle name="Comma 2 3 2 7 3" xfId="488"/>
    <cellStyle name="Comma 2 3 2 8" xfId="489"/>
    <cellStyle name="Comma 2 3 2 8 2" xfId="490"/>
    <cellStyle name="Comma 2 3 2 9" xfId="491"/>
    <cellStyle name="Comma 2 3 3" xfId="70"/>
    <cellStyle name="Comma 2 3 3 10" xfId="493"/>
    <cellStyle name="Comma 2 3 3 11" xfId="2588"/>
    <cellStyle name="Comma 2 3 3 12" xfId="2648"/>
    <cellStyle name="Comma 2 3 3 13" xfId="492"/>
    <cellStyle name="Comma 2 3 3 2" xfId="99"/>
    <cellStyle name="Comma 2 3 3 2 10" xfId="2616"/>
    <cellStyle name="Comma 2 3 3 2 11" xfId="2675"/>
    <cellStyle name="Comma 2 3 3 2 12" xfId="494"/>
    <cellStyle name="Comma 2 3 3 2 2" xfId="153"/>
    <cellStyle name="Comma 2 3 3 2 2 2" xfId="496"/>
    <cellStyle name="Comma 2 3 3 2 2 2 2" xfId="497"/>
    <cellStyle name="Comma 2 3 3 2 2 3" xfId="498"/>
    <cellStyle name="Comma 2 3 3 2 2 4" xfId="499"/>
    <cellStyle name="Comma 2 3 3 2 2 5" xfId="2729"/>
    <cellStyle name="Comma 2 3 3 2 2 6" xfId="495"/>
    <cellStyle name="Comma 2 3 3 2 3" xfId="500"/>
    <cellStyle name="Comma 2 3 3 2 3 2" xfId="501"/>
    <cellStyle name="Comma 2 3 3 2 3 2 2" xfId="502"/>
    <cellStyle name="Comma 2 3 3 2 3 3" xfId="503"/>
    <cellStyle name="Comma 2 3 3 2 3 4" xfId="504"/>
    <cellStyle name="Comma 2 3 3 2 4" xfId="505"/>
    <cellStyle name="Comma 2 3 3 2 4 2" xfId="506"/>
    <cellStyle name="Comma 2 3 3 2 4 2 2" xfId="507"/>
    <cellStyle name="Comma 2 3 3 2 4 3" xfId="508"/>
    <cellStyle name="Comma 2 3 3 2 4 4" xfId="509"/>
    <cellStyle name="Comma 2 3 3 2 5" xfId="510"/>
    <cellStyle name="Comma 2 3 3 2 5 2" xfId="511"/>
    <cellStyle name="Comma 2 3 3 2 5 2 2" xfId="512"/>
    <cellStyle name="Comma 2 3 3 2 5 3" xfId="513"/>
    <cellStyle name="Comma 2 3 3 2 5 4" xfId="514"/>
    <cellStyle name="Comma 2 3 3 2 6" xfId="515"/>
    <cellStyle name="Comma 2 3 3 2 6 2" xfId="516"/>
    <cellStyle name="Comma 2 3 3 2 6 3" xfId="517"/>
    <cellStyle name="Comma 2 3 3 2 7" xfId="518"/>
    <cellStyle name="Comma 2 3 3 2 7 2" xfId="519"/>
    <cellStyle name="Comma 2 3 3 2 8" xfId="520"/>
    <cellStyle name="Comma 2 3 3 2 9" xfId="521"/>
    <cellStyle name="Comma 2 3 3 3" xfId="126"/>
    <cellStyle name="Comma 2 3 3 3 2" xfId="523"/>
    <cellStyle name="Comma 2 3 3 3 2 2" xfId="524"/>
    <cellStyle name="Comma 2 3 3 3 3" xfId="525"/>
    <cellStyle name="Comma 2 3 3 3 4" xfId="526"/>
    <cellStyle name="Comma 2 3 3 3 5" xfId="2702"/>
    <cellStyle name="Comma 2 3 3 3 6" xfId="522"/>
    <cellStyle name="Comma 2 3 3 4" xfId="527"/>
    <cellStyle name="Comma 2 3 3 4 2" xfId="528"/>
    <cellStyle name="Comma 2 3 3 4 2 2" xfId="529"/>
    <cellStyle name="Comma 2 3 3 4 3" xfId="530"/>
    <cellStyle name="Comma 2 3 3 4 4" xfId="531"/>
    <cellStyle name="Comma 2 3 3 5" xfId="532"/>
    <cellStyle name="Comma 2 3 3 5 2" xfId="533"/>
    <cellStyle name="Comma 2 3 3 5 2 2" xfId="534"/>
    <cellStyle name="Comma 2 3 3 5 3" xfId="535"/>
    <cellStyle name="Comma 2 3 3 5 4" xfId="536"/>
    <cellStyle name="Comma 2 3 3 6" xfId="537"/>
    <cellStyle name="Comma 2 3 3 6 2" xfId="538"/>
    <cellStyle name="Comma 2 3 3 6 2 2" xfId="539"/>
    <cellStyle name="Comma 2 3 3 6 3" xfId="540"/>
    <cellStyle name="Comma 2 3 3 6 4" xfId="541"/>
    <cellStyle name="Comma 2 3 3 7" xfId="542"/>
    <cellStyle name="Comma 2 3 3 7 2" xfId="543"/>
    <cellStyle name="Comma 2 3 3 7 3" xfId="544"/>
    <cellStyle name="Comma 2 3 3 8" xfId="545"/>
    <cellStyle name="Comma 2 3 3 8 2" xfId="546"/>
    <cellStyle name="Comma 2 3 3 9" xfId="547"/>
    <cellStyle name="Comma 2 3 4" xfId="86"/>
    <cellStyle name="Comma 2 3 4 10" xfId="549"/>
    <cellStyle name="Comma 2 3 4 11" xfId="2603"/>
    <cellStyle name="Comma 2 3 4 12" xfId="2662"/>
    <cellStyle name="Comma 2 3 4 13" xfId="548"/>
    <cellStyle name="Comma 2 3 4 2" xfId="140"/>
    <cellStyle name="Comma 2 3 4 2 10" xfId="2716"/>
    <cellStyle name="Comma 2 3 4 2 11" xfId="550"/>
    <cellStyle name="Comma 2 3 4 2 2" xfId="551"/>
    <cellStyle name="Comma 2 3 4 2 2 2" xfId="552"/>
    <cellStyle name="Comma 2 3 4 2 2 2 2" xfId="553"/>
    <cellStyle name="Comma 2 3 4 2 2 3" xfId="554"/>
    <cellStyle name="Comma 2 3 4 2 2 4" xfId="555"/>
    <cellStyle name="Comma 2 3 4 2 3" xfId="556"/>
    <cellStyle name="Comma 2 3 4 2 3 2" xfId="557"/>
    <cellStyle name="Comma 2 3 4 2 3 2 2" xfId="558"/>
    <cellStyle name="Comma 2 3 4 2 3 3" xfId="559"/>
    <cellStyle name="Comma 2 3 4 2 3 4" xfId="560"/>
    <cellStyle name="Comma 2 3 4 2 4" xfId="561"/>
    <cellStyle name="Comma 2 3 4 2 4 2" xfId="562"/>
    <cellStyle name="Comma 2 3 4 2 4 2 2" xfId="563"/>
    <cellStyle name="Comma 2 3 4 2 4 3" xfId="564"/>
    <cellStyle name="Comma 2 3 4 2 4 4" xfId="565"/>
    <cellStyle name="Comma 2 3 4 2 5" xfId="566"/>
    <cellStyle name="Comma 2 3 4 2 5 2" xfId="567"/>
    <cellStyle name="Comma 2 3 4 2 5 2 2" xfId="568"/>
    <cellStyle name="Comma 2 3 4 2 5 3" xfId="569"/>
    <cellStyle name="Comma 2 3 4 2 5 4" xfId="570"/>
    <cellStyle name="Comma 2 3 4 2 6" xfId="571"/>
    <cellStyle name="Comma 2 3 4 2 6 2" xfId="572"/>
    <cellStyle name="Comma 2 3 4 2 6 3" xfId="573"/>
    <cellStyle name="Comma 2 3 4 2 7" xfId="574"/>
    <cellStyle name="Comma 2 3 4 2 7 2" xfId="575"/>
    <cellStyle name="Comma 2 3 4 2 8" xfId="576"/>
    <cellStyle name="Comma 2 3 4 2 9" xfId="577"/>
    <cellStyle name="Comma 2 3 4 3" xfId="578"/>
    <cellStyle name="Comma 2 3 4 3 2" xfId="579"/>
    <cellStyle name="Comma 2 3 4 3 2 2" xfId="580"/>
    <cellStyle name="Comma 2 3 4 3 3" xfId="581"/>
    <cellStyle name="Comma 2 3 4 3 4" xfId="582"/>
    <cellStyle name="Comma 2 3 4 4" xfId="583"/>
    <cellStyle name="Comma 2 3 4 4 2" xfId="584"/>
    <cellStyle name="Comma 2 3 4 4 2 2" xfId="585"/>
    <cellStyle name="Comma 2 3 4 4 3" xfId="586"/>
    <cellStyle name="Comma 2 3 4 4 4" xfId="587"/>
    <cellStyle name="Comma 2 3 4 5" xfId="588"/>
    <cellStyle name="Comma 2 3 4 5 2" xfId="589"/>
    <cellStyle name="Comma 2 3 4 5 2 2" xfId="590"/>
    <cellStyle name="Comma 2 3 4 5 3" xfId="591"/>
    <cellStyle name="Comma 2 3 4 5 4" xfId="592"/>
    <cellStyle name="Comma 2 3 4 6" xfId="593"/>
    <cellStyle name="Comma 2 3 4 6 2" xfId="594"/>
    <cellStyle name="Comma 2 3 4 6 2 2" xfId="595"/>
    <cellStyle name="Comma 2 3 4 6 3" xfId="596"/>
    <cellStyle name="Comma 2 3 4 6 4" xfId="597"/>
    <cellStyle name="Comma 2 3 4 7" xfId="598"/>
    <cellStyle name="Comma 2 3 4 7 2" xfId="599"/>
    <cellStyle name="Comma 2 3 4 7 3" xfId="600"/>
    <cellStyle name="Comma 2 3 4 8" xfId="601"/>
    <cellStyle name="Comma 2 3 4 8 2" xfId="602"/>
    <cellStyle name="Comma 2 3 4 9" xfId="603"/>
    <cellStyle name="Comma 2 3 5" xfId="113"/>
    <cellStyle name="Comma 2 3 5 10" xfId="2689"/>
    <cellStyle name="Comma 2 3 5 11" xfId="604"/>
    <cellStyle name="Comma 2 3 5 2" xfId="605"/>
    <cellStyle name="Comma 2 3 5 2 2" xfId="606"/>
    <cellStyle name="Comma 2 3 5 2 2 2" xfId="607"/>
    <cellStyle name="Comma 2 3 5 2 3" xfId="608"/>
    <cellStyle name="Comma 2 3 5 2 4" xfId="609"/>
    <cellStyle name="Comma 2 3 5 3" xfId="610"/>
    <cellStyle name="Comma 2 3 5 3 2" xfId="611"/>
    <cellStyle name="Comma 2 3 5 3 2 2" xfId="612"/>
    <cellStyle name="Comma 2 3 5 3 3" xfId="613"/>
    <cellStyle name="Comma 2 3 5 3 4" xfId="614"/>
    <cellStyle name="Comma 2 3 5 4" xfId="615"/>
    <cellStyle name="Comma 2 3 5 4 2" xfId="616"/>
    <cellStyle name="Comma 2 3 5 4 2 2" xfId="617"/>
    <cellStyle name="Comma 2 3 5 4 3" xfId="618"/>
    <cellStyle name="Comma 2 3 5 4 4" xfId="619"/>
    <cellStyle name="Comma 2 3 5 5" xfId="620"/>
    <cellStyle name="Comma 2 3 5 5 2" xfId="621"/>
    <cellStyle name="Comma 2 3 5 5 2 2" xfId="622"/>
    <cellStyle name="Comma 2 3 5 5 3" xfId="623"/>
    <cellStyle name="Comma 2 3 5 5 4" xfId="624"/>
    <cellStyle name="Comma 2 3 5 6" xfId="625"/>
    <cellStyle name="Comma 2 3 5 6 2" xfId="626"/>
    <cellStyle name="Comma 2 3 5 6 3" xfId="627"/>
    <cellStyle name="Comma 2 3 5 7" xfId="628"/>
    <cellStyle name="Comma 2 3 5 7 2" xfId="629"/>
    <cellStyle name="Comma 2 3 5 8" xfId="630"/>
    <cellStyle name="Comma 2 3 5 9" xfId="631"/>
    <cellStyle name="Comma 2 3 6" xfId="632"/>
    <cellStyle name="Comma 2 3 6 2" xfId="633"/>
    <cellStyle name="Comma 2 3 6 2 2" xfId="634"/>
    <cellStyle name="Comma 2 3 6 3" xfId="635"/>
    <cellStyle name="Comma 2 3 6 4" xfId="636"/>
    <cellStyle name="Comma 2 3 7" xfId="637"/>
    <cellStyle name="Comma 2 3 7 2" xfId="638"/>
    <cellStyle name="Comma 2 3 7 2 2" xfId="639"/>
    <cellStyle name="Comma 2 3 7 3" xfId="640"/>
    <cellStyle name="Comma 2 3 7 4" xfId="641"/>
    <cellStyle name="Comma 2 3 8" xfId="642"/>
    <cellStyle name="Comma 2 3 8 2" xfId="643"/>
    <cellStyle name="Comma 2 3 8 2 2" xfId="644"/>
    <cellStyle name="Comma 2 3 8 3" xfId="645"/>
    <cellStyle name="Comma 2 3 8 4" xfId="646"/>
    <cellStyle name="Comma 2 3 9" xfId="647"/>
    <cellStyle name="Comma 2 3 9 2" xfId="648"/>
    <cellStyle name="Comma 2 3 9 2 2" xfId="649"/>
    <cellStyle name="Comma 2 3 9 3" xfId="650"/>
    <cellStyle name="Comma 2 3 9 4" xfId="651"/>
    <cellStyle name="Comma 2 4" xfId="61"/>
    <cellStyle name="Comma 2 4 10" xfId="653"/>
    <cellStyle name="Comma 2 4 10 2" xfId="654"/>
    <cellStyle name="Comma 2 4 10 3" xfId="655"/>
    <cellStyle name="Comma 2 4 11" xfId="656"/>
    <cellStyle name="Comma 2 4 11 2" xfId="657"/>
    <cellStyle name="Comma 2 4 12" xfId="658"/>
    <cellStyle name="Comma 2 4 13" xfId="659"/>
    <cellStyle name="Comma 2 4 14" xfId="2579"/>
    <cellStyle name="Comma 2 4 15" xfId="2639"/>
    <cellStyle name="Comma 2 4 16" xfId="652"/>
    <cellStyle name="Comma 2 4 2" xfId="74"/>
    <cellStyle name="Comma 2 4 2 10" xfId="661"/>
    <cellStyle name="Comma 2 4 2 11" xfId="2592"/>
    <cellStyle name="Comma 2 4 2 12" xfId="2652"/>
    <cellStyle name="Comma 2 4 2 13" xfId="660"/>
    <cellStyle name="Comma 2 4 2 2" xfId="103"/>
    <cellStyle name="Comma 2 4 2 2 10" xfId="2620"/>
    <cellStyle name="Comma 2 4 2 2 11" xfId="2679"/>
    <cellStyle name="Comma 2 4 2 2 12" xfId="662"/>
    <cellStyle name="Comma 2 4 2 2 2" xfId="157"/>
    <cellStyle name="Comma 2 4 2 2 2 2" xfId="664"/>
    <cellStyle name="Comma 2 4 2 2 2 2 2" xfId="665"/>
    <cellStyle name="Comma 2 4 2 2 2 3" xfId="666"/>
    <cellStyle name="Comma 2 4 2 2 2 4" xfId="667"/>
    <cellStyle name="Comma 2 4 2 2 2 5" xfId="2733"/>
    <cellStyle name="Comma 2 4 2 2 2 6" xfId="663"/>
    <cellStyle name="Comma 2 4 2 2 3" xfId="668"/>
    <cellStyle name="Comma 2 4 2 2 3 2" xfId="669"/>
    <cellStyle name="Comma 2 4 2 2 3 2 2" xfId="670"/>
    <cellStyle name="Comma 2 4 2 2 3 3" xfId="671"/>
    <cellStyle name="Comma 2 4 2 2 3 4" xfId="672"/>
    <cellStyle name="Comma 2 4 2 2 4" xfId="673"/>
    <cellStyle name="Comma 2 4 2 2 4 2" xfId="674"/>
    <cellStyle name="Comma 2 4 2 2 4 2 2" xfId="675"/>
    <cellStyle name="Comma 2 4 2 2 4 3" xfId="676"/>
    <cellStyle name="Comma 2 4 2 2 4 4" xfId="677"/>
    <cellStyle name="Comma 2 4 2 2 5" xfId="678"/>
    <cellStyle name="Comma 2 4 2 2 5 2" xfId="679"/>
    <cellStyle name="Comma 2 4 2 2 5 2 2" xfId="680"/>
    <cellStyle name="Comma 2 4 2 2 5 3" xfId="681"/>
    <cellStyle name="Comma 2 4 2 2 5 4" xfId="682"/>
    <cellStyle name="Comma 2 4 2 2 6" xfId="683"/>
    <cellStyle name="Comma 2 4 2 2 6 2" xfId="684"/>
    <cellStyle name="Comma 2 4 2 2 6 3" xfId="685"/>
    <cellStyle name="Comma 2 4 2 2 7" xfId="686"/>
    <cellStyle name="Comma 2 4 2 2 7 2" xfId="687"/>
    <cellStyle name="Comma 2 4 2 2 8" xfId="688"/>
    <cellStyle name="Comma 2 4 2 2 9" xfId="689"/>
    <cellStyle name="Comma 2 4 2 3" xfId="130"/>
    <cellStyle name="Comma 2 4 2 3 2" xfId="691"/>
    <cellStyle name="Comma 2 4 2 3 2 2" xfId="692"/>
    <cellStyle name="Comma 2 4 2 3 3" xfId="693"/>
    <cellStyle name="Comma 2 4 2 3 4" xfId="694"/>
    <cellStyle name="Comma 2 4 2 3 5" xfId="2706"/>
    <cellStyle name="Comma 2 4 2 3 6" xfId="690"/>
    <cellStyle name="Comma 2 4 2 4" xfId="695"/>
    <cellStyle name="Comma 2 4 2 4 2" xfId="696"/>
    <cellStyle name="Comma 2 4 2 4 2 2" xfId="697"/>
    <cellStyle name="Comma 2 4 2 4 3" xfId="698"/>
    <cellStyle name="Comma 2 4 2 4 4" xfId="699"/>
    <cellStyle name="Comma 2 4 2 5" xfId="700"/>
    <cellStyle name="Comma 2 4 2 5 2" xfId="701"/>
    <cellStyle name="Comma 2 4 2 5 2 2" xfId="702"/>
    <cellStyle name="Comma 2 4 2 5 3" xfId="703"/>
    <cellStyle name="Comma 2 4 2 5 4" xfId="704"/>
    <cellStyle name="Comma 2 4 2 6" xfId="705"/>
    <cellStyle name="Comma 2 4 2 6 2" xfId="706"/>
    <cellStyle name="Comma 2 4 2 6 2 2" xfId="707"/>
    <cellStyle name="Comma 2 4 2 6 3" xfId="708"/>
    <cellStyle name="Comma 2 4 2 6 4" xfId="709"/>
    <cellStyle name="Comma 2 4 2 7" xfId="710"/>
    <cellStyle name="Comma 2 4 2 7 2" xfId="711"/>
    <cellStyle name="Comma 2 4 2 7 3" xfId="712"/>
    <cellStyle name="Comma 2 4 2 8" xfId="713"/>
    <cellStyle name="Comma 2 4 2 8 2" xfId="714"/>
    <cellStyle name="Comma 2 4 2 9" xfId="715"/>
    <cellStyle name="Comma 2 4 3" xfId="90"/>
    <cellStyle name="Comma 2 4 3 10" xfId="717"/>
    <cellStyle name="Comma 2 4 3 11" xfId="2607"/>
    <cellStyle name="Comma 2 4 3 12" xfId="2666"/>
    <cellStyle name="Comma 2 4 3 13" xfId="716"/>
    <cellStyle name="Comma 2 4 3 2" xfId="144"/>
    <cellStyle name="Comma 2 4 3 2 10" xfId="2720"/>
    <cellStyle name="Comma 2 4 3 2 11" xfId="718"/>
    <cellStyle name="Comma 2 4 3 2 2" xfId="719"/>
    <cellStyle name="Comma 2 4 3 2 2 2" xfId="720"/>
    <cellStyle name="Comma 2 4 3 2 2 2 2" xfId="721"/>
    <cellStyle name="Comma 2 4 3 2 2 3" xfId="722"/>
    <cellStyle name="Comma 2 4 3 2 2 4" xfId="723"/>
    <cellStyle name="Comma 2 4 3 2 3" xfId="724"/>
    <cellStyle name="Comma 2 4 3 2 3 2" xfId="725"/>
    <cellStyle name="Comma 2 4 3 2 3 2 2" xfId="726"/>
    <cellStyle name="Comma 2 4 3 2 3 3" xfId="727"/>
    <cellStyle name="Comma 2 4 3 2 3 4" xfId="728"/>
    <cellStyle name="Comma 2 4 3 2 4" xfId="729"/>
    <cellStyle name="Comma 2 4 3 2 4 2" xfId="730"/>
    <cellStyle name="Comma 2 4 3 2 4 2 2" xfId="731"/>
    <cellStyle name="Comma 2 4 3 2 4 3" xfId="732"/>
    <cellStyle name="Comma 2 4 3 2 4 4" xfId="733"/>
    <cellStyle name="Comma 2 4 3 2 5" xfId="734"/>
    <cellStyle name="Comma 2 4 3 2 5 2" xfId="735"/>
    <cellStyle name="Comma 2 4 3 2 5 2 2" xfId="736"/>
    <cellStyle name="Comma 2 4 3 2 5 3" xfId="737"/>
    <cellStyle name="Comma 2 4 3 2 5 4" xfId="738"/>
    <cellStyle name="Comma 2 4 3 2 6" xfId="739"/>
    <cellStyle name="Comma 2 4 3 2 6 2" xfId="740"/>
    <cellStyle name="Comma 2 4 3 2 6 3" xfId="741"/>
    <cellStyle name="Comma 2 4 3 2 7" xfId="742"/>
    <cellStyle name="Comma 2 4 3 2 7 2" xfId="743"/>
    <cellStyle name="Comma 2 4 3 2 8" xfId="744"/>
    <cellStyle name="Comma 2 4 3 2 9" xfId="745"/>
    <cellStyle name="Comma 2 4 3 3" xfId="746"/>
    <cellStyle name="Comma 2 4 3 3 2" xfId="747"/>
    <cellStyle name="Comma 2 4 3 3 2 2" xfId="748"/>
    <cellStyle name="Comma 2 4 3 3 3" xfId="749"/>
    <cellStyle name="Comma 2 4 3 3 4" xfId="750"/>
    <cellStyle name="Comma 2 4 3 4" xfId="751"/>
    <cellStyle name="Comma 2 4 3 4 2" xfId="752"/>
    <cellStyle name="Comma 2 4 3 4 2 2" xfId="753"/>
    <cellStyle name="Comma 2 4 3 4 3" xfId="754"/>
    <cellStyle name="Comma 2 4 3 4 4" xfId="755"/>
    <cellStyle name="Comma 2 4 3 5" xfId="756"/>
    <cellStyle name="Comma 2 4 3 5 2" xfId="757"/>
    <cellStyle name="Comma 2 4 3 5 2 2" xfId="758"/>
    <cellStyle name="Comma 2 4 3 5 3" xfId="759"/>
    <cellStyle name="Comma 2 4 3 5 4" xfId="760"/>
    <cellStyle name="Comma 2 4 3 6" xfId="761"/>
    <cellStyle name="Comma 2 4 3 6 2" xfId="762"/>
    <cellStyle name="Comma 2 4 3 6 2 2" xfId="763"/>
    <cellStyle name="Comma 2 4 3 6 3" xfId="764"/>
    <cellStyle name="Comma 2 4 3 6 4" xfId="765"/>
    <cellStyle name="Comma 2 4 3 7" xfId="766"/>
    <cellStyle name="Comma 2 4 3 7 2" xfId="767"/>
    <cellStyle name="Comma 2 4 3 7 3" xfId="768"/>
    <cellStyle name="Comma 2 4 3 8" xfId="769"/>
    <cellStyle name="Comma 2 4 3 8 2" xfId="770"/>
    <cellStyle name="Comma 2 4 3 9" xfId="771"/>
    <cellStyle name="Comma 2 4 4" xfId="117"/>
    <cellStyle name="Comma 2 4 4 10" xfId="773"/>
    <cellStyle name="Comma 2 4 4 11" xfId="2693"/>
    <cellStyle name="Comma 2 4 4 12" xfId="772"/>
    <cellStyle name="Comma 2 4 4 2" xfId="774"/>
    <cellStyle name="Comma 2 4 4 2 2" xfId="775"/>
    <cellStyle name="Comma 2 4 4 2 2 2" xfId="776"/>
    <cellStyle name="Comma 2 4 4 2 2 2 2" xfId="777"/>
    <cellStyle name="Comma 2 4 4 2 2 3" xfId="778"/>
    <cellStyle name="Comma 2 4 4 2 2 4" xfId="779"/>
    <cellStyle name="Comma 2 4 4 2 3" xfId="780"/>
    <cellStyle name="Comma 2 4 4 2 3 2" xfId="781"/>
    <cellStyle name="Comma 2 4 4 2 3 2 2" xfId="782"/>
    <cellStyle name="Comma 2 4 4 2 3 3" xfId="783"/>
    <cellStyle name="Comma 2 4 4 2 3 4" xfId="784"/>
    <cellStyle name="Comma 2 4 4 2 4" xfId="785"/>
    <cellStyle name="Comma 2 4 4 2 4 2" xfId="786"/>
    <cellStyle name="Comma 2 4 4 2 4 2 2" xfId="787"/>
    <cellStyle name="Comma 2 4 4 2 4 3" xfId="788"/>
    <cellStyle name="Comma 2 4 4 2 4 4" xfId="789"/>
    <cellStyle name="Comma 2 4 4 2 5" xfId="790"/>
    <cellStyle name="Comma 2 4 4 2 5 2" xfId="791"/>
    <cellStyle name="Comma 2 4 4 2 5 2 2" xfId="792"/>
    <cellStyle name="Comma 2 4 4 2 5 3" xfId="793"/>
    <cellStyle name="Comma 2 4 4 2 5 4" xfId="794"/>
    <cellStyle name="Comma 2 4 4 2 6" xfId="795"/>
    <cellStyle name="Comma 2 4 4 2 6 2" xfId="796"/>
    <cellStyle name="Comma 2 4 4 2 6 3" xfId="797"/>
    <cellStyle name="Comma 2 4 4 2 7" xfId="798"/>
    <cellStyle name="Comma 2 4 4 2 7 2" xfId="799"/>
    <cellStyle name="Comma 2 4 4 2 8" xfId="800"/>
    <cellStyle name="Comma 2 4 4 2 9" xfId="801"/>
    <cellStyle name="Comma 2 4 4 3" xfId="802"/>
    <cellStyle name="Comma 2 4 4 3 2" xfId="803"/>
    <cellStyle name="Comma 2 4 4 3 2 2" xfId="804"/>
    <cellStyle name="Comma 2 4 4 3 3" xfId="805"/>
    <cellStyle name="Comma 2 4 4 3 4" xfId="806"/>
    <cellStyle name="Comma 2 4 4 4" xfId="807"/>
    <cellStyle name="Comma 2 4 4 4 2" xfId="808"/>
    <cellStyle name="Comma 2 4 4 4 2 2" xfId="809"/>
    <cellStyle name="Comma 2 4 4 4 3" xfId="810"/>
    <cellStyle name="Comma 2 4 4 4 4" xfId="811"/>
    <cellStyle name="Comma 2 4 4 5" xfId="812"/>
    <cellStyle name="Comma 2 4 4 5 2" xfId="813"/>
    <cellStyle name="Comma 2 4 4 5 2 2" xfId="814"/>
    <cellStyle name="Comma 2 4 4 5 3" xfId="815"/>
    <cellStyle name="Comma 2 4 4 5 4" xfId="816"/>
    <cellStyle name="Comma 2 4 4 6" xfId="817"/>
    <cellStyle name="Comma 2 4 4 6 2" xfId="818"/>
    <cellStyle name="Comma 2 4 4 6 2 2" xfId="819"/>
    <cellStyle name="Comma 2 4 4 6 3" xfId="820"/>
    <cellStyle name="Comma 2 4 4 6 4" xfId="821"/>
    <cellStyle name="Comma 2 4 4 7" xfId="822"/>
    <cellStyle name="Comma 2 4 4 7 2" xfId="823"/>
    <cellStyle name="Comma 2 4 4 7 3" xfId="824"/>
    <cellStyle name="Comma 2 4 4 8" xfId="825"/>
    <cellStyle name="Comma 2 4 4 8 2" xfId="826"/>
    <cellStyle name="Comma 2 4 4 9" xfId="827"/>
    <cellStyle name="Comma 2 4 5" xfId="828"/>
    <cellStyle name="Comma 2 4 5 2" xfId="829"/>
    <cellStyle name="Comma 2 4 5 2 2" xfId="830"/>
    <cellStyle name="Comma 2 4 5 2 2 2" xfId="831"/>
    <cellStyle name="Comma 2 4 5 2 3" xfId="832"/>
    <cellStyle name="Comma 2 4 5 2 4" xfId="833"/>
    <cellStyle name="Comma 2 4 5 3" xfId="834"/>
    <cellStyle name="Comma 2 4 5 3 2" xfId="835"/>
    <cellStyle name="Comma 2 4 5 3 2 2" xfId="836"/>
    <cellStyle name="Comma 2 4 5 3 3" xfId="837"/>
    <cellStyle name="Comma 2 4 5 3 4" xfId="838"/>
    <cellStyle name="Comma 2 4 5 4" xfId="839"/>
    <cellStyle name="Comma 2 4 5 4 2" xfId="840"/>
    <cellStyle name="Comma 2 4 5 4 2 2" xfId="841"/>
    <cellStyle name="Comma 2 4 5 4 3" xfId="842"/>
    <cellStyle name="Comma 2 4 5 4 4" xfId="843"/>
    <cellStyle name="Comma 2 4 5 5" xfId="844"/>
    <cellStyle name="Comma 2 4 5 5 2" xfId="845"/>
    <cellStyle name="Comma 2 4 5 5 2 2" xfId="846"/>
    <cellStyle name="Comma 2 4 5 5 3" xfId="847"/>
    <cellStyle name="Comma 2 4 5 5 4" xfId="848"/>
    <cellStyle name="Comma 2 4 5 6" xfId="849"/>
    <cellStyle name="Comma 2 4 5 6 2" xfId="850"/>
    <cellStyle name="Comma 2 4 5 6 3" xfId="851"/>
    <cellStyle name="Comma 2 4 5 7" xfId="852"/>
    <cellStyle name="Comma 2 4 5 7 2" xfId="853"/>
    <cellStyle name="Comma 2 4 5 8" xfId="854"/>
    <cellStyle name="Comma 2 4 5 9" xfId="855"/>
    <cellStyle name="Comma 2 4 6" xfId="856"/>
    <cellStyle name="Comma 2 4 6 2" xfId="857"/>
    <cellStyle name="Comma 2 4 6 2 2" xfId="858"/>
    <cellStyle name="Comma 2 4 6 3" xfId="859"/>
    <cellStyle name="Comma 2 4 6 4" xfId="860"/>
    <cellStyle name="Comma 2 4 7" xfId="861"/>
    <cellStyle name="Comma 2 4 7 2" xfId="862"/>
    <cellStyle name="Comma 2 4 7 2 2" xfId="863"/>
    <cellStyle name="Comma 2 4 7 3" xfId="864"/>
    <cellStyle name="Comma 2 4 7 4" xfId="865"/>
    <cellStyle name="Comma 2 4 8" xfId="866"/>
    <cellStyle name="Comma 2 4 8 2" xfId="867"/>
    <cellStyle name="Comma 2 4 8 2 2" xfId="868"/>
    <cellStyle name="Comma 2 4 8 3" xfId="869"/>
    <cellStyle name="Comma 2 4 8 4" xfId="870"/>
    <cellStyle name="Comma 2 4 9" xfId="871"/>
    <cellStyle name="Comma 2 4 9 2" xfId="872"/>
    <cellStyle name="Comma 2 4 9 2 2" xfId="873"/>
    <cellStyle name="Comma 2 4 9 3" xfId="874"/>
    <cellStyle name="Comma 2 4 9 4" xfId="875"/>
    <cellStyle name="Comma 2 5" xfId="67"/>
    <cellStyle name="Comma 2 5 10" xfId="877"/>
    <cellStyle name="Comma 2 5 10 2" xfId="878"/>
    <cellStyle name="Comma 2 5 10 3" xfId="879"/>
    <cellStyle name="Comma 2 5 11" xfId="880"/>
    <cellStyle name="Comma 2 5 11 2" xfId="881"/>
    <cellStyle name="Comma 2 5 12" xfId="882"/>
    <cellStyle name="Comma 2 5 13" xfId="883"/>
    <cellStyle name="Comma 2 5 14" xfId="2585"/>
    <cellStyle name="Comma 2 5 15" xfId="2645"/>
    <cellStyle name="Comma 2 5 16" xfId="876"/>
    <cellStyle name="Comma 2 5 2" xfId="96"/>
    <cellStyle name="Comma 2 5 2 10" xfId="885"/>
    <cellStyle name="Comma 2 5 2 11" xfId="2613"/>
    <cellStyle name="Comma 2 5 2 12" xfId="2672"/>
    <cellStyle name="Comma 2 5 2 13" xfId="884"/>
    <cellStyle name="Comma 2 5 2 2" xfId="150"/>
    <cellStyle name="Comma 2 5 2 2 10" xfId="2726"/>
    <cellStyle name="Comma 2 5 2 2 11" xfId="886"/>
    <cellStyle name="Comma 2 5 2 2 2" xfId="887"/>
    <cellStyle name="Comma 2 5 2 2 2 2" xfId="888"/>
    <cellStyle name="Comma 2 5 2 2 2 2 2" xfId="889"/>
    <cellStyle name="Comma 2 5 2 2 2 3" xfId="890"/>
    <cellStyle name="Comma 2 5 2 2 2 4" xfId="891"/>
    <cellStyle name="Comma 2 5 2 2 3" xfId="892"/>
    <cellStyle name="Comma 2 5 2 2 3 2" xfId="893"/>
    <cellStyle name="Comma 2 5 2 2 3 2 2" xfId="894"/>
    <cellStyle name="Comma 2 5 2 2 3 3" xfId="895"/>
    <cellStyle name="Comma 2 5 2 2 3 4" xfId="896"/>
    <cellStyle name="Comma 2 5 2 2 4" xfId="897"/>
    <cellStyle name="Comma 2 5 2 2 4 2" xfId="898"/>
    <cellStyle name="Comma 2 5 2 2 4 2 2" xfId="899"/>
    <cellStyle name="Comma 2 5 2 2 4 3" xfId="900"/>
    <cellStyle name="Comma 2 5 2 2 4 4" xfId="901"/>
    <cellStyle name="Comma 2 5 2 2 5" xfId="902"/>
    <cellStyle name="Comma 2 5 2 2 5 2" xfId="903"/>
    <cellStyle name="Comma 2 5 2 2 5 2 2" xfId="904"/>
    <cellStyle name="Comma 2 5 2 2 5 3" xfId="905"/>
    <cellStyle name="Comma 2 5 2 2 5 4" xfId="906"/>
    <cellStyle name="Comma 2 5 2 2 6" xfId="907"/>
    <cellStyle name="Comma 2 5 2 2 6 2" xfId="908"/>
    <cellStyle name="Comma 2 5 2 2 6 3" xfId="909"/>
    <cellStyle name="Comma 2 5 2 2 7" xfId="910"/>
    <cellStyle name="Comma 2 5 2 2 7 2" xfId="911"/>
    <cellStyle name="Comma 2 5 2 2 8" xfId="912"/>
    <cellStyle name="Comma 2 5 2 2 9" xfId="913"/>
    <cellStyle name="Comma 2 5 2 3" xfId="914"/>
    <cellStyle name="Comma 2 5 2 3 2" xfId="915"/>
    <cellStyle name="Comma 2 5 2 3 2 2" xfId="916"/>
    <cellStyle name="Comma 2 5 2 3 3" xfId="917"/>
    <cellStyle name="Comma 2 5 2 3 4" xfId="918"/>
    <cellStyle name="Comma 2 5 2 4" xfId="919"/>
    <cellStyle name="Comma 2 5 2 4 2" xfId="920"/>
    <cellStyle name="Comma 2 5 2 4 2 2" xfId="921"/>
    <cellStyle name="Comma 2 5 2 4 3" xfId="922"/>
    <cellStyle name="Comma 2 5 2 4 4" xfId="923"/>
    <cellStyle name="Comma 2 5 2 5" xfId="924"/>
    <cellStyle name="Comma 2 5 2 5 2" xfId="925"/>
    <cellStyle name="Comma 2 5 2 5 2 2" xfId="926"/>
    <cellStyle name="Comma 2 5 2 5 3" xfId="927"/>
    <cellStyle name="Comma 2 5 2 5 4" xfId="928"/>
    <cellStyle name="Comma 2 5 2 6" xfId="929"/>
    <cellStyle name="Comma 2 5 2 6 2" xfId="930"/>
    <cellStyle name="Comma 2 5 2 6 2 2" xfId="931"/>
    <cellStyle name="Comma 2 5 2 6 3" xfId="932"/>
    <cellStyle name="Comma 2 5 2 6 4" xfId="933"/>
    <cellStyle name="Comma 2 5 2 7" xfId="934"/>
    <cellStyle name="Comma 2 5 2 7 2" xfId="935"/>
    <cellStyle name="Comma 2 5 2 7 3" xfId="936"/>
    <cellStyle name="Comma 2 5 2 8" xfId="937"/>
    <cellStyle name="Comma 2 5 2 8 2" xfId="938"/>
    <cellStyle name="Comma 2 5 2 9" xfId="939"/>
    <cellStyle name="Comma 2 5 3" xfId="123"/>
    <cellStyle name="Comma 2 5 3 10" xfId="941"/>
    <cellStyle name="Comma 2 5 3 11" xfId="2699"/>
    <cellStyle name="Comma 2 5 3 12" xfId="940"/>
    <cellStyle name="Comma 2 5 3 2" xfId="942"/>
    <cellStyle name="Comma 2 5 3 2 2" xfId="943"/>
    <cellStyle name="Comma 2 5 3 2 2 2" xfId="944"/>
    <cellStyle name="Comma 2 5 3 2 2 2 2" xfId="945"/>
    <cellStyle name="Comma 2 5 3 2 2 3" xfId="946"/>
    <cellStyle name="Comma 2 5 3 2 2 4" xfId="947"/>
    <cellStyle name="Comma 2 5 3 2 3" xfId="948"/>
    <cellStyle name="Comma 2 5 3 2 3 2" xfId="949"/>
    <cellStyle name="Comma 2 5 3 2 3 2 2" xfId="950"/>
    <cellStyle name="Comma 2 5 3 2 3 3" xfId="951"/>
    <cellStyle name="Comma 2 5 3 2 3 4" xfId="952"/>
    <cellStyle name="Comma 2 5 3 2 4" xfId="953"/>
    <cellStyle name="Comma 2 5 3 2 4 2" xfId="954"/>
    <cellStyle name="Comma 2 5 3 2 4 2 2" xfId="955"/>
    <cellStyle name="Comma 2 5 3 2 4 3" xfId="956"/>
    <cellStyle name="Comma 2 5 3 2 4 4" xfId="957"/>
    <cellStyle name="Comma 2 5 3 2 5" xfId="958"/>
    <cellStyle name="Comma 2 5 3 2 5 2" xfId="959"/>
    <cellStyle name="Comma 2 5 3 2 5 2 2" xfId="960"/>
    <cellStyle name="Comma 2 5 3 2 5 3" xfId="961"/>
    <cellStyle name="Comma 2 5 3 2 5 4" xfId="962"/>
    <cellStyle name="Comma 2 5 3 2 6" xfId="963"/>
    <cellStyle name="Comma 2 5 3 2 6 2" xfId="964"/>
    <cellStyle name="Comma 2 5 3 2 6 3" xfId="965"/>
    <cellStyle name="Comma 2 5 3 2 7" xfId="966"/>
    <cellStyle name="Comma 2 5 3 2 7 2" xfId="967"/>
    <cellStyle name="Comma 2 5 3 2 8" xfId="968"/>
    <cellStyle name="Comma 2 5 3 2 9" xfId="969"/>
    <cellStyle name="Comma 2 5 3 3" xfId="970"/>
    <cellStyle name="Comma 2 5 3 3 2" xfId="971"/>
    <cellStyle name="Comma 2 5 3 3 2 2" xfId="972"/>
    <cellStyle name="Comma 2 5 3 3 3" xfId="973"/>
    <cellStyle name="Comma 2 5 3 3 4" xfId="974"/>
    <cellStyle name="Comma 2 5 3 4" xfId="975"/>
    <cellStyle name="Comma 2 5 3 4 2" xfId="976"/>
    <cellStyle name="Comma 2 5 3 4 2 2" xfId="977"/>
    <cellStyle name="Comma 2 5 3 4 3" xfId="978"/>
    <cellStyle name="Comma 2 5 3 4 4" xfId="979"/>
    <cellStyle name="Comma 2 5 3 5" xfId="980"/>
    <cellStyle name="Comma 2 5 3 5 2" xfId="981"/>
    <cellStyle name="Comma 2 5 3 5 2 2" xfId="982"/>
    <cellStyle name="Comma 2 5 3 5 3" xfId="983"/>
    <cellStyle name="Comma 2 5 3 5 4" xfId="984"/>
    <cellStyle name="Comma 2 5 3 6" xfId="985"/>
    <cellStyle name="Comma 2 5 3 6 2" xfId="986"/>
    <cellStyle name="Comma 2 5 3 6 2 2" xfId="987"/>
    <cellStyle name="Comma 2 5 3 6 3" xfId="988"/>
    <cellStyle name="Comma 2 5 3 6 4" xfId="989"/>
    <cellStyle name="Comma 2 5 3 7" xfId="990"/>
    <cellStyle name="Comma 2 5 3 7 2" xfId="991"/>
    <cellStyle name="Comma 2 5 3 7 3" xfId="992"/>
    <cellStyle name="Comma 2 5 3 8" xfId="993"/>
    <cellStyle name="Comma 2 5 3 8 2" xfId="994"/>
    <cellStyle name="Comma 2 5 3 9" xfId="995"/>
    <cellStyle name="Comma 2 5 4" xfId="996"/>
    <cellStyle name="Comma 2 5 4 10" xfId="997"/>
    <cellStyle name="Comma 2 5 4 2" xfId="998"/>
    <cellStyle name="Comma 2 5 4 2 2" xfId="999"/>
    <cellStyle name="Comma 2 5 4 2 2 2" xfId="1000"/>
    <cellStyle name="Comma 2 5 4 2 2 2 2" xfId="1001"/>
    <cellStyle name="Comma 2 5 4 2 2 3" xfId="1002"/>
    <cellStyle name="Comma 2 5 4 2 2 4" xfId="1003"/>
    <cellStyle name="Comma 2 5 4 2 3" xfId="1004"/>
    <cellStyle name="Comma 2 5 4 2 3 2" xfId="1005"/>
    <cellStyle name="Comma 2 5 4 2 3 2 2" xfId="1006"/>
    <cellStyle name="Comma 2 5 4 2 3 3" xfId="1007"/>
    <cellStyle name="Comma 2 5 4 2 3 4" xfId="1008"/>
    <cellStyle name="Comma 2 5 4 2 4" xfId="1009"/>
    <cellStyle name="Comma 2 5 4 2 4 2" xfId="1010"/>
    <cellStyle name="Comma 2 5 4 2 4 2 2" xfId="1011"/>
    <cellStyle name="Comma 2 5 4 2 4 3" xfId="1012"/>
    <cellStyle name="Comma 2 5 4 2 4 4" xfId="1013"/>
    <cellStyle name="Comma 2 5 4 2 5" xfId="1014"/>
    <cellStyle name="Comma 2 5 4 2 5 2" xfId="1015"/>
    <cellStyle name="Comma 2 5 4 2 5 2 2" xfId="1016"/>
    <cellStyle name="Comma 2 5 4 2 5 3" xfId="1017"/>
    <cellStyle name="Comma 2 5 4 2 5 4" xfId="1018"/>
    <cellStyle name="Comma 2 5 4 2 6" xfId="1019"/>
    <cellStyle name="Comma 2 5 4 2 6 2" xfId="1020"/>
    <cellStyle name="Comma 2 5 4 2 6 3" xfId="1021"/>
    <cellStyle name="Comma 2 5 4 2 7" xfId="1022"/>
    <cellStyle name="Comma 2 5 4 2 7 2" xfId="1023"/>
    <cellStyle name="Comma 2 5 4 2 8" xfId="1024"/>
    <cellStyle name="Comma 2 5 4 2 9" xfId="1025"/>
    <cellStyle name="Comma 2 5 4 3" xfId="1026"/>
    <cellStyle name="Comma 2 5 4 3 2" xfId="1027"/>
    <cellStyle name="Comma 2 5 4 3 2 2" xfId="1028"/>
    <cellStyle name="Comma 2 5 4 3 3" xfId="1029"/>
    <cellStyle name="Comma 2 5 4 3 4" xfId="1030"/>
    <cellStyle name="Comma 2 5 4 4" xfId="1031"/>
    <cellStyle name="Comma 2 5 4 4 2" xfId="1032"/>
    <cellStyle name="Comma 2 5 4 4 2 2" xfId="1033"/>
    <cellStyle name="Comma 2 5 4 4 3" xfId="1034"/>
    <cellStyle name="Comma 2 5 4 4 4" xfId="1035"/>
    <cellStyle name="Comma 2 5 4 5" xfId="1036"/>
    <cellStyle name="Comma 2 5 4 5 2" xfId="1037"/>
    <cellStyle name="Comma 2 5 4 5 2 2" xfId="1038"/>
    <cellStyle name="Comma 2 5 4 5 3" xfId="1039"/>
    <cellStyle name="Comma 2 5 4 5 4" xfId="1040"/>
    <cellStyle name="Comma 2 5 4 6" xfId="1041"/>
    <cellStyle name="Comma 2 5 4 6 2" xfId="1042"/>
    <cellStyle name="Comma 2 5 4 6 2 2" xfId="1043"/>
    <cellStyle name="Comma 2 5 4 6 3" xfId="1044"/>
    <cellStyle name="Comma 2 5 4 6 4" xfId="1045"/>
    <cellStyle name="Comma 2 5 4 7" xfId="1046"/>
    <cellStyle name="Comma 2 5 4 7 2" xfId="1047"/>
    <cellStyle name="Comma 2 5 4 7 3" xfId="1048"/>
    <cellStyle name="Comma 2 5 4 8" xfId="1049"/>
    <cellStyle name="Comma 2 5 4 8 2" xfId="1050"/>
    <cellStyle name="Comma 2 5 4 9" xfId="1051"/>
    <cellStyle name="Comma 2 5 5" xfId="1052"/>
    <cellStyle name="Comma 2 5 5 2" xfId="1053"/>
    <cellStyle name="Comma 2 5 5 2 2" xfId="1054"/>
    <cellStyle name="Comma 2 5 5 2 2 2" xfId="1055"/>
    <cellStyle name="Comma 2 5 5 2 3" xfId="1056"/>
    <cellStyle name="Comma 2 5 5 2 4" xfId="1057"/>
    <cellStyle name="Comma 2 5 5 3" xfId="1058"/>
    <cellStyle name="Comma 2 5 5 3 2" xfId="1059"/>
    <cellStyle name="Comma 2 5 5 3 2 2" xfId="1060"/>
    <cellStyle name="Comma 2 5 5 3 3" xfId="1061"/>
    <cellStyle name="Comma 2 5 5 3 4" xfId="1062"/>
    <cellStyle name="Comma 2 5 5 4" xfId="1063"/>
    <cellStyle name="Comma 2 5 5 4 2" xfId="1064"/>
    <cellStyle name="Comma 2 5 5 4 2 2" xfId="1065"/>
    <cellStyle name="Comma 2 5 5 4 3" xfId="1066"/>
    <cellStyle name="Comma 2 5 5 4 4" xfId="1067"/>
    <cellStyle name="Comma 2 5 5 5" xfId="1068"/>
    <cellStyle name="Comma 2 5 5 5 2" xfId="1069"/>
    <cellStyle name="Comma 2 5 5 5 2 2" xfId="1070"/>
    <cellStyle name="Comma 2 5 5 5 3" xfId="1071"/>
    <cellStyle name="Comma 2 5 5 5 4" xfId="1072"/>
    <cellStyle name="Comma 2 5 5 6" xfId="1073"/>
    <cellStyle name="Comma 2 5 5 6 2" xfId="1074"/>
    <cellStyle name="Comma 2 5 5 6 3" xfId="1075"/>
    <cellStyle name="Comma 2 5 5 7" xfId="1076"/>
    <cellStyle name="Comma 2 5 5 7 2" xfId="1077"/>
    <cellStyle name="Comma 2 5 5 8" xfId="1078"/>
    <cellStyle name="Comma 2 5 5 9" xfId="1079"/>
    <cellStyle name="Comma 2 5 6" xfId="1080"/>
    <cellStyle name="Comma 2 5 6 2" xfId="1081"/>
    <cellStyle name="Comma 2 5 6 2 2" xfId="1082"/>
    <cellStyle name="Comma 2 5 6 3" xfId="1083"/>
    <cellStyle name="Comma 2 5 6 4" xfId="1084"/>
    <cellStyle name="Comma 2 5 7" xfId="1085"/>
    <cellStyle name="Comma 2 5 7 2" xfId="1086"/>
    <cellStyle name="Comma 2 5 7 2 2" xfId="1087"/>
    <cellStyle name="Comma 2 5 7 3" xfId="1088"/>
    <cellStyle name="Comma 2 5 7 4" xfId="1089"/>
    <cellStyle name="Comma 2 5 8" xfId="1090"/>
    <cellStyle name="Comma 2 5 8 2" xfId="1091"/>
    <cellStyle name="Comma 2 5 8 2 2" xfId="1092"/>
    <cellStyle name="Comma 2 5 8 3" xfId="1093"/>
    <cellStyle name="Comma 2 5 8 4" xfId="1094"/>
    <cellStyle name="Comma 2 5 9" xfId="1095"/>
    <cellStyle name="Comma 2 5 9 2" xfId="1096"/>
    <cellStyle name="Comma 2 5 9 2 2" xfId="1097"/>
    <cellStyle name="Comma 2 5 9 3" xfId="1098"/>
    <cellStyle name="Comma 2 5 9 4" xfId="1099"/>
    <cellStyle name="Comma 2 6" xfId="83"/>
    <cellStyle name="Comma 2 6 10" xfId="1101"/>
    <cellStyle name="Comma 2 6 11" xfId="2600"/>
    <cellStyle name="Comma 2 6 12" xfId="2659"/>
    <cellStyle name="Comma 2 6 13" xfId="1100"/>
    <cellStyle name="Comma 2 6 2" xfId="137"/>
    <cellStyle name="Comma 2 6 2 10" xfId="2713"/>
    <cellStyle name="Comma 2 6 2 11" xfId="1102"/>
    <cellStyle name="Comma 2 6 2 2" xfId="1103"/>
    <cellStyle name="Comma 2 6 2 2 2" xfId="1104"/>
    <cellStyle name="Comma 2 6 2 2 2 2" xfId="1105"/>
    <cellStyle name="Comma 2 6 2 2 3" xfId="1106"/>
    <cellStyle name="Comma 2 6 2 2 4" xfId="1107"/>
    <cellStyle name="Comma 2 6 2 3" xfId="1108"/>
    <cellStyle name="Comma 2 6 2 3 2" xfId="1109"/>
    <cellStyle name="Comma 2 6 2 3 2 2" xfId="1110"/>
    <cellStyle name="Comma 2 6 2 3 3" xfId="1111"/>
    <cellStyle name="Comma 2 6 2 3 4" xfId="1112"/>
    <cellStyle name="Comma 2 6 2 4" xfId="1113"/>
    <cellStyle name="Comma 2 6 2 4 2" xfId="1114"/>
    <cellStyle name="Comma 2 6 2 4 2 2" xfId="1115"/>
    <cellStyle name="Comma 2 6 2 4 3" xfId="1116"/>
    <cellStyle name="Comma 2 6 2 4 4" xfId="1117"/>
    <cellStyle name="Comma 2 6 2 5" xfId="1118"/>
    <cellStyle name="Comma 2 6 2 5 2" xfId="1119"/>
    <cellStyle name="Comma 2 6 2 5 2 2" xfId="1120"/>
    <cellStyle name="Comma 2 6 2 5 3" xfId="1121"/>
    <cellStyle name="Comma 2 6 2 5 4" xfId="1122"/>
    <cellStyle name="Comma 2 6 2 6" xfId="1123"/>
    <cellStyle name="Comma 2 6 2 6 2" xfId="1124"/>
    <cellStyle name="Comma 2 6 2 6 3" xfId="1125"/>
    <cellStyle name="Comma 2 6 2 7" xfId="1126"/>
    <cellStyle name="Comma 2 6 2 7 2" xfId="1127"/>
    <cellStyle name="Comma 2 6 2 8" xfId="1128"/>
    <cellStyle name="Comma 2 6 2 9" xfId="1129"/>
    <cellStyle name="Comma 2 6 3" xfId="1130"/>
    <cellStyle name="Comma 2 6 3 2" xfId="1131"/>
    <cellStyle name="Comma 2 6 3 2 2" xfId="1132"/>
    <cellStyle name="Comma 2 6 3 3" xfId="1133"/>
    <cellStyle name="Comma 2 6 3 4" xfId="1134"/>
    <cellStyle name="Comma 2 6 4" xfId="1135"/>
    <cellStyle name="Comma 2 6 4 2" xfId="1136"/>
    <cellStyle name="Comma 2 6 4 2 2" xfId="1137"/>
    <cellStyle name="Comma 2 6 4 3" xfId="1138"/>
    <cellStyle name="Comma 2 6 4 4" xfId="1139"/>
    <cellStyle name="Comma 2 6 5" xfId="1140"/>
    <cellStyle name="Comma 2 6 5 2" xfId="1141"/>
    <cellStyle name="Comma 2 6 5 2 2" xfId="1142"/>
    <cellStyle name="Comma 2 6 5 3" xfId="1143"/>
    <cellStyle name="Comma 2 6 5 4" xfId="1144"/>
    <cellStyle name="Comma 2 6 6" xfId="1145"/>
    <cellStyle name="Comma 2 6 6 2" xfId="1146"/>
    <cellStyle name="Comma 2 6 6 2 2" xfId="1147"/>
    <cellStyle name="Comma 2 6 6 3" xfId="1148"/>
    <cellStyle name="Comma 2 6 6 4" xfId="1149"/>
    <cellStyle name="Comma 2 6 7" xfId="1150"/>
    <cellStyle name="Comma 2 6 7 2" xfId="1151"/>
    <cellStyle name="Comma 2 6 7 3" xfId="1152"/>
    <cellStyle name="Comma 2 6 8" xfId="1153"/>
    <cellStyle name="Comma 2 6 8 2" xfId="1154"/>
    <cellStyle name="Comma 2 6 9" xfId="1155"/>
    <cellStyle name="Comma 2 7" xfId="110"/>
    <cellStyle name="Comma 2 7 10" xfId="1157"/>
    <cellStyle name="Comma 2 7 11" xfId="2686"/>
    <cellStyle name="Comma 2 7 12" xfId="1156"/>
    <cellStyle name="Comma 2 7 2" xfId="1158"/>
    <cellStyle name="Comma 2 7 2 2" xfId="1159"/>
    <cellStyle name="Comma 2 7 2 2 2" xfId="1160"/>
    <cellStyle name="Comma 2 7 2 2 2 2" xfId="1161"/>
    <cellStyle name="Comma 2 7 2 2 3" xfId="1162"/>
    <cellStyle name="Comma 2 7 2 2 4" xfId="1163"/>
    <cellStyle name="Comma 2 7 2 3" xfId="1164"/>
    <cellStyle name="Comma 2 7 2 3 2" xfId="1165"/>
    <cellStyle name="Comma 2 7 2 3 2 2" xfId="1166"/>
    <cellStyle name="Comma 2 7 2 3 3" xfId="1167"/>
    <cellStyle name="Comma 2 7 2 3 4" xfId="1168"/>
    <cellStyle name="Comma 2 7 2 4" xfId="1169"/>
    <cellStyle name="Comma 2 7 2 4 2" xfId="1170"/>
    <cellStyle name="Comma 2 7 2 4 2 2" xfId="1171"/>
    <cellStyle name="Comma 2 7 2 4 3" xfId="1172"/>
    <cellStyle name="Comma 2 7 2 4 4" xfId="1173"/>
    <cellStyle name="Comma 2 7 2 5" xfId="1174"/>
    <cellStyle name="Comma 2 7 2 5 2" xfId="1175"/>
    <cellStyle name="Comma 2 7 2 5 2 2" xfId="1176"/>
    <cellStyle name="Comma 2 7 2 5 3" xfId="1177"/>
    <cellStyle name="Comma 2 7 2 5 4" xfId="1178"/>
    <cellStyle name="Comma 2 7 2 6" xfId="1179"/>
    <cellStyle name="Comma 2 7 2 6 2" xfId="1180"/>
    <cellStyle name="Comma 2 7 2 6 3" xfId="1181"/>
    <cellStyle name="Comma 2 7 2 7" xfId="1182"/>
    <cellStyle name="Comma 2 7 2 7 2" xfId="1183"/>
    <cellStyle name="Comma 2 7 2 8" xfId="1184"/>
    <cellStyle name="Comma 2 7 2 9" xfId="1185"/>
    <cellStyle name="Comma 2 7 3" xfId="1186"/>
    <cellStyle name="Comma 2 7 3 2" xfId="1187"/>
    <cellStyle name="Comma 2 7 3 2 2" xfId="1188"/>
    <cellStyle name="Comma 2 7 3 3" xfId="1189"/>
    <cellStyle name="Comma 2 7 3 4" xfId="1190"/>
    <cellStyle name="Comma 2 7 4" xfId="1191"/>
    <cellStyle name="Comma 2 7 4 2" xfId="1192"/>
    <cellStyle name="Comma 2 7 4 2 2" xfId="1193"/>
    <cellStyle name="Comma 2 7 4 3" xfId="1194"/>
    <cellStyle name="Comma 2 7 4 4" xfId="1195"/>
    <cellStyle name="Comma 2 7 5" xfId="1196"/>
    <cellStyle name="Comma 2 7 5 2" xfId="1197"/>
    <cellStyle name="Comma 2 7 5 2 2" xfId="1198"/>
    <cellStyle name="Comma 2 7 5 3" xfId="1199"/>
    <cellStyle name="Comma 2 7 5 4" xfId="1200"/>
    <cellStyle name="Comma 2 7 6" xfId="1201"/>
    <cellStyle name="Comma 2 7 6 2" xfId="1202"/>
    <cellStyle name="Comma 2 7 6 2 2" xfId="1203"/>
    <cellStyle name="Comma 2 7 6 3" xfId="1204"/>
    <cellStyle name="Comma 2 7 6 4" xfId="1205"/>
    <cellStyle name="Comma 2 7 7" xfId="1206"/>
    <cellStyle name="Comma 2 7 7 2" xfId="1207"/>
    <cellStyle name="Comma 2 7 7 3" xfId="1208"/>
    <cellStyle name="Comma 2 7 8" xfId="1209"/>
    <cellStyle name="Comma 2 7 8 2" xfId="1210"/>
    <cellStyle name="Comma 2 7 9" xfId="1211"/>
    <cellStyle name="Comma 2 8" xfId="1212"/>
    <cellStyle name="Comma 2 8 10" xfId="1213"/>
    <cellStyle name="Comma 2 8 2" xfId="1214"/>
    <cellStyle name="Comma 2 8 2 2" xfId="1215"/>
    <cellStyle name="Comma 2 8 2 2 2" xfId="1216"/>
    <cellStyle name="Comma 2 8 2 2 2 2" xfId="1217"/>
    <cellStyle name="Comma 2 8 2 2 3" xfId="1218"/>
    <cellStyle name="Comma 2 8 2 2 4" xfId="1219"/>
    <cellStyle name="Comma 2 8 2 3" xfId="1220"/>
    <cellStyle name="Comma 2 8 2 3 2" xfId="1221"/>
    <cellStyle name="Comma 2 8 2 3 2 2" xfId="1222"/>
    <cellStyle name="Comma 2 8 2 3 3" xfId="1223"/>
    <cellStyle name="Comma 2 8 2 3 4" xfId="1224"/>
    <cellStyle name="Comma 2 8 2 4" xfId="1225"/>
    <cellStyle name="Comma 2 8 2 4 2" xfId="1226"/>
    <cellStyle name="Comma 2 8 2 4 2 2" xfId="1227"/>
    <cellStyle name="Comma 2 8 2 4 3" xfId="1228"/>
    <cellStyle name="Comma 2 8 2 4 4" xfId="1229"/>
    <cellStyle name="Comma 2 8 2 5" xfId="1230"/>
    <cellStyle name="Comma 2 8 2 5 2" xfId="1231"/>
    <cellStyle name="Comma 2 8 2 5 2 2" xfId="1232"/>
    <cellStyle name="Comma 2 8 2 5 3" xfId="1233"/>
    <cellStyle name="Comma 2 8 2 5 4" xfId="1234"/>
    <cellStyle name="Comma 2 8 2 6" xfId="1235"/>
    <cellStyle name="Comma 2 8 2 6 2" xfId="1236"/>
    <cellStyle name="Comma 2 8 2 6 3" xfId="1237"/>
    <cellStyle name="Comma 2 8 2 7" xfId="1238"/>
    <cellStyle name="Comma 2 8 2 7 2" xfId="1239"/>
    <cellStyle name="Comma 2 8 2 8" xfId="1240"/>
    <cellStyle name="Comma 2 8 2 9" xfId="1241"/>
    <cellStyle name="Comma 2 8 3" xfId="1242"/>
    <cellStyle name="Comma 2 8 3 2" xfId="1243"/>
    <cellStyle name="Comma 2 8 3 2 2" xfId="1244"/>
    <cellStyle name="Comma 2 8 3 3" xfId="1245"/>
    <cellStyle name="Comma 2 8 3 4" xfId="1246"/>
    <cellStyle name="Comma 2 8 4" xfId="1247"/>
    <cellStyle name="Comma 2 8 4 2" xfId="1248"/>
    <cellStyle name="Comma 2 8 4 2 2" xfId="1249"/>
    <cellStyle name="Comma 2 8 4 3" xfId="1250"/>
    <cellStyle name="Comma 2 8 4 4" xfId="1251"/>
    <cellStyle name="Comma 2 8 5" xfId="1252"/>
    <cellStyle name="Comma 2 8 5 2" xfId="1253"/>
    <cellStyle name="Comma 2 8 5 2 2" xfId="1254"/>
    <cellStyle name="Comma 2 8 5 3" xfId="1255"/>
    <cellStyle name="Comma 2 8 5 4" xfId="1256"/>
    <cellStyle name="Comma 2 8 6" xfId="1257"/>
    <cellStyle name="Comma 2 8 6 2" xfId="1258"/>
    <cellStyle name="Comma 2 8 6 2 2" xfId="1259"/>
    <cellStyle name="Comma 2 8 6 3" xfId="1260"/>
    <cellStyle name="Comma 2 8 6 4" xfId="1261"/>
    <cellStyle name="Comma 2 8 7" xfId="1262"/>
    <cellStyle name="Comma 2 8 7 2" xfId="1263"/>
    <cellStyle name="Comma 2 8 7 3" xfId="1264"/>
    <cellStyle name="Comma 2 8 8" xfId="1265"/>
    <cellStyle name="Comma 2 8 8 2" xfId="1266"/>
    <cellStyle name="Comma 2 8 9" xfId="1267"/>
    <cellStyle name="Comma 2 9" xfId="1268"/>
    <cellStyle name="Comma 2 9 2" xfId="1269"/>
    <cellStyle name="Comma 2 9 2 2" xfId="1270"/>
    <cellStyle name="Comma 2 9 2 2 2" xfId="1271"/>
    <cellStyle name="Comma 2 9 2 3" xfId="1272"/>
    <cellStyle name="Comma 2 9 2 4" xfId="1273"/>
    <cellStyle name="Comma 2 9 3" xfId="1274"/>
    <cellStyle name="Comma 2 9 3 2" xfId="1275"/>
    <cellStyle name="Comma 2 9 3 2 2" xfId="1276"/>
    <cellStyle name="Comma 2 9 3 3" xfId="1277"/>
    <cellStyle name="Comma 2 9 3 4" xfId="1278"/>
    <cellStyle name="Comma 2 9 4" xfId="1279"/>
    <cellStyle name="Comma 2 9 4 2" xfId="1280"/>
    <cellStyle name="Comma 2 9 4 2 2" xfId="1281"/>
    <cellStyle name="Comma 2 9 4 3" xfId="1282"/>
    <cellStyle name="Comma 2 9 4 4" xfId="1283"/>
    <cellStyle name="Comma 2 9 5" xfId="1284"/>
    <cellStyle name="Comma 2 9 5 2" xfId="1285"/>
    <cellStyle name="Comma 2 9 5 2 2" xfId="1286"/>
    <cellStyle name="Comma 2 9 5 3" xfId="1287"/>
    <cellStyle name="Comma 2 9 5 4" xfId="1288"/>
    <cellStyle name="Comma 2 9 6" xfId="1289"/>
    <cellStyle name="Comma 2 9 6 2" xfId="1290"/>
    <cellStyle name="Comma 2 9 6 3" xfId="1291"/>
    <cellStyle name="Comma 2 9 7" xfId="1292"/>
    <cellStyle name="Comma 2 9 7 2" xfId="1293"/>
    <cellStyle name="Comma 2 9 8" xfId="1294"/>
    <cellStyle name="Comma 2 9 9" xfId="1295"/>
    <cellStyle name="Comma 3" xfId="60"/>
    <cellStyle name="Comma 3 10" xfId="1297"/>
    <cellStyle name="Comma 3 10 2" xfId="1298"/>
    <cellStyle name="Comma 3 10 3" xfId="1299"/>
    <cellStyle name="Comma 3 11" xfId="1300"/>
    <cellStyle name="Comma 3 11 2" xfId="1301"/>
    <cellStyle name="Comma 3 12" xfId="1302"/>
    <cellStyle name="Comma 3 13" xfId="1303"/>
    <cellStyle name="Comma 3 14" xfId="1304"/>
    <cellStyle name="Comma 3 15" xfId="2578"/>
    <cellStyle name="Comma 3 16" xfId="2638"/>
    <cellStyle name="Comma 3 17" xfId="1296"/>
    <cellStyle name="Comma 3 2" xfId="73"/>
    <cellStyle name="Comma 3 2 10" xfId="1306"/>
    <cellStyle name="Comma 3 2 11" xfId="2591"/>
    <cellStyle name="Comma 3 2 12" xfId="2651"/>
    <cellStyle name="Comma 3 2 13" xfId="1305"/>
    <cellStyle name="Comma 3 2 2" xfId="102"/>
    <cellStyle name="Comma 3 2 2 10" xfId="2619"/>
    <cellStyle name="Comma 3 2 2 11" xfId="2678"/>
    <cellStyle name="Comma 3 2 2 12" xfId="1307"/>
    <cellStyle name="Comma 3 2 2 2" xfId="156"/>
    <cellStyle name="Comma 3 2 2 2 2" xfId="1309"/>
    <cellStyle name="Comma 3 2 2 2 2 2" xfId="1310"/>
    <cellStyle name="Comma 3 2 2 2 3" xfId="1311"/>
    <cellStyle name="Comma 3 2 2 2 4" xfId="1312"/>
    <cellStyle name="Comma 3 2 2 2 5" xfId="2732"/>
    <cellStyle name="Comma 3 2 2 2 6" xfId="1308"/>
    <cellStyle name="Comma 3 2 2 3" xfId="1313"/>
    <cellStyle name="Comma 3 2 2 3 2" xfId="1314"/>
    <cellStyle name="Comma 3 2 2 3 2 2" xfId="1315"/>
    <cellStyle name="Comma 3 2 2 3 3" xfId="1316"/>
    <cellStyle name="Comma 3 2 2 3 4" xfId="1317"/>
    <cellStyle name="Comma 3 2 2 4" xfId="1318"/>
    <cellStyle name="Comma 3 2 2 4 2" xfId="1319"/>
    <cellStyle name="Comma 3 2 2 4 2 2" xfId="1320"/>
    <cellStyle name="Comma 3 2 2 4 3" xfId="1321"/>
    <cellStyle name="Comma 3 2 2 4 4" xfId="1322"/>
    <cellStyle name="Comma 3 2 2 5" xfId="1323"/>
    <cellStyle name="Comma 3 2 2 5 2" xfId="1324"/>
    <cellStyle name="Comma 3 2 2 5 2 2" xfId="1325"/>
    <cellStyle name="Comma 3 2 2 5 3" xfId="1326"/>
    <cellStyle name="Comma 3 2 2 5 4" xfId="1327"/>
    <cellStyle name="Comma 3 2 2 6" xfId="1328"/>
    <cellStyle name="Comma 3 2 2 6 2" xfId="1329"/>
    <cellStyle name="Comma 3 2 2 6 3" xfId="1330"/>
    <cellStyle name="Comma 3 2 2 7" xfId="1331"/>
    <cellStyle name="Comma 3 2 2 7 2" xfId="1332"/>
    <cellStyle name="Comma 3 2 2 8" xfId="1333"/>
    <cellStyle name="Comma 3 2 2 9" xfId="1334"/>
    <cellStyle name="Comma 3 2 3" xfId="129"/>
    <cellStyle name="Comma 3 2 3 2" xfId="1336"/>
    <cellStyle name="Comma 3 2 3 2 2" xfId="1337"/>
    <cellStyle name="Comma 3 2 3 3" xfId="1338"/>
    <cellStyle name="Comma 3 2 3 4" xfId="1339"/>
    <cellStyle name="Comma 3 2 3 5" xfId="2705"/>
    <cellStyle name="Comma 3 2 3 6" xfId="1335"/>
    <cellStyle name="Comma 3 2 4" xfId="1340"/>
    <cellStyle name="Comma 3 2 4 2" xfId="1341"/>
    <cellStyle name="Comma 3 2 4 2 2" xfId="1342"/>
    <cellStyle name="Comma 3 2 4 3" xfId="1343"/>
    <cellStyle name="Comma 3 2 4 4" xfId="1344"/>
    <cellStyle name="Comma 3 2 5" xfId="1345"/>
    <cellStyle name="Comma 3 2 5 2" xfId="1346"/>
    <cellStyle name="Comma 3 2 5 2 2" xfId="1347"/>
    <cellStyle name="Comma 3 2 5 3" xfId="1348"/>
    <cellStyle name="Comma 3 2 5 4" xfId="1349"/>
    <cellStyle name="Comma 3 2 6" xfId="1350"/>
    <cellStyle name="Comma 3 2 6 2" xfId="1351"/>
    <cellStyle name="Comma 3 2 6 2 2" xfId="1352"/>
    <cellStyle name="Comma 3 2 6 3" xfId="1353"/>
    <cellStyle name="Comma 3 2 6 4" xfId="1354"/>
    <cellStyle name="Comma 3 2 7" xfId="1355"/>
    <cellStyle name="Comma 3 2 7 2" xfId="1356"/>
    <cellStyle name="Comma 3 2 7 3" xfId="1357"/>
    <cellStyle name="Comma 3 2 8" xfId="1358"/>
    <cellStyle name="Comma 3 2 8 2" xfId="1359"/>
    <cellStyle name="Comma 3 2 9" xfId="1360"/>
    <cellStyle name="Comma 3 3" xfId="89"/>
    <cellStyle name="Comma 3 3 10" xfId="1362"/>
    <cellStyle name="Comma 3 3 11" xfId="2606"/>
    <cellStyle name="Comma 3 3 12" xfId="2665"/>
    <cellStyle name="Comma 3 3 13" xfId="1361"/>
    <cellStyle name="Comma 3 3 2" xfId="143"/>
    <cellStyle name="Comma 3 3 2 10" xfId="2719"/>
    <cellStyle name="Comma 3 3 2 11" xfId="1363"/>
    <cellStyle name="Comma 3 3 2 2" xfId="1364"/>
    <cellStyle name="Comma 3 3 2 2 2" xfId="1365"/>
    <cellStyle name="Comma 3 3 2 2 2 2" xfId="1366"/>
    <cellStyle name="Comma 3 3 2 2 3" xfId="1367"/>
    <cellStyle name="Comma 3 3 2 2 4" xfId="1368"/>
    <cellStyle name="Comma 3 3 2 3" xfId="1369"/>
    <cellStyle name="Comma 3 3 2 3 2" xfId="1370"/>
    <cellStyle name="Comma 3 3 2 3 2 2" xfId="1371"/>
    <cellStyle name="Comma 3 3 2 3 3" xfId="1372"/>
    <cellStyle name="Comma 3 3 2 3 4" xfId="1373"/>
    <cellStyle name="Comma 3 3 2 4" xfId="1374"/>
    <cellStyle name="Comma 3 3 2 4 2" xfId="1375"/>
    <cellStyle name="Comma 3 3 2 4 2 2" xfId="1376"/>
    <cellStyle name="Comma 3 3 2 4 3" xfId="1377"/>
    <cellStyle name="Comma 3 3 2 4 4" xfId="1378"/>
    <cellStyle name="Comma 3 3 2 5" xfId="1379"/>
    <cellStyle name="Comma 3 3 2 5 2" xfId="1380"/>
    <cellStyle name="Comma 3 3 2 5 2 2" xfId="1381"/>
    <cellStyle name="Comma 3 3 2 5 3" xfId="1382"/>
    <cellStyle name="Comma 3 3 2 5 4" xfId="1383"/>
    <cellStyle name="Comma 3 3 2 6" xfId="1384"/>
    <cellStyle name="Comma 3 3 2 6 2" xfId="1385"/>
    <cellStyle name="Comma 3 3 2 6 3" xfId="1386"/>
    <cellStyle name="Comma 3 3 2 7" xfId="1387"/>
    <cellStyle name="Comma 3 3 2 7 2" xfId="1388"/>
    <cellStyle name="Comma 3 3 2 8" xfId="1389"/>
    <cellStyle name="Comma 3 3 2 9" xfId="1390"/>
    <cellStyle name="Comma 3 3 3" xfId="1391"/>
    <cellStyle name="Comma 3 3 3 2" xfId="1392"/>
    <cellStyle name="Comma 3 3 3 2 2" xfId="1393"/>
    <cellStyle name="Comma 3 3 3 3" xfId="1394"/>
    <cellStyle name="Comma 3 3 3 4" xfId="1395"/>
    <cellStyle name="Comma 3 3 4" xfId="1396"/>
    <cellStyle name="Comma 3 3 4 2" xfId="1397"/>
    <cellStyle name="Comma 3 3 4 2 2" xfId="1398"/>
    <cellStyle name="Comma 3 3 4 3" xfId="1399"/>
    <cellStyle name="Comma 3 3 4 4" xfId="1400"/>
    <cellStyle name="Comma 3 3 5" xfId="1401"/>
    <cellStyle name="Comma 3 3 5 2" xfId="1402"/>
    <cellStyle name="Comma 3 3 5 2 2" xfId="1403"/>
    <cellStyle name="Comma 3 3 5 3" xfId="1404"/>
    <cellStyle name="Comma 3 3 5 4" xfId="1405"/>
    <cellStyle name="Comma 3 3 6" xfId="1406"/>
    <cellStyle name="Comma 3 3 6 2" xfId="1407"/>
    <cellStyle name="Comma 3 3 6 2 2" xfId="1408"/>
    <cellStyle name="Comma 3 3 6 3" xfId="1409"/>
    <cellStyle name="Comma 3 3 6 4" xfId="1410"/>
    <cellStyle name="Comma 3 3 7" xfId="1411"/>
    <cellStyle name="Comma 3 3 7 2" xfId="1412"/>
    <cellStyle name="Comma 3 3 7 3" xfId="1413"/>
    <cellStyle name="Comma 3 3 8" xfId="1414"/>
    <cellStyle name="Comma 3 3 8 2" xfId="1415"/>
    <cellStyle name="Comma 3 3 9" xfId="1416"/>
    <cellStyle name="Comma 3 4" xfId="116"/>
    <cellStyle name="Comma 3 4 10" xfId="1418"/>
    <cellStyle name="Comma 3 4 11" xfId="2692"/>
    <cellStyle name="Comma 3 4 12" xfId="1417"/>
    <cellStyle name="Comma 3 4 2" xfId="1419"/>
    <cellStyle name="Comma 3 4 2 2" xfId="1420"/>
    <cellStyle name="Comma 3 4 2 2 2" xfId="1421"/>
    <cellStyle name="Comma 3 4 2 2 2 2" xfId="1422"/>
    <cellStyle name="Comma 3 4 2 2 3" xfId="1423"/>
    <cellStyle name="Comma 3 4 2 2 4" xfId="1424"/>
    <cellStyle name="Comma 3 4 2 3" xfId="1425"/>
    <cellStyle name="Comma 3 4 2 3 2" xfId="1426"/>
    <cellStyle name="Comma 3 4 2 3 2 2" xfId="1427"/>
    <cellStyle name="Comma 3 4 2 3 3" xfId="1428"/>
    <cellStyle name="Comma 3 4 2 3 4" xfId="1429"/>
    <cellStyle name="Comma 3 4 2 4" xfId="1430"/>
    <cellStyle name="Comma 3 4 2 4 2" xfId="1431"/>
    <cellStyle name="Comma 3 4 2 4 2 2" xfId="1432"/>
    <cellStyle name="Comma 3 4 2 4 3" xfId="1433"/>
    <cellStyle name="Comma 3 4 2 4 4" xfId="1434"/>
    <cellStyle name="Comma 3 4 2 5" xfId="1435"/>
    <cellStyle name="Comma 3 4 2 5 2" xfId="1436"/>
    <cellStyle name="Comma 3 4 2 5 2 2" xfId="1437"/>
    <cellStyle name="Comma 3 4 2 5 3" xfId="1438"/>
    <cellStyle name="Comma 3 4 2 5 4" xfId="1439"/>
    <cellStyle name="Comma 3 4 2 6" xfId="1440"/>
    <cellStyle name="Comma 3 4 2 6 2" xfId="1441"/>
    <cellStyle name="Comma 3 4 2 6 3" xfId="1442"/>
    <cellStyle name="Comma 3 4 2 7" xfId="1443"/>
    <cellStyle name="Comma 3 4 2 7 2" xfId="1444"/>
    <cellStyle name="Comma 3 4 2 8" xfId="1445"/>
    <cellStyle name="Comma 3 4 2 9" xfId="1446"/>
    <cellStyle name="Comma 3 4 3" xfId="1447"/>
    <cellStyle name="Comma 3 4 3 2" xfId="1448"/>
    <cellStyle name="Comma 3 4 3 2 2" xfId="1449"/>
    <cellStyle name="Comma 3 4 3 3" xfId="1450"/>
    <cellStyle name="Comma 3 4 3 4" xfId="1451"/>
    <cellStyle name="Comma 3 4 4" xfId="1452"/>
    <cellStyle name="Comma 3 4 4 2" xfId="1453"/>
    <cellStyle name="Comma 3 4 4 2 2" xfId="1454"/>
    <cellStyle name="Comma 3 4 4 3" xfId="1455"/>
    <cellStyle name="Comma 3 4 4 4" xfId="1456"/>
    <cellStyle name="Comma 3 4 5" xfId="1457"/>
    <cellStyle name="Comma 3 4 5 2" xfId="1458"/>
    <cellStyle name="Comma 3 4 5 2 2" xfId="1459"/>
    <cellStyle name="Comma 3 4 5 3" xfId="1460"/>
    <cellStyle name="Comma 3 4 5 4" xfId="1461"/>
    <cellStyle name="Comma 3 4 6" xfId="1462"/>
    <cellStyle name="Comma 3 4 6 2" xfId="1463"/>
    <cellStyle name="Comma 3 4 6 2 2" xfId="1464"/>
    <cellStyle name="Comma 3 4 6 3" xfId="1465"/>
    <cellStyle name="Comma 3 4 6 4" xfId="1466"/>
    <cellStyle name="Comma 3 4 7" xfId="1467"/>
    <cellStyle name="Comma 3 4 7 2" xfId="1468"/>
    <cellStyle name="Comma 3 4 7 3" xfId="1469"/>
    <cellStyle name="Comma 3 4 8" xfId="1470"/>
    <cellStyle name="Comma 3 4 8 2" xfId="1471"/>
    <cellStyle name="Comma 3 4 9" xfId="1472"/>
    <cellStyle name="Comma 3 5" xfId="1473"/>
    <cellStyle name="Comma 3 5 2" xfId="1474"/>
    <cellStyle name="Comma 3 5 2 2" xfId="1475"/>
    <cellStyle name="Comma 3 5 2 2 2" xfId="1476"/>
    <cellStyle name="Comma 3 5 2 3" xfId="1477"/>
    <cellStyle name="Comma 3 5 2 4" xfId="1478"/>
    <cellStyle name="Comma 3 5 3" xfId="1479"/>
    <cellStyle name="Comma 3 5 3 2" xfId="1480"/>
    <cellStyle name="Comma 3 5 3 2 2" xfId="1481"/>
    <cellStyle name="Comma 3 5 3 3" xfId="1482"/>
    <cellStyle name="Comma 3 5 3 4" xfId="1483"/>
    <cellStyle name="Comma 3 5 4" xfId="1484"/>
    <cellStyle name="Comma 3 5 4 2" xfId="1485"/>
    <cellStyle name="Comma 3 5 4 2 2" xfId="1486"/>
    <cellStyle name="Comma 3 5 4 3" xfId="1487"/>
    <cellStyle name="Comma 3 5 4 4" xfId="1488"/>
    <cellStyle name="Comma 3 5 5" xfId="1489"/>
    <cellStyle name="Comma 3 5 5 2" xfId="1490"/>
    <cellStyle name="Comma 3 5 5 2 2" xfId="1491"/>
    <cellStyle name="Comma 3 5 5 3" xfId="1492"/>
    <cellStyle name="Comma 3 5 5 4" xfId="1493"/>
    <cellStyle name="Comma 3 5 6" xfId="1494"/>
    <cellStyle name="Comma 3 5 6 2" xfId="1495"/>
    <cellStyle name="Comma 3 5 6 3" xfId="1496"/>
    <cellStyle name="Comma 3 5 7" xfId="1497"/>
    <cellStyle name="Comma 3 5 7 2" xfId="1498"/>
    <cellStyle name="Comma 3 5 8" xfId="1499"/>
    <cellStyle name="Comma 3 5 9" xfId="1500"/>
    <cellStyle name="Comma 3 6" xfId="1501"/>
    <cellStyle name="Comma 3 6 2" xfId="1502"/>
    <cellStyle name="Comma 3 6 2 2" xfId="1503"/>
    <cellStyle name="Comma 3 6 3" xfId="1504"/>
    <cellStyle name="Comma 3 6 4" xfId="1505"/>
    <cellStyle name="Comma 3 7" xfId="1506"/>
    <cellStyle name="Comma 3 7 2" xfId="1507"/>
    <cellStyle name="Comma 3 7 2 2" xfId="1508"/>
    <cellStyle name="Comma 3 7 3" xfId="1509"/>
    <cellStyle name="Comma 3 7 4" xfId="1510"/>
    <cellStyle name="Comma 3 8" xfId="1511"/>
    <cellStyle name="Comma 3 8 2" xfId="1512"/>
    <cellStyle name="Comma 3 8 2 2" xfId="1513"/>
    <cellStyle name="Comma 3 8 3" xfId="1514"/>
    <cellStyle name="Comma 3 8 4" xfId="1515"/>
    <cellStyle name="Comma 3 9" xfId="1516"/>
    <cellStyle name="Comma 3 9 2" xfId="1517"/>
    <cellStyle name="Comma 3 9 2 2" xfId="1518"/>
    <cellStyle name="Comma 3 9 3" xfId="1519"/>
    <cellStyle name="Comma 3 9 4" xfId="1520"/>
    <cellStyle name="Comma 4" xfId="82"/>
    <cellStyle name="Comma 4 10" xfId="1522"/>
    <cellStyle name="Comma 4 10 2" xfId="1523"/>
    <cellStyle name="Comma 4 10 3" xfId="1524"/>
    <cellStyle name="Comma 4 11" xfId="1525"/>
    <cellStyle name="Comma 4 11 2" xfId="1526"/>
    <cellStyle name="Comma 4 12" xfId="1527"/>
    <cellStyle name="Comma 4 13" xfId="1528"/>
    <cellStyle name="Comma 4 14" xfId="2599"/>
    <cellStyle name="Comma 4 15" xfId="2658"/>
    <cellStyle name="Comma 4 16" xfId="1521"/>
    <cellStyle name="Comma 4 2" xfId="31"/>
    <cellStyle name="Comma 4 2 10" xfId="1530"/>
    <cellStyle name="Comma 4 2 10 2" xfId="1531"/>
    <cellStyle name="Comma 4 2 11" xfId="1532"/>
    <cellStyle name="Comma 4 2 12" xfId="1533"/>
    <cellStyle name="Comma 4 2 13" xfId="1534"/>
    <cellStyle name="Comma 4 2 14" xfId="2572"/>
    <cellStyle name="Comma 4 2 15" xfId="2634"/>
    <cellStyle name="Comma 4 2 16" xfId="1529"/>
    <cellStyle name="Comma 4 2 2" xfId="42"/>
    <cellStyle name="Comma 4 2 2 10" xfId="1536"/>
    <cellStyle name="Comma 4 2 2 11" xfId="2576"/>
    <cellStyle name="Comma 4 2 2 12" xfId="2637"/>
    <cellStyle name="Comma 4 2 2 13" xfId="1535"/>
    <cellStyle name="Comma 4 2 2 2" xfId="66"/>
    <cellStyle name="Comma 4 2 2 2 10" xfId="2584"/>
    <cellStyle name="Comma 4 2 2 2 11" xfId="2644"/>
    <cellStyle name="Comma 4 2 2 2 12" xfId="1537"/>
    <cellStyle name="Comma 4 2 2 2 2" xfId="79"/>
    <cellStyle name="Comma 4 2 2 2 2 2" xfId="108"/>
    <cellStyle name="Comma 4 2 2 2 2 2 2" xfId="162"/>
    <cellStyle name="Comma 4 2 2 2 2 2 2 2" xfId="2738"/>
    <cellStyle name="Comma 4 2 2 2 2 2 2 3" xfId="1540"/>
    <cellStyle name="Comma 4 2 2 2 2 2 3" xfId="2625"/>
    <cellStyle name="Comma 4 2 2 2 2 2 4" xfId="2684"/>
    <cellStyle name="Comma 4 2 2 2 2 2 5" xfId="1539"/>
    <cellStyle name="Comma 4 2 2 2 2 3" xfId="135"/>
    <cellStyle name="Comma 4 2 2 2 2 3 2" xfId="2711"/>
    <cellStyle name="Comma 4 2 2 2 2 3 3" xfId="1541"/>
    <cellStyle name="Comma 4 2 2 2 2 4" xfId="1542"/>
    <cellStyle name="Comma 4 2 2 2 2 5" xfId="2597"/>
    <cellStyle name="Comma 4 2 2 2 2 6" xfId="2657"/>
    <cellStyle name="Comma 4 2 2 2 2 7" xfId="1538"/>
    <cellStyle name="Comma 4 2 2 2 3" xfId="95"/>
    <cellStyle name="Comma 4 2 2 2 3 2" xfId="149"/>
    <cellStyle name="Comma 4 2 2 2 3 2 2" xfId="1545"/>
    <cellStyle name="Comma 4 2 2 2 3 2 3" xfId="2725"/>
    <cellStyle name="Comma 4 2 2 2 3 2 4" xfId="1544"/>
    <cellStyle name="Comma 4 2 2 2 3 3" xfId="1546"/>
    <cellStyle name="Comma 4 2 2 2 3 4" xfId="1547"/>
    <cellStyle name="Comma 4 2 2 2 3 5" xfId="2612"/>
    <cellStyle name="Comma 4 2 2 2 3 6" xfId="2671"/>
    <cellStyle name="Comma 4 2 2 2 3 7" xfId="1543"/>
    <cellStyle name="Comma 4 2 2 2 4" xfId="122"/>
    <cellStyle name="Comma 4 2 2 2 4 2" xfId="1549"/>
    <cellStyle name="Comma 4 2 2 2 4 2 2" xfId="1550"/>
    <cellStyle name="Comma 4 2 2 2 4 3" xfId="1551"/>
    <cellStyle name="Comma 4 2 2 2 4 4" xfId="1552"/>
    <cellStyle name="Comma 4 2 2 2 4 5" xfId="2698"/>
    <cellStyle name="Comma 4 2 2 2 4 6" xfId="1548"/>
    <cellStyle name="Comma 4 2 2 2 5" xfId="1553"/>
    <cellStyle name="Comma 4 2 2 2 5 2" xfId="1554"/>
    <cellStyle name="Comma 4 2 2 2 5 2 2" xfId="1555"/>
    <cellStyle name="Comma 4 2 2 2 5 3" xfId="1556"/>
    <cellStyle name="Comma 4 2 2 2 5 4" xfId="1557"/>
    <cellStyle name="Comma 4 2 2 2 6" xfId="1558"/>
    <cellStyle name="Comma 4 2 2 2 6 2" xfId="1559"/>
    <cellStyle name="Comma 4 2 2 2 6 3" xfId="1560"/>
    <cellStyle name="Comma 4 2 2 2 7" xfId="1561"/>
    <cellStyle name="Comma 4 2 2 2 7 2" xfId="1562"/>
    <cellStyle name="Comma 4 2 2 2 8" xfId="1563"/>
    <cellStyle name="Comma 4 2 2 2 9" xfId="1564"/>
    <cellStyle name="Comma 4 2 2 3" xfId="72"/>
    <cellStyle name="Comma 4 2 2 3 2" xfId="101"/>
    <cellStyle name="Comma 4 2 2 3 2 2" xfId="155"/>
    <cellStyle name="Comma 4 2 2 3 2 2 2" xfId="2731"/>
    <cellStyle name="Comma 4 2 2 3 2 2 3" xfId="1567"/>
    <cellStyle name="Comma 4 2 2 3 2 3" xfId="2618"/>
    <cellStyle name="Comma 4 2 2 3 2 4" xfId="2677"/>
    <cellStyle name="Comma 4 2 2 3 2 5" xfId="1566"/>
    <cellStyle name="Comma 4 2 2 3 3" xfId="128"/>
    <cellStyle name="Comma 4 2 2 3 3 2" xfId="2704"/>
    <cellStyle name="Comma 4 2 2 3 3 3" xfId="1568"/>
    <cellStyle name="Comma 4 2 2 3 4" xfId="1569"/>
    <cellStyle name="Comma 4 2 2 3 5" xfId="2590"/>
    <cellStyle name="Comma 4 2 2 3 6" xfId="2650"/>
    <cellStyle name="Comma 4 2 2 3 7" xfId="1565"/>
    <cellStyle name="Comma 4 2 2 4" xfId="88"/>
    <cellStyle name="Comma 4 2 2 4 2" xfId="142"/>
    <cellStyle name="Comma 4 2 2 4 2 2" xfId="1572"/>
    <cellStyle name="Comma 4 2 2 4 2 3" xfId="2718"/>
    <cellStyle name="Comma 4 2 2 4 2 4" xfId="1571"/>
    <cellStyle name="Comma 4 2 2 4 3" xfId="1573"/>
    <cellStyle name="Comma 4 2 2 4 4" xfId="1574"/>
    <cellStyle name="Comma 4 2 2 4 5" xfId="2605"/>
    <cellStyle name="Comma 4 2 2 4 6" xfId="2664"/>
    <cellStyle name="Comma 4 2 2 4 7" xfId="1570"/>
    <cellStyle name="Comma 4 2 2 5" xfId="115"/>
    <cellStyle name="Comma 4 2 2 5 2" xfId="1576"/>
    <cellStyle name="Comma 4 2 2 5 2 2" xfId="1577"/>
    <cellStyle name="Comma 4 2 2 5 3" xfId="1578"/>
    <cellStyle name="Comma 4 2 2 5 4" xfId="1579"/>
    <cellStyle name="Comma 4 2 2 5 5" xfId="2691"/>
    <cellStyle name="Comma 4 2 2 5 6" xfId="1575"/>
    <cellStyle name="Comma 4 2 2 6" xfId="1580"/>
    <cellStyle name="Comma 4 2 2 6 2" xfId="1581"/>
    <cellStyle name="Comma 4 2 2 6 2 2" xfId="1582"/>
    <cellStyle name="Comma 4 2 2 6 3" xfId="1583"/>
    <cellStyle name="Comma 4 2 2 6 4" xfId="1584"/>
    <cellStyle name="Comma 4 2 2 7" xfId="1585"/>
    <cellStyle name="Comma 4 2 2 7 2" xfId="1586"/>
    <cellStyle name="Comma 4 2 2 7 3" xfId="1587"/>
    <cellStyle name="Comma 4 2 2 8" xfId="1588"/>
    <cellStyle name="Comma 4 2 2 8 2" xfId="1589"/>
    <cellStyle name="Comma 4 2 2 9" xfId="1590"/>
    <cellStyle name="Comma 4 2 3" xfId="63"/>
    <cellStyle name="Comma 4 2 3 10" xfId="1592"/>
    <cellStyle name="Comma 4 2 3 11" xfId="2581"/>
    <cellStyle name="Comma 4 2 3 12" xfId="2641"/>
    <cellStyle name="Comma 4 2 3 13" xfId="1591"/>
    <cellStyle name="Comma 4 2 3 2" xfId="76"/>
    <cellStyle name="Comma 4 2 3 2 10" xfId="2594"/>
    <cellStyle name="Comma 4 2 3 2 11" xfId="2654"/>
    <cellStyle name="Comma 4 2 3 2 12" xfId="1593"/>
    <cellStyle name="Comma 4 2 3 2 2" xfId="105"/>
    <cellStyle name="Comma 4 2 3 2 2 2" xfId="159"/>
    <cellStyle name="Comma 4 2 3 2 2 2 2" xfId="1596"/>
    <cellStyle name="Comma 4 2 3 2 2 2 3" xfId="2735"/>
    <cellStyle name="Comma 4 2 3 2 2 2 4" xfId="1595"/>
    <cellStyle name="Comma 4 2 3 2 2 3" xfId="1597"/>
    <cellStyle name="Comma 4 2 3 2 2 4" xfId="1598"/>
    <cellStyle name="Comma 4 2 3 2 2 5" xfId="2622"/>
    <cellStyle name="Comma 4 2 3 2 2 6" xfId="2681"/>
    <cellStyle name="Comma 4 2 3 2 2 7" xfId="1594"/>
    <cellStyle name="Comma 4 2 3 2 3" xfId="132"/>
    <cellStyle name="Comma 4 2 3 2 3 2" xfId="1600"/>
    <cellStyle name="Comma 4 2 3 2 3 2 2" xfId="1601"/>
    <cellStyle name="Comma 4 2 3 2 3 3" xfId="1602"/>
    <cellStyle name="Comma 4 2 3 2 3 4" xfId="1603"/>
    <cellStyle name="Comma 4 2 3 2 3 5" xfId="2708"/>
    <cellStyle name="Comma 4 2 3 2 3 6" xfId="1599"/>
    <cellStyle name="Comma 4 2 3 2 4" xfId="1604"/>
    <cellStyle name="Comma 4 2 3 2 4 2" xfId="1605"/>
    <cellStyle name="Comma 4 2 3 2 4 2 2" xfId="1606"/>
    <cellStyle name="Comma 4 2 3 2 4 3" xfId="1607"/>
    <cellStyle name="Comma 4 2 3 2 4 4" xfId="1608"/>
    <cellStyle name="Comma 4 2 3 2 5" xfId="1609"/>
    <cellStyle name="Comma 4 2 3 2 5 2" xfId="1610"/>
    <cellStyle name="Comma 4 2 3 2 5 2 2" xfId="1611"/>
    <cellStyle name="Comma 4 2 3 2 5 3" xfId="1612"/>
    <cellStyle name="Comma 4 2 3 2 5 4" xfId="1613"/>
    <cellStyle name="Comma 4 2 3 2 6" xfId="1614"/>
    <cellStyle name="Comma 4 2 3 2 6 2" xfId="1615"/>
    <cellStyle name="Comma 4 2 3 2 6 3" xfId="1616"/>
    <cellStyle name="Comma 4 2 3 2 7" xfId="1617"/>
    <cellStyle name="Comma 4 2 3 2 7 2" xfId="1618"/>
    <cellStyle name="Comma 4 2 3 2 8" xfId="1619"/>
    <cellStyle name="Comma 4 2 3 2 9" xfId="1620"/>
    <cellStyle name="Comma 4 2 3 3" xfId="92"/>
    <cellStyle name="Comma 4 2 3 3 2" xfId="146"/>
    <cellStyle name="Comma 4 2 3 3 2 2" xfId="1623"/>
    <cellStyle name="Comma 4 2 3 3 2 3" xfId="2722"/>
    <cellStyle name="Comma 4 2 3 3 2 4" xfId="1622"/>
    <cellStyle name="Comma 4 2 3 3 3" xfId="1624"/>
    <cellStyle name="Comma 4 2 3 3 4" xfId="1625"/>
    <cellStyle name="Comma 4 2 3 3 5" xfId="2609"/>
    <cellStyle name="Comma 4 2 3 3 6" xfId="2668"/>
    <cellStyle name="Comma 4 2 3 3 7" xfId="1621"/>
    <cellStyle name="Comma 4 2 3 4" xfId="119"/>
    <cellStyle name="Comma 4 2 3 4 2" xfId="1627"/>
    <cellStyle name="Comma 4 2 3 4 2 2" xfId="1628"/>
    <cellStyle name="Comma 4 2 3 4 3" xfId="1629"/>
    <cellStyle name="Comma 4 2 3 4 4" xfId="1630"/>
    <cellStyle name="Comma 4 2 3 4 5" xfId="2695"/>
    <cellStyle name="Comma 4 2 3 4 6" xfId="1626"/>
    <cellStyle name="Comma 4 2 3 5" xfId="1631"/>
    <cellStyle name="Comma 4 2 3 5 2" xfId="1632"/>
    <cellStyle name="Comma 4 2 3 5 2 2" xfId="1633"/>
    <cellStyle name="Comma 4 2 3 5 3" xfId="1634"/>
    <cellStyle name="Comma 4 2 3 5 4" xfId="1635"/>
    <cellStyle name="Comma 4 2 3 6" xfId="1636"/>
    <cellStyle name="Comma 4 2 3 6 2" xfId="1637"/>
    <cellStyle name="Comma 4 2 3 6 2 2" xfId="1638"/>
    <cellStyle name="Comma 4 2 3 6 3" xfId="1639"/>
    <cellStyle name="Comma 4 2 3 6 4" xfId="1640"/>
    <cellStyle name="Comma 4 2 3 7" xfId="1641"/>
    <cellStyle name="Comma 4 2 3 7 2" xfId="1642"/>
    <cellStyle name="Comma 4 2 3 7 3" xfId="1643"/>
    <cellStyle name="Comma 4 2 3 8" xfId="1644"/>
    <cellStyle name="Comma 4 2 3 8 2" xfId="1645"/>
    <cellStyle name="Comma 4 2 3 9" xfId="1646"/>
    <cellStyle name="Comma 4 2 4" xfId="69"/>
    <cellStyle name="Comma 4 2 4 10" xfId="2587"/>
    <cellStyle name="Comma 4 2 4 11" xfId="2647"/>
    <cellStyle name="Comma 4 2 4 12" xfId="1647"/>
    <cellStyle name="Comma 4 2 4 2" xfId="98"/>
    <cellStyle name="Comma 4 2 4 2 2" xfId="152"/>
    <cellStyle name="Comma 4 2 4 2 2 2" xfId="1650"/>
    <cellStyle name="Comma 4 2 4 2 2 3" xfId="2728"/>
    <cellStyle name="Comma 4 2 4 2 2 4" xfId="1649"/>
    <cellStyle name="Comma 4 2 4 2 3" xfId="1651"/>
    <cellStyle name="Comma 4 2 4 2 4" xfId="1652"/>
    <cellStyle name="Comma 4 2 4 2 5" xfId="2615"/>
    <cellStyle name="Comma 4 2 4 2 6" xfId="2674"/>
    <cellStyle name="Comma 4 2 4 2 7" xfId="1648"/>
    <cellStyle name="Comma 4 2 4 3" xfId="125"/>
    <cellStyle name="Comma 4 2 4 3 2" xfId="1654"/>
    <cellStyle name="Comma 4 2 4 3 2 2" xfId="1655"/>
    <cellStyle name="Comma 4 2 4 3 3" xfId="1656"/>
    <cellStyle name="Comma 4 2 4 3 4" xfId="1657"/>
    <cellStyle name="Comma 4 2 4 3 5" xfId="2701"/>
    <cellStyle name="Comma 4 2 4 3 6" xfId="1653"/>
    <cellStyle name="Comma 4 2 4 4" xfId="1658"/>
    <cellStyle name="Comma 4 2 4 4 2" xfId="1659"/>
    <cellStyle name="Comma 4 2 4 4 2 2" xfId="1660"/>
    <cellStyle name="Comma 4 2 4 4 3" xfId="1661"/>
    <cellStyle name="Comma 4 2 4 4 4" xfId="1662"/>
    <cellStyle name="Comma 4 2 4 5" xfId="1663"/>
    <cellStyle name="Comma 4 2 4 5 2" xfId="1664"/>
    <cellStyle name="Comma 4 2 4 5 2 2" xfId="1665"/>
    <cellStyle name="Comma 4 2 4 5 3" xfId="1666"/>
    <cellStyle name="Comma 4 2 4 5 4" xfId="1667"/>
    <cellStyle name="Comma 4 2 4 6" xfId="1668"/>
    <cellStyle name="Comma 4 2 4 6 2" xfId="1669"/>
    <cellStyle name="Comma 4 2 4 6 3" xfId="1670"/>
    <cellStyle name="Comma 4 2 4 7" xfId="1671"/>
    <cellStyle name="Comma 4 2 4 7 2" xfId="1672"/>
    <cellStyle name="Comma 4 2 4 8" xfId="1673"/>
    <cellStyle name="Comma 4 2 4 9" xfId="1674"/>
    <cellStyle name="Comma 4 2 5" xfId="85"/>
    <cellStyle name="Comma 4 2 5 2" xfId="139"/>
    <cellStyle name="Comma 4 2 5 2 2" xfId="1677"/>
    <cellStyle name="Comma 4 2 5 2 3" xfId="2715"/>
    <cellStyle name="Comma 4 2 5 2 4" xfId="1676"/>
    <cellStyle name="Comma 4 2 5 3" xfId="1678"/>
    <cellStyle name="Comma 4 2 5 4" xfId="1679"/>
    <cellStyle name="Comma 4 2 5 5" xfId="2602"/>
    <cellStyle name="Comma 4 2 5 6" xfId="2661"/>
    <cellStyle name="Comma 4 2 5 7" xfId="1675"/>
    <cellStyle name="Comma 4 2 6" xfId="112"/>
    <cellStyle name="Comma 4 2 6 2" xfId="1681"/>
    <cellStyle name="Comma 4 2 6 2 2" xfId="1682"/>
    <cellStyle name="Comma 4 2 6 3" xfId="1683"/>
    <cellStyle name="Comma 4 2 6 4" xfId="1684"/>
    <cellStyle name="Comma 4 2 6 5" xfId="2688"/>
    <cellStyle name="Comma 4 2 6 6" xfId="1680"/>
    <cellStyle name="Comma 4 2 7" xfId="1685"/>
    <cellStyle name="Comma 4 2 7 2" xfId="1686"/>
    <cellStyle name="Comma 4 2 7 2 2" xfId="1687"/>
    <cellStyle name="Comma 4 2 7 3" xfId="1688"/>
    <cellStyle name="Comma 4 2 7 4" xfId="1689"/>
    <cellStyle name="Comma 4 2 8" xfId="1690"/>
    <cellStyle name="Comma 4 2 8 2" xfId="1691"/>
    <cellStyle name="Comma 4 2 8 2 2" xfId="1692"/>
    <cellStyle name="Comma 4 2 8 3" xfId="1693"/>
    <cellStyle name="Comma 4 2 8 4" xfId="1694"/>
    <cellStyle name="Comma 4 2 9" xfId="1695"/>
    <cellStyle name="Comma 4 2 9 2" xfId="1696"/>
    <cellStyle name="Comma 4 2 9 3" xfId="1697"/>
    <cellStyle name="Comma 4 3" xfId="136"/>
    <cellStyle name="Comma 4 3 10" xfId="1699"/>
    <cellStyle name="Comma 4 3 11" xfId="2712"/>
    <cellStyle name="Comma 4 3 12" xfId="1698"/>
    <cellStyle name="Comma 4 3 2" xfId="1700"/>
    <cellStyle name="Comma 4 3 2 2" xfId="1701"/>
    <cellStyle name="Comma 4 3 2 2 2" xfId="1702"/>
    <cellStyle name="Comma 4 3 2 2 2 2" xfId="1703"/>
    <cellStyle name="Comma 4 3 2 2 3" xfId="1704"/>
    <cellStyle name="Comma 4 3 2 2 4" xfId="1705"/>
    <cellStyle name="Comma 4 3 2 3" xfId="1706"/>
    <cellStyle name="Comma 4 3 2 3 2" xfId="1707"/>
    <cellStyle name="Comma 4 3 2 3 2 2" xfId="1708"/>
    <cellStyle name="Comma 4 3 2 3 3" xfId="1709"/>
    <cellStyle name="Comma 4 3 2 3 4" xfId="1710"/>
    <cellStyle name="Comma 4 3 2 4" xfId="1711"/>
    <cellStyle name="Comma 4 3 2 4 2" xfId="1712"/>
    <cellStyle name="Comma 4 3 2 4 2 2" xfId="1713"/>
    <cellStyle name="Comma 4 3 2 4 3" xfId="1714"/>
    <cellStyle name="Comma 4 3 2 4 4" xfId="1715"/>
    <cellStyle name="Comma 4 3 2 5" xfId="1716"/>
    <cellStyle name="Comma 4 3 2 5 2" xfId="1717"/>
    <cellStyle name="Comma 4 3 2 5 2 2" xfId="1718"/>
    <cellStyle name="Comma 4 3 2 5 3" xfId="1719"/>
    <cellStyle name="Comma 4 3 2 5 4" xfId="1720"/>
    <cellStyle name="Comma 4 3 2 6" xfId="1721"/>
    <cellStyle name="Comma 4 3 2 6 2" xfId="1722"/>
    <cellStyle name="Comma 4 3 2 6 3" xfId="1723"/>
    <cellStyle name="Comma 4 3 2 7" xfId="1724"/>
    <cellStyle name="Comma 4 3 2 7 2" xfId="1725"/>
    <cellStyle name="Comma 4 3 2 8" xfId="1726"/>
    <cellStyle name="Comma 4 3 2 9" xfId="1727"/>
    <cellStyle name="Comma 4 3 3" xfId="1728"/>
    <cellStyle name="Comma 4 3 3 2" xfId="1729"/>
    <cellStyle name="Comma 4 3 3 2 2" xfId="1730"/>
    <cellStyle name="Comma 4 3 3 3" xfId="1731"/>
    <cellStyle name="Comma 4 3 3 4" xfId="1732"/>
    <cellStyle name="Comma 4 3 4" xfId="1733"/>
    <cellStyle name="Comma 4 3 4 2" xfId="1734"/>
    <cellStyle name="Comma 4 3 4 2 2" xfId="1735"/>
    <cellStyle name="Comma 4 3 4 3" xfId="1736"/>
    <cellStyle name="Comma 4 3 4 4" xfId="1737"/>
    <cellStyle name="Comma 4 3 5" xfId="1738"/>
    <cellStyle name="Comma 4 3 5 2" xfId="1739"/>
    <cellStyle name="Comma 4 3 5 2 2" xfId="1740"/>
    <cellStyle name="Comma 4 3 5 3" xfId="1741"/>
    <cellStyle name="Comma 4 3 5 4" xfId="1742"/>
    <cellStyle name="Comma 4 3 6" xfId="1743"/>
    <cellStyle name="Comma 4 3 6 2" xfId="1744"/>
    <cellStyle name="Comma 4 3 6 2 2" xfId="1745"/>
    <cellStyle name="Comma 4 3 6 3" xfId="1746"/>
    <cellStyle name="Comma 4 3 6 4" xfId="1747"/>
    <cellStyle name="Comma 4 3 7" xfId="1748"/>
    <cellStyle name="Comma 4 3 7 2" xfId="1749"/>
    <cellStyle name="Comma 4 3 7 3" xfId="1750"/>
    <cellStyle name="Comma 4 3 8" xfId="1751"/>
    <cellStyle name="Comma 4 3 8 2" xfId="1752"/>
    <cellStyle name="Comma 4 3 9" xfId="1753"/>
    <cellStyle name="Comma 4 4" xfId="1754"/>
    <cellStyle name="Comma 4 4 10" xfId="1755"/>
    <cellStyle name="Comma 4 4 2" xfId="1756"/>
    <cellStyle name="Comma 4 4 2 2" xfId="1757"/>
    <cellStyle name="Comma 4 4 2 2 2" xfId="1758"/>
    <cellStyle name="Comma 4 4 2 2 2 2" xfId="1759"/>
    <cellStyle name="Comma 4 4 2 2 3" xfId="1760"/>
    <cellStyle name="Comma 4 4 2 2 4" xfId="1761"/>
    <cellStyle name="Comma 4 4 2 3" xfId="1762"/>
    <cellStyle name="Comma 4 4 2 3 2" xfId="1763"/>
    <cellStyle name="Comma 4 4 2 3 2 2" xfId="1764"/>
    <cellStyle name="Comma 4 4 2 3 3" xfId="1765"/>
    <cellStyle name="Comma 4 4 2 3 4" xfId="1766"/>
    <cellStyle name="Comma 4 4 2 4" xfId="1767"/>
    <cellStyle name="Comma 4 4 2 4 2" xfId="1768"/>
    <cellStyle name="Comma 4 4 2 4 2 2" xfId="1769"/>
    <cellStyle name="Comma 4 4 2 4 3" xfId="1770"/>
    <cellStyle name="Comma 4 4 2 4 4" xfId="1771"/>
    <cellStyle name="Comma 4 4 2 5" xfId="1772"/>
    <cellStyle name="Comma 4 4 2 5 2" xfId="1773"/>
    <cellStyle name="Comma 4 4 2 5 2 2" xfId="1774"/>
    <cellStyle name="Comma 4 4 2 5 3" xfId="1775"/>
    <cellStyle name="Comma 4 4 2 5 4" xfId="1776"/>
    <cellStyle name="Comma 4 4 2 6" xfId="1777"/>
    <cellStyle name="Comma 4 4 2 6 2" xfId="1778"/>
    <cellStyle name="Comma 4 4 2 6 3" xfId="1779"/>
    <cellStyle name="Comma 4 4 2 7" xfId="1780"/>
    <cellStyle name="Comma 4 4 2 7 2" xfId="1781"/>
    <cellStyle name="Comma 4 4 2 8" xfId="1782"/>
    <cellStyle name="Comma 4 4 2 9" xfId="1783"/>
    <cellStyle name="Comma 4 4 3" xfId="1784"/>
    <cellStyle name="Comma 4 4 3 2" xfId="1785"/>
    <cellStyle name="Comma 4 4 3 2 2" xfId="1786"/>
    <cellStyle name="Comma 4 4 3 3" xfId="1787"/>
    <cellStyle name="Comma 4 4 3 4" xfId="1788"/>
    <cellStyle name="Comma 4 4 4" xfId="1789"/>
    <cellStyle name="Comma 4 4 4 2" xfId="1790"/>
    <cellStyle name="Comma 4 4 4 2 2" xfId="1791"/>
    <cellStyle name="Comma 4 4 4 3" xfId="1792"/>
    <cellStyle name="Comma 4 4 4 4" xfId="1793"/>
    <cellStyle name="Comma 4 4 5" xfId="1794"/>
    <cellStyle name="Comma 4 4 5 2" xfId="1795"/>
    <cellStyle name="Comma 4 4 5 2 2" xfId="1796"/>
    <cellStyle name="Comma 4 4 5 3" xfId="1797"/>
    <cellStyle name="Comma 4 4 5 4" xfId="1798"/>
    <cellStyle name="Comma 4 4 6" xfId="1799"/>
    <cellStyle name="Comma 4 4 6 2" xfId="1800"/>
    <cellStyle name="Comma 4 4 6 2 2" xfId="1801"/>
    <cellStyle name="Comma 4 4 6 3" xfId="1802"/>
    <cellStyle name="Comma 4 4 6 4" xfId="1803"/>
    <cellStyle name="Comma 4 4 7" xfId="1804"/>
    <cellStyle name="Comma 4 4 7 2" xfId="1805"/>
    <cellStyle name="Comma 4 4 7 3" xfId="1806"/>
    <cellStyle name="Comma 4 4 8" xfId="1807"/>
    <cellStyle name="Comma 4 4 8 2" xfId="1808"/>
    <cellStyle name="Comma 4 4 9" xfId="1809"/>
    <cellStyle name="Comma 4 5" xfId="1810"/>
    <cellStyle name="Comma 4 5 2" xfId="1811"/>
    <cellStyle name="Comma 4 5 2 2" xfId="1812"/>
    <cellStyle name="Comma 4 5 2 2 2" xfId="1813"/>
    <cellStyle name="Comma 4 5 2 3" xfId="1814"/>
    <cellStyle name="Comma 4 5 2 4" xfId="1815"/>
    <cellStyle name="Comma 4 5 3" xfId="1816"/>
    <cellStyle name="Comma 4 5 3 2" xfId="1817"/>
    <cellStyle name="Comma 4 5 3 2 2" xfId="1818"/>
    <cellStyle name="Comma 4 5 3 3" xfId="1819"/>
    <cellStyle name="Comma 4 5 3 4" xfId="1820"/>
    <cellStyle name="Comma 4 5 4" xfId="1821"/>
    <cellStyle name="Comma 4 5 4 2" xfId="1822"/>
    <cellStyle name="Comma 4 5 4 2 2" xfId="1823"/>
    <cellStyle name="Comma 4 5 4 3" xfId="1824"/>
    <cellStyle name="Comma 4 5 4 4" xfId="1825"/>
    <cellStyle name="Comma 4 5 5" xfId="1826"/>
    <cellStyle name="Comma 4 5 5 2" xfId="1827"/>
    <cellStyle name="Comma 4 5 5 2 2" xfId="1828"/>
    <cellStyle name="Comma 4 5 5 3" xfId="1829"/>
    <cellStyle name="Comma 4 5 5 4" xfId="1830"/>
    <cellStyle name="Comma 4 5 6" xfId="1831"/>
    <cellStyle name="Comma 4 5 6 2" xfId="1832"/>
    <cellStyle name="Comma 4 5 6 3" xfId="1833"/>
    <cellStyle name="Comma 4 5 7" xfId="1834"/>
    <cellStyle name="Comma 4 5 7 2" xfId="1835"/>
    <cellStyle name="Comma 4 5 8" xfId="1836"/>
    <cellStyle name="Comma 4 5 9" xfId="1837"/>
    <cellStyle name="Comma 4 6" xfId="1838"/>
    <cellStyle name="Comma 4 6 2" xfId="1839"/>
    <cellStyle name="Comma 4 6 2 2" xfId="1840"/>
    <cellStyle name="Comma 4 6 3" xfId="1841"/>
    <cellStyle name="Comma 4 6 4" xfId="1842"/>
    <cellStyle name="Comma 4 7" xfId="1843"/>
    <cellStyle name="Comma 4 7 2" xfId="1844"/>
    <cellStyle name="Comma 4 7 2 2" xfId="1845"/>
    <cellStyle name="Comma 4 7 3" xfId="1846"/>
    <cellStyle name="Comma 4 7 4" xfId="1847"/>
    <cellStyle name="Comma 4 8" xfId="1848"/>
    <cellStyle name="Comma 4 8 2" xfId="1849"/>
    <cellStyle name="Comma 4 8 2 2" xfId="1850"/>
    <cellStyle name="Comma 4 8 3" xfId="1851"/>
    <cellStyle name="Comma 4 8 4" xfId="1852"/>
    <cellStyle name="Comma 4 9" xfId="1853"/>
    <cellStyle name="Comma 4 9 2" xfId="1854"/>
    <cellStyle name="Comma 4 9 2 2" xfId="1855"/>
    <cellStyle name="Comma 4 9 3" xfId="1856"/>
    <cellStyle name="Comma 4 9 4" xfId="1857"/>
    <cellStyle name="Comma 5" xfId="109"/>
    <cellStyle name="Comma 5 10" xfId="1859"/>
    <cellStyle name="Comma 5 10 2" xfId="1860"/>
    <cellStyle name="Comma 5 10 3" xfId="1861"/>
    <cellStyle name="Comma 5 11" xfId="1862"/>
    <cellStyle name="Comma 5 11 2" xfId="1863"/>
    <cellStyle name="Comma 5 12" xfId="1864"/>
    <cellStyle name="Comma 5 13" xfId="1865"/>
    <cellStyle name="Comma 5 14" xfId="2685"/>
    <cellStyle name="Comma 5 15" xfId="1858"/>
    <cellStyle name="Comma 5 2" xfId="1866"/>
    <cellStyle name="Comma 5 2 10" xfId="1867"/>
    <cellStyle name="Comma 5 2 2" xfId="1868"/>
    <cellStyle name="Comma 5 2 2 2" xfId="1869"/>
    <cellStyle name="Comma 5 2 2 2 2" xfId="1870"/>
    <cellStyle name="Comma 5 2 2 2 2 2" xfId="1871"/>
    <cellStyle name="Comma 5 2 2 2 3" xfId="1872"/>
    <cellStyle name="Comma 5 2 2 2 4" xfId="1873"/>
    <cellStyle name="Comma 5 2 2 3" xfId="1874"/>
    <cellStyle name="Comma 5 2 2 3 2" xfId="1875"/>
    <cellStyle name="Comma 5 2 2 3 2 2" xfId="1876"/>
    <cellStyle name="Comma 5 2 2 3 3" xfId="1877"/>
    <cellStyle name="Comma 5 2 2 3 4" xfId="1878"/>
    <cellStyle name="Comma 5 2 2 4" xfId="1879"/>
    <cellStyle name="Comma 5 2 2 4 2" xfId="1880"/>
    <cellStyle name="Comma 5 2 2 4 2 2" xfId="1881"/>
    <cellStyle name="Comma 5 2 2 4 3" xfId="1882"/>
    <cellStyle name="Comma 5 2 2 4 4" xfId="1883"/>
    <cellStyle name="Comma 5 2 2 5" xfId="1884"/>
    <cellStyle name="Comma 5 2 2 5 2" xfId="1885"/>
    <cellStyle name="Comma 5 2 2 5 2 2" xfId="1886"/>
    <cellStyle name="Comma 5 2 2 5 3" xfId="1887"/>
    <cellStyle name="Comma 5 2 2 5 4" xfId="1888"/>
    <cellStyle name="Comma 5 2 2 6" xfId="1889"/>
    <cellStyle name="Comma 5 2 2 6 2" xfId="1890"/>
    <cellStyle name="Comma 5 2 2 6 3" xfId="1891"/>
    <cellStyle name="Comma 5 2 2 7" xfId="1892"/>
    <cellStyle name="Comma 5 2 2 7 2" xfId="1893"/>
    <cellStyle name="Comma 5 2 2 8" xfId="1894"/>
    <cellStyle name="Comma 5 2 2 9" xfId="1895"/>
    <cellStyle name="Comma 5 2 3" xfId="1896"/>
    <cellStyle name="Comma 5 2 3 2" xfId="1897"/>
    <cellStyle name="Comma 5 2 3 2 2" xfId="1898"/>
    <cellStyle name="Comma 5 2 3 3" xfId="1899"/>
    <cellStyle name="Comma 5 2 3 4" xfId="1900"/>
    <cellStyle name="Comma 5 2 4" xfId="1901"/>
    <cellStyle name="Comma 5 2 4 2" xfId="1902"/>
    <cellStyle name="Comma 5 2 4 2 2" xfId="1903"/>
    <cellStyle name="Comma 5 2 4 3" xfId="1904"/>
    <cellStyle name="Comma 5 2 4 4" xfId="1905"/>
    <cellStyle name="Comma 5 2 5" xfId="1906"/>
    <cellStyle name="Comma 5 2 5 2" xfId="1907"/>
    <cellStyle name="Comma 5 2 5 2 2" xfId="1908"/>
    <cellStyle name="Comma 5 2 5 3" xfId="1909"/>
    <cellStyle name="Comma 5 2 5 4" xfId="1910"/>
    <cellStyle name="Comma 5 2 6" xfId="1911"/>
    <cellStyle name="Comma 5 2 6 2" xfId="1912"/>
    <cellStyle name="Comma 5 2 6 2 2" xfId="1913"/>
    <cellStyle name="Comma 5 2 6 3" xfId="1914"/>
    <cellStyle name="Comma 5 2 6 4" xfId="1915"/>
    <cellStyle name="Comma 5 2 7" xfId="1916"/>
    <cellStyle name="Comma 5 2 7 2" xfId="1917"/>
    <cellStyle name="Comma 5 2 7 3" xfId="1918"/>
    <cellStyle name="Comma 5 2 8" xfId="1919"/>
    <cellStyle name="Comma 5 2 8 2" xfId="1920"/>
    <cellStyle name="Comma 5 2 9" xfId="1921"/>
    <cellStyle name="Comma 5 3" xfId="1922"/>
    <cellStyle name="Comma 5 3 10" xfId="1923"/>
    <cellStyle name="Comma 5 3 2" xfId="1924"/>
    <cellStyle name="Comma 5 3 2 2" xfId="1925"/>
    <cellStyle name="Comma 5 3 2 2 2" xfId="1926"/>
    <cellStyle name="Comma 5 3 2 2 2 2" xfId="1927"/>
    <cellStyle name="Comma 5 3 2 2 3" xfId="1928"/>
    <cellStyle name="Comma 5 3 2 2 4" xfId="1929"/>
    <cellStyle name="Comma 5 3 2 3" xfId="1930"/>
    <cellStyle name="Comma 5 3 2 3 2" xfId="1931"/>
    <cellStyle name="Comma 5 3 2 3 2 2" xfId="1932"/>
    <cellStyle name="Comma 5 3 2 3 3" xfId="1933"/>
    <cellStyle name="Comma 5 3 2 3 4" xfId="1934"/>
    <cellStyle name="Comma 5 3 2 4" xfId="1935"/>
    <cellStyle name="Comma 5 3 2 4 2" xfId="1936"/>
    <cellStyle name="Comma 5 3 2 4 2 2" xfId="1937"/>
    <cellStyle name="Comma 5 3 2 4 3" xfId="1938"/>
    <cellStyle name="Comma 5 3 2 4 4" xfId="1939"/>
    <cellStyle name="Comma 5 3 2 5" xfId="1940"/>
    <cellStyle name="Comma 5 3 2 5 2" xfId="1941"/>
    <cellStyle name="Comma 5 3 2 5 2 2" xfId="1942"/>
    <cellStyle name="Comma 5 3 2 5 3" xfId="1943"/>
    <cellStyle name="Comma 5 3 2 5 4" xfId="1944"/>
    <cellStyle name="Comma 5 3 2 6" xfId="1945"/>
    <cellStyle name="Comma 5 3 2 6 2" xfId="1946"/>
    <cellStyle name="Comma 5 3 2 6 3" xfId="1947"/>
    <cellStyle name="Comma 5 3 2 7" xfId="1948"/>
    <cellStyle name="Comma 5 3 2 7 2" xfId="1949"/>
    <cellStyle name="Comma 5 3 2 8" xfId="1950"/>
    <cellStyle name="Comma 5 3 2 9" xfId="1951"/>
    <cellStyle name="Comma 5 3 3" xfId="1952"/>
    <cellStyle name="Comma 5 3 3 2" xfId="1953"/>
    <cellStyle name="Comma 5 3 3 2 2" xfId="1954"/>
    <cellStyle name="Comma 5 3 3 3" xfId="1955"/>
    <cellStyle name="Comma 5 3 3 4" xfId="1956"/>
    <cellStyle name="Comma 5 3 4" xfId="1957"/>
    <cellStyle name="Comma 5 3 4 2" xfId="1958"/>
    <cellStyle name="Comma 5 3 4 2 2" xfId="1959"/>
    <cellStyle name="Comma 5 3 4 3" xfId="1960"/>
    <cellStyle name="Comma 5 3 4 4" xfId="1961"/>
    <cellStyle name="Comma 5 3 5" xfId="1962"/>
    <cellStyle name="Comma 5 3 5 2" xfId="1963"/>
    <cellStyle name="Comma 5 3 5 2 2" xfId="1964"/>
    <cellStyle name="Comma 5 3 5 3" xfId="1965"/>
    <cellStyle name="Comma 5 3 5 4" xfId="1966"/>
    <cellStyle name="Comma 5 3 6" xfId="1967"/>
    <cellStyle name="Comma 5 3 6 2" xfId="1968"/>
    <cellStyle name="Comma 5 3 6 2 2" xfId="1969"/>
    <cellStyle name="Comma 5 3 6 3" xfId="1970"/>
    <cellStyle name="Comma 5 3 6 4" xfId="1971"/>
    <cellStyle name="Comma 5 3 7" xfId="1972"/>
    <cellStyle name="Comma 5 3 7 2" xfId="1973"/>
    <cellStyle name="Comma 5 3 7 3" xfId="1974"/>
    <cellStyle name="Comma 5 3 8" xfId="1975"/>
    <cellStyle name="Comma 5 3 8 2" xfId="1976"/>
    <cellStyle name="Comma 5 3 9" xfId="1977"/>
    <cellStyle name="Comma 5 4" xfId="1978"/>
    <cellStyle name="Comma 5 4 10" xfId="1979"/>
    <cellStyle name="Comma 5 4 2" xfId="1980"/>
    <cellStyle name="Comma 5 4 2 2" xfId="1981"/>
    <cellStyle name="Comma 5 4 2 2 2" xfId="1982"/>
    <cellStyle name="Comma 5 4 2 2 2 2" xfId="1983"/>
    <cellStyle name="Comma 5 4 2 2 3" xfId="1984"/>
    <cellStyle name="Comma 5 4 2 2 4" xfId="1985"/>
    <cellStyle name="Comma 5 4 2 3" xfId="1986"/>
    <cellStyle name="Comma 5 4 2 3 2" xfId="1987"/>
    <cellStyle name="Comma 5 4 2 3 2 2" xfId="1988"/>
    <cellStyle name="Comma 5 4 2 3 3" xfId="1989"/>
    <cellStyle name="Comma 5 4 2 3 4" xfId="1990"/>
    <cellStyle name="Comma 5 4 2 4" xfId="1991"/>
    <cellStyle name="Comma 5 4 2 4 2" xfId="1992"/>
    <cellStyle name="Comma 5 4 2 4 2 2" xfId="1993"/>
    <cellStyle name="Comma 5 4 2 4 3" xfId="1994"/>
    <cellStyle name="Comma 5 4 2 4 4" xfId="1995"/>
    <cellStyle name="Comma 5 4 2 5" xfId="1996"/>
    <cellStyle name="Comma 5 4 2 5 2" xfId="1997"/>
    <cellStyle name="Comma 5 4 2 5 2 2" xfId="1998"/>
    <cellStyle name="Comma 5 4 2 5 3" xfId="1999"/>
    <cellStyle name="Comma 5 4 2 5 4" xfId="2000"/>
    <cellStyle name="Comma 5 4 2 6" xfId="2001"/>
    <cellStyle name="Comma 5 4 2 6 2" xfId="2002"/>
    <cellStyle name="Comma 5 4 2 6 3" xfId="2003"/>
    <cellStyle name="Comma 5 4 2 7" xfId="2004"/>
    <cellStyle name="Comma 5 4 2 7 2" xfId="2005"/>
    <cellStyle name="Comma 5 4 2 8" xfId="2006"/>
    <cellStyle name="Comma 5 4 2 9" xfId="2007"/>
    <cellStyle name="Comma 5 4 3" xfId="2008"/>
    <cellStyle name="Comma 5 4 3 2" xfId="2009"/>
    <cellStyle name="Comma 5 4 3 2 2" xfId="2010"/>
    <cellStyle name="Comma 5 4 3 3" xfId="2011"/>
    <cellStyle name="Comma 5 4 3 4" xfId="2012"/>
    <cellStyle name="Comma 5 4 4" xfId="2013"/>
    <cellStyle name="Comma 5 4 4 2" xfId="2014"/>
    <cellStyle name="Comma 5 4 4 2 2" xfId="2015"/>
    <cellStyle name="Comma 5 4 4 3" xfId="2016"/>
    <cellStyle name="Comma 5 4 4 4" xfId="2017"/>
    <cellStyle name="Comma 5 4 5" xfId="2018"/>
    <cellStyle name="Comma 5 4 5 2" xfId="2019"/>
    <cellStyle name="Comma 5 4 5 2 2" xfId="2020"/>
    <cellStyle name="Comma 5 4 5 3" xfId="2021"/>
    <cellStyle name="Comma 5 4 5 4" xfId="2022"/>
    <cellStyle name="Comma 5 4 6" xfId="2023"/>
    <cellStyle name="Comma 5 4 6 2" xfId="2024"/>
    <cellStyle name="Comma 5 4 6 2 2" xfId="2025"/>
    <cellStyle name="Comma 5 4 6 3" xfId="2026"/>
    <cellStyle name="Comma 5 4 6 4" xfId="2027"/>
    <cellStyle name="Comma 5 4 7" xfId="2028"/>
    <cellStyle name="Comma 5 4 7 2" xfId="2029"/>
    <cellStyle name="Comma 5 4 7 3" xfId="2030"/>
    <cellStyle name="Comma 5 4 8" xfId="2031"/>
    <cellStyle name="Comma 5 4 8 2" xfId="2032"/>
    <cellStyle name="Comma 5 4 9" xfId="2033"/>
    <cellStyle name="Comma 5 5" xfId="2034"/>
    <cellStyle name="Comma 5 5 2" xfId="2035"/>
    <cellStyle name="Comma 5 5 2 2" xfId="2036"/>
    <cellStyle name="Comma 5 5 2 2 2" xfId="2037"/>
    <cellStyle name="Comma 5 5 2 3" xfId="2038"/>
    <cellStyle name="Comma 5 5 2 4" xfId="2039"/>
    <cellStyle name="Comma 5 5 3" xfId="2040"/>
    <cellStyle name="Comma 5 5 3 2" xfId="2041"/>
    <cellStyle name="Comma 5 5 3 2 2" xfId="2042"/>
    <cellStyle name="Comma 5 5 3 3" xfId="2043"/>
    <cellStyle name="Comma 5 5 3 4" xfId="2044"/>
    <cellStyle name="Comma 5 5 4" xfId="2045"/>
    <cellStyle name="Comma 5 5 4 2" xfId="2046"/>
    <cellStyle name="Comma 5 5 4 2 2" xfId="2047"/>
    <cellStyle name="Comma 5 5 4 3" xfId="2048"/>
    <cellStyle name="Comma 5 5 4 4" xfId="2049"/>
    <cellStyle name="Comma 5 5 5" xfId="2050"/>
    <cellStyle name="Comma 5 5 5 2" xfId="2051"/>
    <cellStyle name="Comma 5 5 5 2 2" xfId="2052"/>
    <cellStyle name="Comma 5 5 5 3" xfId="2053"/>
    <cellStyle name="Comma 5 5 5 4" xfId="2054"/>
    <cellStyle name="Comma 5 5 6" xfId="2055"/>
    <cellStyle name="Comma 5 5 6 2" xfId="2056"/>
    <cellStyle name="Comma 5 5 6 3" xfId="2057"/>
    <cellStyle name="Comma 5 5 7" xfId="2058"/>
    <cellStyle name="Comma 5 5 7 2" xfId="2059"/>
    <cellStyle name="Comma 5 5 8" xfId="2060"/>
    <cellStyle name="Comma 5 5 9" xfId="2061"/>
    <cellStyle name="Comma 5 6" xfId="2062"/>
    <cellStyle name="Comma 5 6 2" xfId="2063"/>
    <cellStyle name="Comma 5 6 2 2" xfId="2064"/>
    <cellStyle name="Comma 5 6 3" xfId="2065"/>
    <cellStyle name="Comma 5 6 4" xfId="2066"/>
    <cellStyle name="Comma 5 7" xfId="2067"/>
    <cellStyle name="Comma 5 7 2" xfId="2068"/>
    <cellStyle name="Comma 5 7 2 2" xfId="2069"/>
    <cellStyle name="Comma 5 7 3" xfId="2070"/>
    <cellStyle name="Comma 5 7 4" xfId="2071"/>
    <cellStyle name="Comma 5 8" xfId="2072"/>
    <cellStyle name="Comma 5 8 2" xfId="2073"/>
    <cellStyle name="Comma 5 8 2 2" xfId="2074"/>
    <cellStyle name="Comma 5 8 3" xfId="2075"/>
    <cellStyle name="Comma 5 8 4" xfId="2076"/>
    <cellStyle name="Comma 5 9" xfId="2077"/>
    <cellStyle name="Comma 5 9 2" xfId="2078"/>
    <cellStyle name="Comma 5 9 2 2" xfId="2079"/>
    <cellStyle name="Comma 5 9 3" xfId="2080"/>
    <cellStyle name="Comma 5 9 4" xfId="2081"/>
    <cellStyle name="Comma 6" xfId="2082"/>
    <cellStyle name="Comma 6 10" xfId="2083"/>
    <cellStyle name="Comma 6 10 2" xfId="2084"/>
    <cellStyle name="Comma 6 10 3" xfId="2085"/>
    <cellStyle name="Comma 6 11" xfId="2086"/>
    <cellStyle name="Comma 6 11 2" xfId="2087"/>
    <cellStyle name="Comma 6 12" xfId="2088"/>
    <cellStyle name="Comma 6 13" xfId="2089"/>
    <cellStyle name="Comma 6 2" xfId="2090"/>
    <cellStyle name="Comma 6 2 10" xfId="2091"/>
    <cellStyle name="Comma 6 2 2" xfId="2092"/>
    <cellStyle name="Comma 6 2 2 2" xfId="2093"/>
    <cellStyle name="Comma 6 2 2 2 2" xfId="2094"/>
    <cellStyle name="Comma 6 2 2 2 2 2" xfId="2095"/>
    <cellStyle name="Comma 6 2 2 2 3" xfId="2096"/>
    <cellStyle name="Comma 6 2 2 2 4" xfId="2097"/>
    <cellStyle name="Comma 6 2 2 3" xfId="2098"/>
    <cellStyle name="Comma 6 2 2 3 2" xfId="2099"/>
    <cellStyle name="Comma 6 2 2 3 2 2" xfId="2100"/>
    <cellStyle name="Comma 6 2 2 3 3" xfId="2101"/>
    <cellStyle name="Comma 6 2 2 3 4" xfId="2102"/>
    <cellStyle name="Comma 6 2 2 4" xfId="2103"/>
    <cellStyle name="Comma 6 2 2 4 2" xfId="2104"/>
    <cellStyle name="Comma 6 2 2 4 2 2" xfId="2105"/>
    <cellStyle name="Comma 6 2 2 4 3" xfId="2106"/>
    <cellStyle name="Comma 6 2 2 4 4" xfId="2107"/>
    <cellStyle name="Comma 6 2 2 5" xfId="2108"/>
    <cellStyle name="Comma 6 2 2 5 2" xfId="2109"/>
    <cellStyle name="Comma 6 2 2 5 2 2" xfId="2110"/>
    <cellStyle name="Comma 6 2 2 5 3" xfId="2111"/>
    <cellStyle name="Comma 6 2 2 5 4" xfId="2112"/>
    <cellStyle name="Comma 6 2 2 6" xfId="2113"/>
    <cellStyle name="Comma 6 2 2 6 2" xfId="2114"/>
    <cellStyle name="Comma 6 2 2 6 3" xfId="2115"/>
    <cellStyle name="Comma 6 2 2 7" xfId="2116"/>
    <cellStyle name="Comma 6 2 2 7 2" xfId="2117"/>
    <cellStyle name="Comma 6 2 2 8" xfId="2118"/>
    <cellStyle name="Comma 6 2 2 9" xfId="2119"/>
    <cellStyle name="Comma 6 2 3" xfId="2120"/>
    <cellStyle name="Comma 6 2 3 2" xfId="2121"/>
    <cellStyle name="Comma 6 2 3 2 2" xfId="2122"/>
    <cellStyle name="Comma 6 2 3 3" xfId="2123"/>
    <cellStyle name="Comma 6 2 3 4" xfId="2124"/>
    <cellStyle name="Comma 6 2 4" xfId="2125"/>
    <cellStyle name="Comma 6 2 4 2" xfId="2126"/>
    <cellStyle name="Comma 6 2 4 2 2" xfId="2127"/>
    <cellStyle name="Comma 6 2 4 3" xfId="2128"/>
    <cellStyle name="Comma 6 2 4 4" xfId="2129"/>
    <cellStyle name="Comma 6 2 5" xfId="2130"/>
    <cellStyle name="Comma 6 2 5 2" xfId="2131"/>
    <cellStyle name="Comma 6 2 5 2 2" xfId="2132"/>
    <cellStyle name="Comma 6 2 5 3" xfId="2133"/>
    <cellStyle name="Comma 6 2 5 4" xfId="2134"/>
    <cellStyle name="Comma 6 2 6" xfId="2135"/>
    <cellStyle name="Comma 6 2 6 2" xfId="2136"/>
    <cellStyle name="Comma 6 2 6 2 2" xfId="2137"/>
    <cellStyle name="Comma 6 2 6 3" xfId="2138"/>
    <cellStyle name="Comma 6 2 6 4" xfId="2139"/>
    <cellStyle name="Comma 6 2 7" xfId="2140"/>
    <cellStyle name="Comma 6 2 7 2" xfId="2141"/>
    <cellStyle name="Comma 6 2 7 3" xfId="2142"/>
    <cellStyle name="Comma 6 2 8" xfId="2143"/>
    <cellStyle name="Comma 6 2 8 2" xfId="2144"/>
    <cellStyle name="Comma 6 2 9" xfId="2145"/>
    <cellStyle name="Comma 6 3" xfId="2146"/>
    <cellStyle name="Comma 6 3 10" xfId="2147"/>
    <cellStyle name="Comma 6 3 2" xfId="2148"/>
    <cellStyle name="Comma 6 3 2 2" xfId="2149"/>
    <cellStyle name="Comma 6 3 2 2 2" xfId="2150"/>
    <cellStyle name="Comma 6 3 2 2 2 2" xfId="2151"/>
    <cellStyle name="Comma 6 3 2 2 3" xfId="2152"/>
    <cellStyle name="Comma 6 3 2 2 4" xfId="2153"/>
    <cellStyle name="Comma 6 3 2 3" xfId="2154"/>
    <cellStyle name="Comma 6 3 2 3 2" xfId="2155"/>
    <cellStyle name="Comma 6 3 2 3 2 2" xfId="2156"/>
    <cellStyle name="Comma 6 3 2 3 3" xfId="2157"/>
    <cellStyle name="Comma 6 3 2 3 4" xfId="2158"/>
    <cellStyle name="Comma 6 3 2 4" xfId="2159"/>
    <cellStyle name="Comma 6 3 2 4 2" xfId="2160"/>
    <cellStyle name="Comma 6 3 2 4 2 2" xfId="2161"/>
    <cellStyle name="Comma 6 3 2 4 3" xfId="2162"/>
    <cellStyle name="Comma 6 3 2 4 4" xfId="2163"/>
    <cellStyle name="Comma 6 3 2 5" xfId="2164"/>
    <cellStyle name="Comma 6 3 2 5 2" xfId="2165"/>
    <cellStyle name="Comma 6 3 2 5 2 2" xfId="2166"/>
    <cellStyle name="Comma 6 3 2 5 3" xfId="2167"/>
    <cellStyle name="Comma 6 3 2 5 4" xfId="2168"/>
    <cellStyle name="Comma 6 3 2 6" xfId="2169"/>
    <cellStyle name="Comma 6 3 2 6 2" xfId="2170"/>
    <cellStyle name="Comma 6 3 2 6 3" xfId="2171"/>
    <cellStyle name="Comma 6 3 2 7" xfId="2172"/>
    <cellStyle name="Comma 6 3 2 7 2" xfId="2173"/>
    <cellStyle name="Comma 6 3 2 8" xfId="2174"/>
    <cellStyle name="Comma 6 3 2 9" xfId="2175"/>
    <cellStyle name="Comma 6 3 3" xfId="2176"/>
    <cellStyle name="Comma 6 3 3 2" xfId="2177"/>
    <cellStyle name="Comma 6 3 3 2 2" xfId="2178"/>
    <cellStyle name="Comma 6 3 3 3" xfId="2179"/>
    <cellStyle name="Comma 6 3 3 4" xfId="2180"/>
    <cellStyle name="Comma 6 3 4" xfId="2181"/>
    <cellStyle name="Comma 6 3 4 2" xfId="2182"/>
    <cellStyle name="Comma 6 3 4 2 2" xfId="2183"/>
    <cellStyle name="Comma 6 3 4 3" xfId="2184"/>
    <cellStyle name="Comma 6 3 4 4" xfId="2185"/>
    <cellStyle name="Comma 6 3 5" xfId="2186"/>
    <cellStyle name="Comma 6 3 5 2" xfId="2187"/>
    <cellStyle name="Comma 6 3 5 2 2" xfId="2188"/>
    <cellStyle name="Comma 6 3 5 3" xfId="2189"/>
    <cellStyle name="Comma 6 3 5 4" xfId="2190"/>
    <cellStyle name="Comma 6 3 6" xfId="2191"/>
    <cellStyle name="Comma 6 3 6 2" xfId="2192"/>
    <cellStyle name="Comma 6 3 6 2 2" xfId="2193"/>
    <cellStyle name="Comma 6 3 6 3" xfId="2194"/>
    <cellStyle name="Comma 6 3 6 4" xfId="2195"/>
    <cellStyle name="Comma 6 3 7" xfId="2196"/>
    <cellStyle name="Comma 6 3 7 2" xfId="2197"/>
    <cellStyle name="Comma 6 3 7 3" xfId="2198"/>
    <cellStyle name="Comma 6 3 8" xfId="2199"/>
    <cellStyle name="Comma 6 3 8 2" xfId="2200"/>
    <cellStyle name="Comma 6 3 9" xfId="2201"/>
    <cellStyle name="Comma 6 4" xfId="2202"/>
    <cellStyle name="Comma 6 4 10" xfId="2203"/>
    <cellStyle name="Comma 6 4 2" xfId="2204"/>
    <cellStyle name="Comma 6 4 2 2" xfId="2205"/>
    <cellStyle name="Comma 6 4 2 2 2" xfId="2206"/>
    <cellStyle name="Comma 6 4 2 2 2 2" xfId="2207"/>
    <cellStyle name="Comma 6 4 2 2 3" xfId="2208"/>
    <cellStyle name="Comma 6 4 2 2 4" xfId="2209"/>
    <cellStyle name="Comma 6 4 2 3" xfId="2210"/>
    <cellStyle name="Comma 6 4 2 3 2" xfId="2211"/>
    <cellStyle name="Comma 6 4 2 3 2 2" xfId="2212"/>
    <cellStyle name="Comma 6 4 2 3 3" xfId="2213"/>
    <cellStyle name="Comma 6 4 2 3 4" xfId="2214"/>
    <cellStyle name="Comma 6 4 2 4" xfId="2215"/>
    <cellStyle name="Comma 6 4 2 4 2" xfId="2216"/>
    <cellStyle name="Comma 6 4 2 4 2 2" xfId="2217"/>
    <cellStyle name="Comma 6 4 2 4 3" xfId="2218"/>
    <cellStyle name="Comma 6 4 2 4 4" xfId="2219"/>
    <cellStyle name="Comma 6 4 2 5" xfId="2220"/>
    <cellStyle name="Comma 6 4 2 5 2" xfId="2221"/>
    <cellStyle name="Comma 6 4 2 5 2 2" xfId="2222"/>
    <cellStyle name="Comma 6 4 2 5 3" xfId="2223"/>
    <cellStyle name="Comma 6 4 2 5 4" xfId="2224"/>
    <cellStyle name="Comma 6 4 2 6" xfId="2225"/>
    <cellStyle name="Comma 6 4 2 6 2" xfId="2226"/>
    <cellStyle name="Comma 6 4 2 6 3" xfId="2227"/>
    <cellStyle name="Comma 6 4 2 7" xfId="2228"/>
    <cellStyle name="Comma 6 4 2 7 2" xfId="2229"/>
    <cellStyle name="Comma 6 4 2 8" xfId="2230"/>
    <cellStyle name="Comma 6 4 2 9" xfId="2231"/>
    <cellStyle name="Comma 6 4 3" xfId="2232"/>
    <cellStyle name="Comma 6 4 3 2" xfId="2233"/>
    <cellStyle name="Comma 6 4 3 2 2" xfId="2234"/>
    <cellStyle name="Comma 6 4 3 3" xfId="2235"/>
    <cellStyle name="Comma 6 4 3 4" xfId="2236"/>
    <cellStyle name="Comma 6 4 4" xfId="2237"/>
    <cellStyle name="Comma 6 4 4 2" xfId="2238"/>
    <cellStyle name="Comma 6 4 4 2 2" xfId="2239"/>
    <cellStyle name="Comma 6 4 4 3" xfId="2240"/>
    <cellStyle name="Comma 6 4 4 4" xfId="2241"/>
    <cellStyle name="Comma 6 4 5" xfId="2242"/>
    <cellStyle name="Comma 6 4 5 2" xfId="2243"/>
    <cellStyle name="Comma 6 4 5 2 2" xfId="2244"/>
    <cellStyle name="Comma 6 4 5 3" xfId="2245"/>
    <cellStyle name="Comma 6 4 5 4" xfId="2246"/>
    <cellStyle name="Comma 6 4 6" xfId="2247"/>
    <cellStyle name="Comma 6 4 6 2" xfId="2248"/>
    <cellStyle name="Comma 6 4 6 2 2" xfId="2249"/>
    <cellStyle name="Comma 6 4 6 3" xfId="2250"/>
    <cellStyle name="Comma 6 4 6 4" xfId="2251"/>
    <cellStyle name="Comma 6 4 7" xfId="2252"/>
    <cellStyle name="Comma 6 4 7 2" xfId="2253"/>
    <cellStyle name="Comma 6 4 7 3" xfId="2254"/>
    <cellStyle name="Comma 6 4 8" xfId="2255"/>
    <cellStyle name="Comma 6 4 8 2" xfId="2256"/>
    <cellStyle name="Comma 6 4 9" xfId="2257"/>
    <cellStyle name="Comma 6 5" xfId="2258"/>
    <cellStyle name="Comma 6 5 2" xfId="2259"/>
    <cellStyle name="Comma 6 5 2 2" xfId="2260"/>
    <cellStyle name="Comma 6 5 2 2 2" xfId="2261"/>
    <cellStyle name="Comma 6 5 2 3" xfId="2262"/>
    <cellStyle name="Comma 6 5 2 4" xfId="2263"/>
    <cellStyle name="Comma 6 5 3" xfId="2264"/>
    <cellStyle name="Comma 6 5 3 2" xfId="2265"/>
    <cellStyle name="Comma 6 5 3 2 2" xfId="2266"/>
    <cellStyle name="Comma 6 5 3 3" xfId="2267"/>
    <cellStyle name="Comma 6 5 3 4" xfId="2268"/>
    <cellStyle name="Comma 6 5 4" xfId="2269"/>
    <cellStyle name="Comma 6 5 4 2" xfId="2270"/>
    <cellStyle name="Comma 6 5 4 2 2" xfId="2271"/>
    <cellStyle name="Comma 6 5 4 3" xfId="2272"/>
    <cellStyle name="Comma 6 5 4 4" xfId="2273"/>
    <cellStyle name="Comma 6 5 5" xfId="2274"/>
    <cellStyle name="Comma 6 5 5 2" xfId="2275"/>
    <cellStyle name="Comma 6 5 5 2 2" xfId="2276"/>
    <cellStyle name="Comma 6 5 5 3" xfId="2277"/>
    <cellStyle name="Comma 6 5 5 4" xfId="2278"/>
    <cellStyle name="Comma 6 5 6" xfId="2279"/>
    <cellStyle name="Comma 6 5 6 2" xfId="2280"/>
    <cellStyle name="Comma 6 5 6 3" xfId="2281"/>
    <cellStyle name="Comma 6 5 7" xfId="2282"/>
    <cellStyle name="Comma 6 5 7 2" xfId="2283"/>
    <cellStyle name="Comma 6 5 8" xfId="2284"/>
    <cellStyle name="Comma 6 5 9" xfId="2285"/>
    <cellStyle name="Comma 6 6" xfId="2286"/>
    <cellStyle name="Comma 6 6 2" xfId="2287"/>
    <cellStyle name="Comma 6 6 2 2" xfId="2288"/>
    <cellStyle name="Comma 6 6 3" xfId="2289"/>
    <cellStyle name="Comma 6 6 4" xfId="2290"/>
    <cellStyle name="Comma 6 7" xfId="2291"/>
    <cellStyle name="Comma 6 7 2" xfId="2292"/>
    <cellStyle name="Comma 6 7 2 2" xfId="2293"/>
    <cellStyle name="Comma 6 7 3" xfId="2294"/>
    <cellStyle name="Comma 6 7 4" xfId="2295"/>
    <cellStyle name="Comma 6 8" xfId="2296"/>
    <cellStyle name="Comma 6 8 2" xfId="2297"/>
    <cellStyle name="Comma 6 8 2 2" xfId="2298"/>
    <cellStyle name="Comma 6 8 3" xfId="2299"/>
    <cellStyle name="Comma 6 8 4" xfId="2300"/>
    <cellStyle name="Comma 6 9" xfId="2301"/>
    <cellStyle name="Comma 6 9 2" xfId="2302"/>
    <cellStyle name="Comma 6 9 2 2" xfId="2303"/>
    <cellStyle name="Comma 6 9 3" xfId="2304"/>
    <cellStyle name="Comma 6 9 4" xfId="2305"/>
    <cellStyle name="Comma 7" xfId="2306"/>
    <cellStyle name="Comma 7 10" xfId="2307"/>
    <cellStyle name="Comma 7 10 2" xfId="2308"/>
    <cellStyle name="Comma 7 10 3" xfId="2309"/>
    <cellStyle name="Comma 7 11" xfId="2310"/>
    <cellStyle name="Comma 7 11 2" xfId="2311"/>
    <cellStyle name="Comma 7 12" xfId="2312"/>
    <cellStyle name="Comma 7 13" xfId="2313"/>
    <cellStyle name="Comma 7 2" xfId="2314"/>
    <cellStyle name="Comma 7 2 10" xfId="2315"/>
    <cellStyle name="Comma 7 2 2" xfId="2316"/>
    <cellStyle name="Comma 7 2 2 2" xfId="2317"/>
    <cellStyle name="Comma 7 2 2 2 2" xfId="2318"/>
    <cellStyle name="Comma 7 2 2 2 2 2" xfId="2319"/>
    <cellStyle name="Comma 7 2 2 2 3" xfId="2320"/>
    <cellStyle name="Comma 7 2 2 2 4" xfId="2321"/>
    <cellStyle name="Comma 7 2 2 3" xfId="2322"/>
    <cellStyle name="Comma 7 2 2 3 2" xfId="2323"/>
    <cellStyle name="Comma 7 2 2 3 2 2" xfId="2324"/>
    <cellStyle name="Comma 7 2 2 3 3" xfId="2325"/>
    <cellStyle name="Comma 7 2 2 3 4" xfId="2326"/>
    <cellStyle name="Comma 7 2 2 4" xfId="2327"/>
    <cellStyle name="Comma 7 2 2 4 2" xfId="2328"/>
    <cellStyle name="Comma 7 2 2 4 2 2" xfId="2329"/>
    <cellStyle name="Comma 7 2 2 4 3" xfId="2330"/>
    <cellStyle name="Comma 7 2 2 4 4" xfId="2331"/>
    <cellStyle name="Comma 7 2 2 5" xfId="2332"/>
    <cellStyle name="Comma 7 2 2 5 2" xfId="2333"/>
    <cellStyle name="Comma 7 2 2 5 2 2" xfId="2334"/>
    <cellStyle name="Comma 7 2 2 5 3" xfId="2335"/>
    <cellStyle name="Comma 7 2 2 5 4" xfId="2336"/>
    <cellStyle name="Comma 7 2 2 6" xfId="2337"/>
    <cellStyle name="Comma 7 2 2 6 2" xfId="2338"/>
    <cellStyle name="Comma 7 2 2 6 3" xfId="2339"/>
    <cellStyle name="Comma 7 2 2 7" xfId="2340"/>
    <cellStyle name="Comma 7 2 2 7 2" xfId="2341"/>
    <cellStyle name="Comma 7 2 2 8" xfId="2342"/>
    <cellStyle name="Comma 7 2 2 9" xfId="2343"/>
    <cellStyle name="Comma 7 2 3" xfId="2344"/>
    <cellStyle name="Comma 7 2 3 2" xfId="2345"/>
    <cellStyle name="Comma 7 2 3 2 2" xfId="2346"/>
    <cellStyle name="Comma 7 2 3 3" xfId="2347"/>
    <cellStyle name="Comma 7 2 3 4" xfId="2348"/>
    <cellStyle name="Comma 7 2 4" xfId="2349"/>
    <cellStyle name="Comma 7 2 4 2" xfId="2350"/>
    <cellStyle name="Comma 7 2 4 2 2" xfId="2351"/>
    <cellStyle name="Comma 7 2 4 3" xfId="2352"/>
    <cellStyle name="Comma 7 2 4 4" xfId="2353"/>
    <cellStyle name="Comma 7 2 5" xfId="2354"/>
    <cellStyle name="Comma 7 2 5 2" xfId="2355"/>
    <cellStyle name="Comma 7 2 5 2 2" xfId="2356"/>
    <cellStyle name="Comma 7 2 5 3" xfId="2357"/>
    <cellStyle name="Comma 7 2 5 4" xfId="2358"/>
    <cellStyle name="Comma 7 2 6" xfId="2359"/>
    <cellStyle name="Comma 7 2 6 2" xfId="2360"/>
    <cellStyle name="Comma 7 2 6 2 2" xfId="2361"/>
    <cellStyle name="Comma 7 2 6 3" xfId="2362"/>
    <cellStyle name="Comma 7 2 6 4" xfId="2363"/>
    <cellStyle name="Comma 7 2 7" xfId="2364"/>
    <cellStyle name="Comma 7 2 7 2" xfId="2365"/>
    <cellStyle name="Comma 7 2 7 3" xfId="2366"/>
    <cellStyle name="Comma 7 2 8" xfId="2367"/>
    <cellStyle name="Comma 7 2 8 2" xfId="2368"/>
    <cellStyle name="Comma 7 2 9" xfId="2369"/>
    <cellStyle name="Comma 7 3" xfId="2370"/>
    <cellStyle name="Comma 7 3 10" xfId="2371"/>
    <cellStyle name="Comma 7 3 2" xfId="2372"/>
    <cellStyle name="Comma 7 3 2 2" xfId="2373"/>
    <cellStyle name="Comma 7 3 2 2 2" xfId="2374"/>
    <cellStyle name="Comma 7 3 2 2 2 2" xfId="2375"/>
    <cellStyle name="Comma 7 3 2 2 3" xfId="2376"/>
    <cellStyle name="Comma 7 3 2 2 4" xfId="2377"/>
    <cellStyle name="Comma 7 3 2 3" xfId="2378"/>
    <cellStyle name="Comma 7 3 2 3 2" xfId="2379"/>
    <cellStyle name="Comma 7 3 2 3 2 2" xfId="2380"/>
    <cellStyle name="Comma 7 3 2 3 3" xfId="2381"/>
    <cellStyle name="Comma 7 3 2 3 4" xfId="2382"/>
    <cellStyle name="Comma 7 3 2 4" xfId="2383"/>
    <cellStyle name="Comma 7 3 2 4 2" xfId="2384"/>
    <cellStyle name="Comma 7 3 2 4 2 2" xfId="2385"/>
    <cellStyle name="Comma 7 3 2 4 3" xfId="2386"/>
    <cellStyle name="Comma 7 3 2 4 4" xfId="2387"/>
    <cellStyle name="Comma 7 3 2 5" xfId="2388"/>
    <cellStyle name="Comma 7 3 2 5 2" xfId="2389"/>
    <cellStyle name="Comma 7 3 2 5 2 2" xfId="2390"/>
    <cellStyle name="Comma 7 3 2 5 3" xfId="2391"/>
    <cellStyle name="Comma 7 3 2 5 4" xfId="2392"/>
    <cellStyle name="Comma 7 3 2 6" xfId="2393"/>
    <cellStyle name="Comma 7 3 2 6 2" xfId="2394"/>
    <cellStyle name="Comma 7 3 2 6 3" xfId="2395"/>
    <cellStyle name="Comma 7 3 2 7" xfId="2396"/>
    <cellStyle name="Comma 7 3 2 7 2" xfId="2397"/>
    <cellStyle name="Comma 7 3 2 8" xfId="2398"/>
    <cellStyle name="Comma 7 3 2 9" xfId="2399"/>
    <cellStyle name="Comma 7 3 3" xfId="2400"/>
    <cellStyle name="Comma 7 3 3 2" xfId="2401"/>
    <cellStyle name="Comma 7 3 3 2 2" xfId="2402"/>
    <cellStyle name="Comma 7 3 3 3" xfId="2403"/>
    <cellStyle name="Comma 7 3 3 4" xfId="2404"/>
    <cellStyle name="Comma 7 3 4" xfId="2405"/>
    <cellStyle name="Comma 7 3 4 2" xfId="2406"/>
    <cellStyle name="Comma 7 3 4 2 2" xfId="2407"/>
    <cellStyle name="Comma 7 3 4 3" xfId="2408"/>
    <cellStyle name="Comma 7 3 4 4" xfId="2409"/>
    <cellStyle name="Comma 7 3 5" xfId="2410"/>
    <cellStyle name="Comma 7 3 5 2" xfId="2411"/>
    <cellStyle name="Comma 7 3 5 2 2" xfId="2412"/>
    <cellStyle name="Comma 7 3 5 3" xfId="2413"/>
    <cellStyle name="Comma 7 3 5 4" xfId="2414"/>
    <cellStyle name="Comma 7 3 6" xfId="2415"/>
    <cellStyle name="Comma 7 3 6 2" xfId="2416"/>
    <cellStyle name="Comma 7 3 6 2 2" xfId="2417"/>
    <cellStyle name="Comma 7 3 6 3" xfId="2418"/>
    <cellStyle name="Comma 7 3 6 4" xfId="2419"/>
    <cellStyle name="Comma 7 3 7" xfId="2420"/>
    <cellStyle name="Comma 7 3 7 2" xfId="2421"/>
    <cellStyle name="Comma 7 3 7 3" xfId="2422"/>
    <cellStyle name="Comma 7 3 8" xfId="2423"/>
    <cellStyle name="Comma 7 3 8 2" xfId="2424"/>
    <cellStyle name="Comma 7 3 9" xfId="2425"/>
    <cellStyle name="Comma 7 4" xfId="2426"/>
    <cellStyle name="Comma 7 4 10" xfId="2427"/>
    <cellStyle name="Comma 7 4 2" xfId="2428"/>
    <cellStyle name="Comma 7 4 2 2" xfId="2429"/>
    <cellStyle name="Comma 7 4 2 2 2" xfId="2430"/>
    <cellStyle name="Comma 7 4 2 2 2 2" xfId="2431"/>
    <cellStyle name="Comma 7 4 2 2 3" xfId="2432"/>
    <cellStyle name="Comma 7 4 2 2 4" xfId="2433"/>
    <cellStyle name="Comma 7 4 2 3" xfId="2434"/>
    <cellStyle name="Comma 7 4 2 3 2" xfId="2435"/>
    <cellStyle name="Comma 7 4 2 3 2 2" xfId="2436"/>
    <cellStyle name="Comma 7 4 2 3 3" xfId="2437"/>
    <cellStyle name="Comma 7 4 2 3 4" xfId="2438"/>
    <cellStyle name="Comma 7 4 2 4" xfId="2439"/>
    <cellStyle name="Comma 7 4 2 4 2" xfId="2440"/>
    <cellStyle name="Comma 7 4 2 4 2 2" xfId="2441"/>
    <cellStyle name="Comma 7 4 2 4 3" xfId="2442"/>
    <cellStyle name="Comma 7 4 2 4 4" xfId="2443"/>
    <cellStyle name="Comma 7 4 2 5" xfId="2444"/>
    <cellStyle name="Comma 7 4 2 5 2" xfId="2445"/>
    <cellStyle name="Comma 7 4 2 5 2 2" xfId="2446"/>
    <cellStyle name="Comma 7 4 2 5 3" xfId="2447"/>
    <cellStyle name="Comma 7 4 2 5 4" xfId="2448"/>
    <cellStyle name="Comma 7 4 2 6" xfId="2449"/>
    <cellStyle name="Comma 7 4 2 6 2" xfId="2450"/>
    <cellStyle name="Comma 7 4 2 6 3" xfId="2451"/>
    <cellStyle name="Comma 7 4 2 7" xfId="2452"/>
    <cellStyle name="Comma 7 4 2 7 2" xfId="2453"/>
    <cellStyle name="Comma 7 4 2 8" xfId="2454"/>
    <cellStyle name="Comma 7 4 2 9" xfId="2455"/>
    <cellStyle name="Comma 7 4 3" xfId="2456"/>
    <cellStyle name="Comma 7 4 3 2" xfId="2457"/>
    <cellStyle name="Comma 7 4 3 2 2" xfId="2458"/>
    <cellStyle name="Comma 7 4 3 3" xfId="2459"/>
    <cellStyle name="Comma 7 4 3 4" xfId="2460"/>
    <cellStyle name="Comma 7 4 4" xfId="2461"/>
    <cellStyle name="Comma 7 4 4 2" xfId="2462"/>
    <cellStyle name="Comma 7 4 4 2 2" xfId="2463"/>
    <cellStyle name="Comma 7 4 4 3" xfId="2464"/>
    <cellStyle name="Comma 7 4 4 4" xfId="2465"/>
    <cellStyle name="Comma 7 4 5" xfId="2466"/>
    <cellStyle name="Comma 7 4 5 2" xfId="2467"/>
    <cellStyle name="Comma 7 4 5 2 2" xfId="2468"/>
    <cellStyle name="Comma 7 4 5 3" xfId="2469"/>
    <cellStyle name="Comma 7 4 5 4" xfId="2470"/>
    <cellStyle name="Comma 7 4 6" xfId="2471"/>
    <cellStyle name="Comma 7 4 6 2" xfId="2472"/>
    <cellStyle name="Comma 7 4 6 2 2" xfId="2473"/>
    <cellStyle name="Comma 7 4 6 3" xfId="2474"/>
    <cellStyle name="Comma 7 4 6 4" xfId="2475"/>
    <cellStyle name="Comma 7 4 7" xfId="2476"/>
    <cellStyle name="Comma 7 4 7 2" xfId="2477"/>
    <cellStyle name="Comma 7 4 7 3" xfId="2478"/>
    <cellStyle name="Comma 7 4 8" xfId="2479"/>
    <cellStyle name="Comma 7 4 8 2" xfId="2480"/>
    <cellStyle name="Comma 7 4 9" xfId="2481"/>
    <cellStyle name="Comma 7 5" xfId="2482"/>
    <cellStyle name="Comma 7 5 2" xfId="2483"/>
    <cellStyle name="Comma 7 5 2 2" xfId="2484"/>
    <cellStyle name="Comma 7 5 2 2 2" xfId="2485"/>
    <cellStyle name="Comma 7 5 2 3" xfId="2486"/>
    <cellStyle name="Comma 7 5 2 4" xfId="2487"/>
    <cellStyle name="Comma 7 5 3" xfId="2488"/>
    <cellStyle name="Comma 7 5 3 2" xfId="2489"/>
    <cellStyle name="Comma 7 5 3 2 2" xfId="2490"/>
    <cellStyle name="Comma 7 5 3 3" xfId="2491"/>
    <cellStyle name="Comma 7 5 3 4" xfId="2492"/>
    <cellStyle name="Comma 7 5 4" xfId="2493"/>
    <cellStyle name="Comma 7 5 4 2" xfId="2494"/>
    <cellStyle name="Comma 7 5 4 2 2" xfId="2495"/>
    <cellStyle name="Comma 7 5 4 3" xfId="2496"/>
    <cellStyle name="Comma 7 5 4 4" xfId="2497"/>
    <cellStyle name="Comma 7 5 5" xfId="2498"/>
    <cellStyle name="Comma 7 5 5 2" xfId="2499"/>
    <cellStyle name="Comma 7 5 5 2 2" xfId="2500"/>
    <cellStyle name="Comma 7 5 5 3" xfId="2501"/>
    <cellStyle name="Comma 7 5 5 4" xfId="2502"/>
    <cellStyle name="Comma 7 5 6" xfId="2503"/>
    <cellStyle name="Comma 7 5 6 2" xfId="2504"/>
    <cellStyle name="Comma 7 5 6 3" xfId="2505"/>
    <cellStyle name="Comma 7 5 7" xfId="2506"/>
    <cellStyle name="Comma 7 5 7 2" xfId="2507"/>
    <cellStyle name="Comma 7 5 8" xfId="2508"/>
    <cellStyle name="Comma 7 5 9" xfId="2509"/>
    <cellStyle name="Comma 7 6" xfId="2510"/>
    <cellStyle name="Comma 7 6 2" xfId="2511"/>
    <cellStyle name="Comma 7 6 2 2" xfId="2512"/>
    <cellStyle name="Comma 7 6 3" xfId="2513"/>
    <cellStyle name="Comma 7 6 4" xfId="2514"/>
    <cellStyle name="Comma 7 7" xfId="2515"/>
    <cellStyle name="Comma 7 7 2" xfId="2516"/>
    <cellStyle name="Comma 7 7 2 2" xfId="2517"/>
    <cellStyle name="Comma 7 7 3" xfId="2518"/>
    <cellStyle name="Comma 7 7 4" xfId="2519"/>
    <cellStyle name="Comma 7 8" xfId="2520"/>
    <cellStyle name="Comma 7 8 2" xfId="2521"/>
    <cellStyle name="Comma 7 8 2 2" xfId="2522"/>
    <cellStyle name="Comma 7 8 3" xfId="2523"/>
    <cellStyle name="Comma 7 8 4" xfId="2524"/>
    <cellStyle name="Comma 7 9" xfId="2525"/>
    <cellStyle name="Comma 7 9 2" xfId="2526"/>
    <cellStyle name="Comma 7 9 2 2" xfId="2527"/>
    <cellStyle name="Comma 7 9 3" xfId="2528"/>
    <cellStyle name="Comma 7 9 4" xfId="2529"/>
    <cellStyle name="Comma 8" xfId="2530"/>
    <cellStyle name="Comma 9" xfId="2562"/>
    <cellStyle name="DateLong" xfId="43"/>
    <cellStyle name="DateShort" xfId="44"/>
    <cellStyle name="Descriptor text" xfId="47"/>
    <cellStyle name="Factor" xfId="32"/>
    <cellStyle name="Good" xfId="2741" builtinId="26"/>
    <cellStyle name="headerStyle" xfId="2531"/>
    <cellStyle name="Heading" xfId="46"/>
    <cellStyle name="Hyperlink 2" xfId="2532"/>
    <cellStyle name="NJS" xfId="2533"/>
    <cellStyle name="Normal" xfId="0" builtinId="0"/>
    <cellStyle name="Normal 10" xfId="2577"/>
    <cellStyle name="Normal 10 2" xfId="14"/>
    <cellStyle name="Normal 11" xfId="2628"/>
    <cellStyle name="Normal 12" xfId="35"/>
    <cellStyle name="Normal 13" xfId="2565"/>
    <cellStyle name="Normal 14" xfId="2629"/>
    <cellStyle name="Normal 15" xfId="2626"/>
    <cellStyle name="Normal 16" xfId="2627"/>
    <cellStyle name="Normal 17" xfId="2568"/>
    <cellStyle name="Normal 18" xfId="2630"/>
    <cellStyle name="Normal 19" xfId="163"/>
    <cellStyle name="Normal 2" xfId="3"/>
    <cellStyle name="Normal 2 2" xfId="10"/>
    <cellStyle name="Normal 2 3" xfId="15"/>
    <cellStyle name="Normal 2 3 2" xfId="39"/>
    <cellStyle name="Normal 2 4" xfId="80"/>
    <cellStyle name="Normal 2 5" xfId="9"/>
    <cellStyle name="Normal 2 6" xfId="2739"/>
    <cellStyle name="Normal 20" xfId="4"/>
    <cellStyle name="Normal 21" xfId="2740"/>
    <cellStyle name="Normal 24" xfId="25"/>
    <cellStyle name="Normal 3" xfId="7"/>
    <cellStyle name="Normal 3 2" xfId="8"/>
    <cellStyle name="Normal 3 2 2" xfId="20"/>
    <cellStyle name="Normal 3 2 3" xfId="2534"/>
    <cellStyle name="Normal 3 3" xfId="34"/>
    <cellStyle name="Normal 3 3 2" xfId="22"/>
    <cellStyle name="Normal 3 4" xfId="17"/>
    <cellStyle name="Normal 3 7" xfId="13"/>
    <cellStyle name="Normal 3 7 2" xfId="2536"/>
    <cellStyle name="Normal 3 7 3" xfId="2537"/>
    <cellStyle name="Normal 3 7 4" xfId="2535"/>
    <cellStyle name="Normal 4" xfId="21"/>
    <cellStyle name="Normal 4 2" xfId="18"/>
    <cellStyle name="Normal 4 2 2" xfId="16"/>
    <cellStyle name="Normal 4 2 3" xfId="2566"/>
    <cellStyle name="Normal 4 3" xfId="2569"/>
    <cellStyle name="Normal 5" xfId="30"/>
    <cellStyle name="Normal 5 2" xfId="2539"/>
    <cellStyle name="Normal 5 3" xfId="2540"/>
    <cellStyle name="Normal 5 4" xfId="2541"/>
    <cellStyle name="Normal 5 5" xfId="33"/>
    <cellStyle name="Normal 5 6" xfId="2538"/>
    <cellStyle name="Normal 6" xfId="36"/>
    <cellStyle name="Normal 7" xfId="37"/>
    <cellStyle name="Normal 8" xfId="38"/>
    <cellStyle name="Normal 8 2" xfId="2573"/>
    <cellStyle name="Normal 8 3" xfId="164"/>
    <cellStyle name="Normal 9" xfId="2561"/>
    <cellStyle name="OfwatAmber" xfId="49"/>
    <cellStyle name="OfwatCalculation" xfId="50"/>
    <cellStyle name="OfwatCopy" xfId="51"/>
    <cellStyle name="OfwatDescTxt" xfId="52"/>
    <cellStyle name="OfwatEmphasis" xfId="53"/>
    <cellStyle name="OfwatGreen" xfId="54"/>
    <cellStyle name="OfwatHeaderTxt" xfId="55"/>
    <cellStyle name="OfwatInput" xfId="56"/>
    <cellStyle name="OfwatINVALID" xfId="57"/>
    <cellStyle name="OfwatNormal" xfId="58"/>
    <cellStyle name="OfwatRedPurple" xfId="59"/>
    <cellStyle name="Output Amounts" xfId="2542"/>
    <cellStyle name="Output Column Headings" xfId="2543"/>
    <cellStyle name="Output Line Items" xfId="2544"/>
    <cellStyle name="Output Report Heading" xfId="2545"/>
    <cellStyle name="Output Report Title" xfId="2546"/>
    <cellStyle name="Percent" xfId="2" builtinId="5"/>
    <cellStyle name="Percent 2" xfId="12"/>
    <cellStyle name="Percent 2 2" xfId="19"/>
    <cellStyle name="Percent 2 2 2" xfId="2549"/>
    <cellStyle name="Percent 2 2 3" xfId="2550"/>
    <cellStyle name="Percent 2 2 4" xfId="2551"/>
    <cellStyle name="Percent 2 2 5" xfId="2567"/>
    <cellStyle name="Percent 2 2 6" xfId="2548"/>
    <cellStyle name="Percent 2 3" xfId="26"/>
    <cellStyle name="Percent 2 3 2" xfId="2553"/>
    <cellStyle name="Percent 2 3 3" xfId="2554"/>
    <cellStyle name="Percent 2 3 4" xfId="2571"/>
    <cellStyle name="Percent 2 3 5" xfId="2552"/>
    <cellStyle name="Percent 2 4" xfId="81"/>
    <cellStyle name="Percent 2 4 2" xfId="2556"/>
    <cellStyle name="Percent 2 4 3" xfId="2557"/>
    <cellStyle name="Percent 2 4 4" xfId="2598"/>
    <cellStyle name="Percent 2 4 5" xfId="2555"/>
    <cellStyle name="Percent 2 5" xfId="2558"/>
    <cellStyle name="Percent 2 6" xfId="2559"/>
    <cellStyle name="Percent 2 7" xfId="2560"/>
    <cellStyle name="Percent 2 8" xfId="2547"/>
    <cellStyle name="Percent 3" xfId="28"/>
    <cellStyle name="Percent 4" xfId="2563"/>
    <cellStyle name="Percent 5" xfId="6"/>
    <cellStyle name="Validation error" xfId="48"/>
    <cellStyle name="Year" xfId="45"/>
  </cellStyles>
  <dxfs count="12">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C0C0C0"/>
      </font>
      <numFmt numFmtId="185" formatCode=";;;"/>
      <fill>
        <patternFill patternType="solid">
          <fgColor theme="2" tint="-0.14996795556505021"/>
          <bgColor rgb="FFC0C0C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63</xdr:row>
      <xdr:rowOff>0</xdr:rowOff>
    </xdr:from>
    <xdr:to>
      <xdr:col>17</xdr:col>
      <xdr:colOff>375439</xdr:colOff>
      <xdr:row>65</xdr:row>
      <xdr:rowOff>114300</xdr:rowOff>
    </xdr:to>
    <xdr:sp macro="" textlink="">
      <xdr:nvSpPr>
        <xdr:cNvPr id="3" name="TextBox 5"/>
        <xdr:cNvSpPr txBox="1"/>
      </xdr:nvSpPr>
      <xdr:spPr>
        <a:xfrm>
          <a:off x="133350" y="11830050"/>
          <a:ext cx="11510164" cy="47625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67</xdr:row>
      <xdr:rowOff>0</xdr:rowOff>
    </xdr:from>
    <xdr:to>
      <xdr:col>4</xdr:col>
      <xdr:colOff>203073</xdr:colOff>
      <xdr:row>68</xdr:row>
      <xdr:rowOff>93345</xdr:rowOff>
    </xdr:to>
    <xdr:sp macro="" textlink="">
      <xdr:nvSpPr>
        <xdr:cNvPr id="4" name="Rectangle 3"/>
        <xdr:cNvSpPr/>
      </xdr:nvSpPr>
      <xdr:spPr>
        <a:xfrm>
          <a:off x="133350" y="12553950"/>
          <a:ext cx="2670048" cy="27432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70</xdr:row>
      <xdr:rowOff>0</xdr:rowOff>
    </xdr:from>
    <xdr:to>
      <xdr:col>7</xdr:col>
      <xdr:colOff>301890</xdr:colOff>
      <xdr:row>78</xdr:row>
      <xdr:rowOff>142875</xdr:rowOff>
    </xdr:to>
    <xdr:sp macro="" textlink="">
      <xdr:nvSpPr>
        <xdr:cNvPr id="5" name="Content Placeholder 2"/>
        <xdr:cNvSpPr txBox="1">
          <a:spLocks/>
        </xdr:cNvSpPr>
      </xdr:nvSpPr>
      <xdr:spPr>
        <a:xfrm>
          <a:off x="133350" y="13096875"/>
          <a:ext cx="476911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twoCellAnchor editAs="oneCell">
    <xdr:from>
      <xdr:col>1</xdr:col>
      <xdr:colOff>0</xdr:colOff>
      <xdr:row>30</xdr:row>
      <xdr:rowOff>0</xdr:rowOff>
    </xdr:from>
    <xdr:to>
      <xdr:col>15</xdr:col>
      <xdr:colOff>95250</xdr:colOff>
      <xdr:row>60</xdr:row>
      <xdr:rowOff>137517</xdr:rowOff>
    </xdr:to>
    <xdr:pic>
      <xdr:nvPicPr>
        <xdr:cNvPr id="6" name="Picture 5"/>
        <xdr:cNvPicPr>
          <a:picLocks noChangeAspect="1"/>
        </xdr:cNvPicPr>
      </xdr:nvPicPr>
      <xdr:blipFill>
        <a:blip xmlns:r="http://schemas.openxmlformats.org/officeDocument/2006/relationships" r:embed="rId1"/>
        <a:stretch>
          <a:fillRect/>
        </a:stretch>
      </xdr:blipFill>
      <xdr:spPr>
        <a:xfrm>
          <a:off x="133350" y="5857875"/>
          <a:ext cx="9896475" cy="55667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4"/>
  <sheetViews>
    <sheetView showGridLines="0" tabSelected="1" zoomScale="80" zoomScaleNormal="80" workbookViewId="0"/>
  </sheetViews>
  <sheetFormatPr defaultColWidth="8.75" defaultRowHeight="15"/>
  <cols>
    <col min="1" max="1" width="1.75" style="87" customWidth="1"/>
    <col min="2" max="2" width="14.875" style="87" customWidth="1"/>
    <col min="3" max="16" width="8.75" style="87"/>
    <col min="17" max="17" width="13.75" style="87" customWidth="1"/>
    <col min="18" max="18" width="44.5" style="87" customWidth="1"/>
    <col min="19" max="19" width="17.375" style="87" customWidth="1"/>
    <col min="20" max="20" width="12" style="87" customWidth="1"/>
    <col min="21" max="16384" width="8.75" style="87"/>
  </cols>
  <sheetData>
    <row r="1" spans="1:20" ht="18.75">
      <c r="A1" s="99" t="s">
        <v>137</v>
      </c>
    </row>
    <row r="2" spans="1:20" s="100" customFormat="1">
      <c r="A2" s="186" t="s">
        <v>286</v>
      </c>
    </row>
    <row r="3" spans="1:20" s="89" customFormat="1">
      <c r="A3" s="101"/>
    </row>
    <row r="4" spans="1:20">
      <c r="B4" s="209" t="s">
        <v>283</v>
      </c>
      <c r="C4" s="89"/>
      <c r="D4" s="89"/>
      <c r="E4" s="89"/>
      <c r="F4" s="89"/>
      <c r="G4" s="89"/>
      <c r="H4" s="89"/>
      <c r="I4" s="89"/>
      <c r="J4" s="89"/>
      <c r="K4" s="89"/>
      <c r="L4" s="89"/>
      <c r="M4" s="89"/>
      <c r="N4" s="89"/>
      <c r="O4" s="89"/>
      <c r="P4" s="89"/>
      <c r="Q4" s="89"/>
      <c r="R4" s="89"/>
    </row>
    <row r="5" spans="1:20">
      <c r="B5" s="210" t="s">
        <v>100</v>
      </c>
      <c r="C5" s="210"/>
      <c r="D5" s="210"/>
      <c r="E5" s="210"/>
      <c r="F5" s="210"/>
      <c r="G5" s="210"/>
      <c r="H5" s="210"/>
      <c r="I5" s="210"/>
      <c r="J5" s="210"/>
      <c r="K5" s="210"/>
      <c r="L5" s="210"/>
      <c r="M5" s="210"/>
      <c r="N5" s="210"/>
      <c r="O5" s="210"/>
      <c r="P5" s="210"/>
      <c r="Q5" s="210"/>
      <c r="R5" s="210"/>
      <c r="T5" s="94"/>
    </row>
    <row r="6" spans="1:20">
      <c r="B6" s="210"/>
      <c r="C6" s="210"/>
      <c r="D6" s="210"/>
      <c r="E6" s="210"/>
      <c r="F6" s="210"/>
      <c r="G6" s="210"/>
      <c r="H6" s="210"/>
      <c r="I6" s="210"/>
      <c r="J6" s="210"/>
      <c r="K6" s="210"/>
      <c r="L6" s="210"/>
      <c r="M6" s="210"/>
      <c r="N6" s="210"/>
      <c r="O6" s="210"/>
      <c r="P6" s="210"/>
      <c r="Q6" s="210"/>
      <c r="R6" s="210"/>
      <c r="T6" s="102"/>
    </row>
    <row r="7" spans="1:20">
      <c r="B7" s="211" t="s">
        <v>53</v>
      </c>
      <c r="C7" s="210"/>
      <c r="D7" s="212"/>
      <c r="E7" s="212"/>
      <c r="F7" s="212"/>
      <c r="G7" s="212"/>
      <c r="H7" s="212"/>
      <c r="I7" s="212"/>
      <c r="J7" s="210"/>
      <c r="K7" s="210"/>
      <c r="L7" s="210"/>
      <c r="M7" s="210"/>
      <c r="N7" s="210"/>
      <c r="O7" s="210"/>
      <c r="P7" s="210"/>
      <c r="Q7" s="210"/>
      <c r="R7" s="210"/>
      <c r="T7" s="102"/>
    </row>
    <row r="8" spans="1:20" ht="17.25">
      <c r="B8" s="213"/>
      <c r="C8" s="214" t="s">
        <v>273</v>
      </c>
      <c r="D8" s="210"/>
      <c r="E8" s="210"/>
      <c r="F8" s="210"/>
      <c r="G8" s="210"/>
      <c r="H8" s="210"/>
      <c r="I8" s="210"/>
      <c r="J8" s="210"/>
      <c r="K8" s="210"/>
      <c r="L8" s="210"/>
      <c r="M8" s="210"/>
      <c r="N8" s="210"/>
      <c r="O8" s="210"/>
      <c r="P8" s="210"/>
      <c r="Q8" s="210"/>
      <c r="R8" s="210"/>
    </row>
    <row r="9" spans="1:20">
      <c r="B9" s="210"/>
      <c r="C9" s="214" t="s">
        <v>274</v>
      </c>
      <c r="D9" s="210"/>
      <c r="E9" s="210"/>
      <c r="F9" s="210"/>
      <c r="G9" s="210"/>
      <c r="H9" s="210"/>
      <c r="I9" s="210"/>
      <c r="J9" s="210"/>
      <c r="K9" s="210"/>
      <c r="L9" s="210"/>
      <c r="M9" s="210"/>
      <c r="N9" s="210"/>
      <c r="O9" s="210"/>
      <c r="P9" s="210"/>
      <c r="Q9" s="210"/>
      <c r="R9" s="210"/>
    </row>
    <row r="10" spans="1:20">
      <c r="B10" s="210"/>
      <c r="C10" s="215"/>
      <c r="D10" s="210"/>
      <c r="E10" s="210"/>
      <c r="F10" s="210"/>
      <c r="G10" s="210"/>
      <c r="H10" s="210"/>
      <c r="I10" s="210"/>
      <c r="J10" s="210"/>
      <c r="K10" s="210"/>
      <c r="L10" s="210"/>
      <c r="M10" s="210"/>
      <c r="N10" s="210"/>
      <c r="O10" s="210"/>
      <c r="P10" s="210"/>
      <c r="Q10" s="210"/>
      <c r="R10" s="210"/>
    </row>
    <row r="11" spans="1:20">
      <c r="B11" s="211" t="s">
        <v>136</v>
      </c>
      <c r="C11" s="210"/>
      <c r="D11" s="210"/>
      <c r="E11" s="210"/>
      <c r="F11" s="210"/>
      <c r="G11" s="210"/>
      <c r="H11" s="210"/>
      <c r="I11" s="210"/>
      <c r="J11" s="210"/>
      <c r="K11" s="210"/>
      <c r="L11" s="210"/>
      <c r="M11" s="210"/>
      <c r="N11" s="210"/>
      <c r="O11" s="210"/>
      <c r="P11" s="210"/>
      <c r="Q11" s="210"/>
      <c r="R11" s="210"/>
    </row>
    <row r="12" spans="1:20">
      <c r="B12" s="210" t="s">
        <v>248</v>
      </c>
      <c r="C12" s="210" t="s">
        <v>268</v>
      </c>
      <c r="D12" s="210"/>
      <c r="E12" s="210"/>
      <c r="F12" s="210"/>
      <c r="G12" s="210"/>
      <c r="H12" s="210"/>
      <c r="I12" s="210"/>
      <c r="J12" s="210"/>
      <c r="K12" s="210"/>
      <c r="L12" s="210"/>
      <c r="M12" s="210"/>
      <c r="N12" s="210"/>
      <c r="O12" s="210"/>
      <c r="P12" s="210"/>
      <c r="Q12" s="210"/>
      <c r="R12" s="210"/>
    </row>
    <row r="13" spans="1:20">
      <c r="B13" s="210" t="s">
        <v>119</v>
      </c>
      <c r="C13" s="216" t="s">
        <v>269</v>
      </c>
      <c r="D13" s="210"/>
      <c r="E13" s="210"/>
      <c r="F13" s="210"/>
      <c r="G13" s="210"/>
      <c r="H13" s="210"/>
      <c r="I13" s="210"/>
      <c r="J13" s="210"/>
      <c r="K13" s="210"/>
      <c r="L13" s="210"/>
      <c r="M13" s="210"/>
      <c r="N13" s="210"/>
      <c r="O13" s="210"/>
      <c r="P13" s="210"/>
      <c r="Q13" s="210"/>
      <c r="R13" s="210"/>
    </row>
    <row r="14" spans="1:20">
      <c r="B14" s="210" t="s">
        <v>54</v>
      </c>
      <c r="C14" s="215" t="s">
        <v>251</v>
      </c>
      <c r="D14" s="210"/>
      <c r="E14" s="210"/>
      <c r="F14" s="210"/>
      <c r="G14" s="210"/>
      <c r="H14" s="210"/>
      <c r="I14" s="210"/>
      <c r="J14" s="210"/>
      <c r="K14" s="210"/>
      <c r="L14" s="210"/>
      <c r="M14" s="210"/>
      <c r="N14" s="210"/>
      <c r="O14" s="210"/>
      <c r="P14" s="210"/>
      <c r="Q14" s="210"/>
      <c r="R14" s="210"/>
    </row>
    <row r="15" spans="1:20">
      <c r="B15" s="210"/>
      <c r="C15" s="215"/>
      <c r="D15" s="210"/>
      <c r="E15" s="210"/>
      <c r="F15" s="210"/>
      <c r="G15" s="210"/>
      <c r="H15" s="210"/>
      <c r="I15" s="210"/>
      <c r="J15" s="210"/>
      <c r="K15" s="210"/>
      <c r="L15" s="210"/>
      <c r="M15" s="210"/>
      <c r="N15" s="210"/>
      <c r="O15" s="210"/>
      <c r="P15" s="210"/>
      <c r="Q15" s="210"/>
      <c r="R15" s="210"/>
    </row>
    <row r="16" spans="1:20">
      <c r="B16" s="211" t="s">
        <v>270</v>
      </c>
      <c r="C16" s="215"/>
      <c r="D16" s="210"/>
      <c r="E16" s="210"/>
      <c r="F16" s="210"/>
      <c r="G16" s="210"/>
      <c r="H16" s="210"/>
      <c r="I16" s="210"/>
      <c r="J16" s="210"/>
      <c r="K16" s="210"/>
      <c r="L16" s="210"/>
      <c r="M16" s="210"/>
      <c r="N16" s="210"/>
      <c r="O16" s="210"/>
      <c r="P16" s="210"/>
      <c r="Q16" s="210"/>
      <c r="R16" s="210"/>
    </row>
    <row r="17" spans="2:18">
      <c r="B17" s="215" t="s">
        <v>126</v>
      </c>
      <c r="C17" s="210" t="s">
        <v>199</v>
      </c>
      <c r="D17" s="210"/>
      <c r="E17" s="210"/>
      <c r="F17" s="210"/>
      <c r="G17" s="210"/>
      <c r="H17" s="210"/>
      <c r="I17" s="210"/>
      <c r="J17" s="210"/>
      <c r="K17" s="210"/>
      <c r="L17" s="210"/>
      <c r="M17" s="210"/>
      <c r="N17" s="210"/>
      <c r="O17" s="210"/>
      <c r="P17" s="210"/>
      <c r="Q17" s="210"/>
      <c r="R17" s="210"/>
    </row>
    <row r="18" spans="2:18">
      <c r="B18" s="215" t="s">
        <v>177</v>
      </c>
      <c r="C18" s="217" t="s">
        <v>285</v>
      </c>
      <c r="D18" s="217"/>
      <c r="E18" s="217"/>
      <c r="F18" s="217"/>
      <c r="G18" s="217"/>
      <c r="H18" s="217"/>
      <c r="I18" s="217"/>
      <c r="J18" s="217"/>
      <c r="K18" s="217"/>
      <c r="L18" s="217"/>
      <c r="M18" s="217"/>
      <c r="N18" s="217"/>
      <c r="O18" s="217"/>
      <c r="P18" s="217"/>
      <c r="Q18" s="217"/>
      <c r="R18" s="217"/>
    </row>
    <row r="19" spans="2:18">
      <c r="B19" s="210"/>
      <c r="C19" s="217"/>
      <c r="D19" s="217"/>
      <c r="E19" s="217"/>
      <c r="F19" s="217"/>
      <c r="G19" s="217"/>
      <c r="H19" s="217"/>
      <c r="I19" s="217"/>
      <c r="J19" s="217"/>
      <c r="K19" s="217"/>
      <c r="L19" s="217"/>
      <c r="M19" s="217"/>
      <c r="N19" s="217"/>
      <c r="O19" s="217"/>
      <c r="P19" s="217"/>
      <c r="Q19" s="217"/>
      <c r="R19" s="217"/>
    </row>
    <row r="20" spans="2:18" ht="27" customHeight="1">
      <c r="B20" s="103"/>
      <c r="C20" s="187"/>
      <c r="D20" s="187"/>
      <c r="E20" s="187"/>
      <c r="F20" s="187"/>
      <c r="G20" s="187"/>
      <c r="H20" s="187"/>
      <c r="I20" s="187"/>
      <c r="J20" s="187"/>
      <c r="K20" s="187"/>
      <c r="L20" s="187"/>
      <c r="M20" s="187"/>
      <c r="N20" s="187"/>
      <c r="O20" s="187"/>
      <c r="P20" s="187"/>
      <c r="Q20" s="187"/>
      <c r="R20" s="187"/>
    </row>
    <row r="21" spans="2:18">
      <c r="B21" s="89"/>
      <c r="C21" s="89"/>
      <c r="D21" s="89"/>
      <c r="E21" s="89"/>
      <c r="F21" s="89"/>
      <c r="G21" s="89"/>
      <c r="H21" s="89"/>
      <c r="I21" s="89"/>
      <c r="J21" s="89"/>
      <c r="K21" s="89"/>
      <c r="L21" s="89"/>
      <c r="M21" s="89"/>
      <c r="N21" s="89"/>
      <c r="O21" s="89"/>
      <c r="P21" s="89"/>
      <c r="Q21" s="89"/>
      <c r="R21" s="89"/>
    </row>
    <row r="23" spans="2:18">
      <c r="B23" s="104" t="s">
        <v>127</v>
      </c>
      <c r="C23" s="14"/>
      <c r="D23" s="14"/>
      <c r="E23" s="14"/>
      <c r="F23" s="14"/>
    </row>
    <row r="24" spans="2:18" ht="26.25">
      <c r="B24" s="107" t="s">
        <v>128</v>
      </c>
      <c r="C24" s="108"/>
      <c r="D24" s="108" t="s">
        <v>129</v>
      </c>
      <c r="E24" s="108"/>
      <c r="F24" s="108" t="s">
        <v>196</v>
      </c>
      <c r="G24" s="109" t="s">
        <v>206</v>
      </c>
      <c r="H24" s="14"/>
      <c r="I24" s="14"/>
      <c r="J24" s="14"/>
      <c r="K24" s="14"/>
      <c r="L24" s="14"/>
      <c r="M24" s="14"/>
    </row>
    <row r="25" spans="2:18">
      <c r="B25" s="110" t="s">
        <v>130</v>
      </c>
      <c r="C25" s="111"/>
      <c r="D25" s="112" t="s">
        <v>195</v>
      </c>
      <c r="E25" s="111"/>
      <c r="F25" s="113">
        <v>5</v>
      </c>
      <c r="G25" s="114" t="s">
        <v>205</v>
      </c>
      <c r="H25" s="14"/>
      <c r="I25" s="14"/>
      <c r="J25" s="14"/>
      <c r="K25" s="14"/>
      <c r="L25" s="14"/>
      <c r="M25" s="14"/>
    </row>
    <row r="26" spans="2:18">
      <c r="B26" s="110" t="s">
        <v>131</v>
      </c>
      <c r="C26" s="111"/>
      <c r="D26" s="112" t="s">
        <v>195</v>
      </c>
      <c r="E26" s="111"/>
      <c r="F26" s="113">
        <v>5</v>
      </c>
      <c r="G26" s="114" t="s">
        <v>205</v>
      </c>
      <c r="H26" s="14"/>
      <c r="I26" s="14"/>
      <c r="J26" s="14"/>
      <c r="K26" s="14"/>
      <c r="L26" s="14"/>
      <c r="M26" s="14"/>
    </row>
    <row r="27" spans="2:18">
      <c r="B27" s="110" t="s">
        <v>132</v>
      </c>
      <c r="C27" s="111"/>
      <c r="D27" s="112" t="s">
        <v>195</v>
      </c>
      <c r="E27" s="111"/>
      <c r="F27" s="113">
        <v>5</v>
      </c>
      <c r="G27" s="114" t="s">
        <v>205</v>
      </c>
      <c r="H27" s="14"/>
      <c r="I27" s="14"/>
      <c r="J27" s="14"/>
      <c r="K27" s="14"/>
      <c r="L27" s="14"/>
      <c r="M27" s="14"/>
    </row>
    <row r="28" spans="2:18">
      <c r="B28" s="13" t="s">
        <v>284</v>
      </c>
      <c r="H28" s="14"/>
      <c r="I28" s="14"/>
      <c r="J28" s="14"/>
      <c r="K28" s="14"/>
      <c r="L28" s="14"/>
      <c r="M28" s="14"/>
    </row>
    <row r="29" spans="2:18">
      <c r="B29" s="17"/>
      <c r="C29" s="14"/>
      <c r="D29" s="14"/>
      <c r="E29" s="14"/>
      <c r="F29" s="14"/>
      <c r="G29" s="14"/>
      <c r="H29" s="14"/>
      <c r="I29" s="14"/>
      <c r="J29" s="14"/>
      <c r="K29" s="14"/>
      <c r="L29" s="14"/>
      <c r="M29" s="14"/>
    </row>
    <row r="30" spans="2:18">
      <c r="B30" s="17"/>
      <c r="D30" s="14"/>
      <c r="E30" s="14"/>
      <c r="F30" s="14"/>
      <c r="G30" s="14"/>
      <c r="H30" s="14"/>
      <c r="I30" s="14"/>
      <c r="J30" s="14"/>
      <c r="K30" s="14"/>
      <c r="L30" s="14"/>
      <c r="M30" s="14"/>
    </row>
    <row r="31" spans="2:18">
      <c r="B31" s="129"/>
      <c r="C31" s="13"/>
      <c r="D31" s="14"/>
      <c r="E31" s="14"/>
      <c r="F31" s="14"/>
      <c r="G31" s="14"/>
      <c r="H31" s="14"/>
      <c r="I31" s="14"/>
      <c r="J31" s="14"/>
      <c r="K31" s="14"/>
      <c r="L31" s="14"/>
      <c r="M31" s="14"/>
    </row>
    <row r="32" spans="2:18">
      <c r="B32" s="17"/>
      <c r="C32" s="14"/>
      <c r="D32" s="14"/>
      <c r="E32" s="14"/>
      <c r="F32" s="14"/>
      <c r="G32" s="14"/>
      <c r="H32" s="14"/>
      <c r="I32" s="14"/>
      <c r="J32" s="14"/>
      <c r="K32" s="14"/>
      <c r="L32" s="14"/>
      <c r="M32" s="14"/>
    </row>
    <row r="33" spans="2:13">
      <c r="B33" s="17"/>
      <c r="C33" s="14"/>
      <c r="D33" s="14"/>
      <c r="E33" s="14"/>
      <c r="F33" s="14"/>
      <c r="G33" s="14"/>
      <c r="H33" s="14"/>
      <c r="I33" s="14"/>
      <c r="J33" s="14"/>
      <c r="K33" s="14"/>
      <c r="L33" s="14"/>
      <c r="M33" s="14"/>
    </row>
    <row r="34" spans="2:13">
      <c r="C34" s="17"/>
      <c r="D34" s="17"/>
      <c r="F34" s="14"/>
      <c r="G34" s="14"/>
      <c r="H34" s="14"/>
      <c r="I34" s="14"/>
      <c r="J34" s="14"/>
      <c r="K34" s="14"/>
      <c r="L34" s="14"/>
      <c r="M34" s="14"/>
    </row>
  </sheetData>
  <mergeCells count="1">
    <mergeCell ref="C18:R19"/>
  </mergeCells>
  <conditionalFormatting sqref="B8">
    <cfRule type="containsErrors" dxfId="11" priority="1">
      <formula>ISERROR(B8)</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C4"/>
  <sheetViews>
    <sheetView showGridLines="0" workbookViewId="0"/>
  </sheetViews>
  <sheetFormatPr defaultRowHeight="14.25"/>
  <cols>
    <col min="1" max="1" width="4.75" customWidth="1"/>
    <col min="2" max="2" width="18.625" customWidth="1"/>
    <col min="3" max="3" width="7.5" customWidth="1"/>
    <col min="4" max="4" width="18.75" customWidth="1"/>
  </cols>
  <sheetData>
    <row r="2" spans="2:3">
      <c r="B2" s="104" t="s">
        <v>242</v>
      </c>
      <c r="C2" s="17"/>
    </row>
    <row r="3" spans="2:3">
      <c r="B3" s="17"/>
      <c r="C3" s="17"/>
    </row>
    <row r="4" spans="2:3">
      <c r="B4" s="116" t="str">
        <f>'Catch up efficiency'!$C$8</f>
        <v>Score</v>
      </c>
      <c r="C4" s="219">
        <f>'Catch up efficiency'!$F$6</f>
        <v>0.88106700252838566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G11"/>
  <sheetViews>
    <sheetView showGridLines="0" workbookViewId="0"/>
  </sheetViews>
  <sheetFormatPr defaultColWidth="9" defaultRowHeight="12.75"/>
  <cols>
    <col min="1" max="1" width="2.875" style="17" customWidth="1"/>
    <col min="2" max="2" width="9.125" style="17" customWidth="1"/>
    <col min="3" max="16384" width="9" style="17"/>
  </cols>
  <sheetData>
    <row r="3" spans="2:7">
      <c r="B3" s="104" t="s">
        <v>207</v>
      </c>
      <c r="F3" s="104" t="s">
        <v>267</v>
      </c>
    </row>
    <row r="4" spans="2:7">
      <c r="B4" s="104"/>
    </row>
    <row r="5" spans="2:7">
      <c r="B5" s="115" t="s">
        <v>252</v>
      </c>
      <c r="C5" s="165">
        <v>0.5</v>
      </c>
      <c r="F5" s="115" t="s">
        <v>209</v>
      </c>
      <c r="G5" s="165">
        <v>0.5</v>
      </c>
    </row>
    <row r="6" spans="2:7">
      <c r="B6" s="115" t="s">
        <v>236</v>
      </c>
      <c r="C6" s="165">
        <v>0.5</v>
      </c>
      <c r="F6" s="115" t="s">
        <v>211</v>
      </c>
      <c r="G6" s="165">
        <v>0.5</v>
      </c>
    </row>
    <row r="7" spans="2:7">
      <c r="B7" s="115" t="s">
        <v>237</v>
      </c>
      <c r="C7" s="165">
        <v>0.5</v>
      </c>
    </row>
    <row r="8" spans="2:7" ht="13.15" customHeight="1">
      <c r="B8" s="115" t="s">
        <v>238</v>
      </c>
      <c r="C8" s="165">
        <v>0.5</v>
      </c>
    </row>
    <row r="9" spans="2:7">
      <c r="B9" s="115" t="s">
        <v>239</v>
      </c>
      <c r="C9" s="165">
        <f>1/3</f>
        <v>0.33333333333333331</v>
      </c>
    </row>
    <row r="10" spans="2:7">
      <c r="B10" s="115" t="s">
        <v>240</v>
      </c>
      <c r="C10" s="165">
        <f t="shared" ref="C10:C11" si="0">1/3</f>
        <v>0.33333333333333331</v>
      </c>
    </row>
    <row r="11" spans="2:7">
      <c r="B11" s="115" t="s">
        <v>241</v>
      </c>
      <c r="C11" s="165">
        <f t="shared" si="0"/>
        <v>0.33333333333333331</v>
      </c>
    </row>
  </sheetData>
  <conditionalFormatting sqref="H5">
    <cfRule type="expression" dxfId="10" priority="12">
      <formula>H5="error"</formula>
    </cfRule>
    <cfRule type="expression" dxfId="9" priority="13">
      <formula>H5="OK"</formula>
    </cfRule>
  </conditionalFormatting>
  <conditionalFormatting sqref="H6">
    <cfRule type="expression" dxfId="8" priority="10">
      <formula>H6="error"</formula>
    </cfRule>
    <cfRule type="expression" dxfId="7" priority="11">
      <formula>H6="OK"</formula>
    </cfRule>
  </conditionalFormatting>
  <conditionalFormatting sqref="C6:C11">
    <cfRule type="cellIs" dxfId="6" priority="3" operator="equal">
      <formula>0</formula>
    </cfRule>
  </conditionalFormatting>
  <conditionalFormatting sqref="G5:G6">
    <cfRule type="cellIs" dxfId="5" priority="2" operator="equal">
      <formula>0</formula>
    </cfRule>
  </conditionalFormatting>
  <conditionalFormatting sqref="C5">
    <cfRule type="cellIs" dxfId="4"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
  <sheetViews>
    <sheetView showGridLines="0" workbookViewId="0"/>
  </sheetViews>
  <sheetFormatPr defaultRowHeight="14.25"/>
  <sheetData>
    <row r="1" spans="1:1">
      <c r="A1"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J31"/>
  <sheetViews>
    <sheetView showGridLines="0" zoomScale="80" zoomScaleNormal="80" workbookViewId="0">
      <pane xSplit="2" ySplit="5" topLeftCell="C6" activePane="bottomRight" state="frozen"/>
      <selection pane="topRight" activeCell="C1" sqref="C1"/>
      <selection pane="bottomLeft" activeCell="A4" sqref="A4"/>
      <selection pane="bottomRight"/>
    </sheetView>
  </sheetViews>
  <sheetFormatPr defaultColWidth="8.75" defaultRowHeight="15"/>
  <cols>
    <col min="1" max="1" width="2.25" style="87" customWidth="1"/>
    <col min="2" max="2" width="13.75" style="87" customWidth="1"/>
    <col min="3" max="3" width="29.875" style="2" bestFit="1" customWidth="1"/>
    <col min="4" max="4" width="9.875" style="87" customWidth="1"/>
    <col min="5" max="5" width="10.25" style="87" customWidth="1"/>
    <col min="6" max="10" width="9.875" style="87" bestFit="1" customWidth="1"/>
    <col min="11" max="16384" width="8.75" style="87"/>
  </cols>
  <sheetData>
    <row r="1" spans="2:10" ht="15.6" customHeight="1"/>
    <row r="2" spans="2:10">
      <c r="B2" s="94"/>
      <c r="C2" s="183"/>
      <c r="D2" s="167"/>
      <c r="E2" s="133"/>
      <c r="F2" s="133"/>
      <c r="G2" s="133"/>
      <c r="H2" s="133"/>
      <c r="I2" s="133"/>
      <c r="J2" s="134"/>
    </row>
    <row r="3" spans="2:10">
      <c r="B3" s="94"/>
      <c r="C3" s="183"/>
      <c r="D3" s="137" t="s">
        <v>227</v>
      </c>
      <c r="E3" s="166"/>
      <c r="F3" s="137" t="s">
        <v>91</v>
      </c>
      <c r="G3" s="137"/>
      <c r="H3" s="137" t="s">
        <v>228</v>
      </c>
      <c r="I3" s="138"/>
      <c r="J3" s="139"/>
    </row>
    <row r="4" spans="2:10">
      <c r="B4" s="140" t="s">
        <v>229</v>
      </c>
      <c r="C4" s="184"/>
      <c r="D4" s="130" t="s">
        <v>39</v>
      </c>
      <c r="E4" s="130" t="s">
        <v>40</v>
      </c>
      <c r="F4" s="131" t="s">
        <v>41</v>
      </c>
      <c r="G4" s="131" t="s">
        <v>42</v>
      </c>
      <c r="H4" s="132" t="s">
        <v>43</v>
      </c>
      <c r="I4" s="132" t="s">
        <v>44</v>
      </c>
      <c r="J4" s="132" t="s">
        <v>45</v>
      </c>
    </row>
    <row r="5" spans="2:10">
      <c r="B5" s="135" t="s">
        <v>101</v>
      </c>
      <c r="C5" s="185" t="s">
        <v>276</v>
      </c>
      <c r="D5" s="88" t="s">
        <v>39</v>
      </c>
      <c r="E5" s="88" t="s">
        <v>40</v>
      </c>
      <c r="F5" s="88" t="s">
        <v>41</v>
      </c>
      <c r="G5" s="88" t="s">
        <v>42</v>
      </c>
      <c r="H5" s="88" t="s">
        <v>43</v>
      </c>
      <c r="I5" s="88" t="s">
        <v>44</v>
      </c>
      <c r="J5" s="88" t="s">
        <v>45</v>
      </c>
    </row>
    <row r="6" spans="2:10">
      <c r="B6" s="88" t="s">
        <v>46</v>
      </c>
      <c r="C6" s="115" t="s">
        <v>94</v>
      </c>
      <c r="D6" s="136">
        <v>1.6521958E-3</v>
      </c>
      <c r="E6" s="136">
        <v>2.5786963000000002E-3</v>
      </c>
      <c r="F6" s="136" t="s">
        <v>266</v>
      </c>
      <c r="G6" s="136" t="s">
        <v>266</v>
      </c>
      <c r="H6" s="136" t="s">
        <v>266</v>
      </c>
      <c r="I6" s="136" t="s">
        <v>266</v>
      </c>
      <c r="J6" s="136" t="s">
        <v>266</v>
      </c>
    </row>
    <row r="7" spans="2:10">
      <c r="B7" s="88" t="s">
        <v>47</v>
      </c>
      <c r="C7" s="115" t="s">
        <v>277</v>
      </c>
      <c r="D7" s="136">
        <v>5.4099984000000002E-3</v>
      </c>
      <c r="E7" s="136">
        <v>5.2494022999999999E-3</v>
      </c>
      <c r="F7" s="136" t="s">
        <v>266</v>
      </c>
      <c r="G7" s="136" t="s">
        <v>266</v>
      </c>
      <c r="H7" s="136">
        <v>2.4477331000000001E-3</v>
      </c>
      <c r="I7" s="136">
        <v>3.3068718000000001E-3</v>
      </c>
      <c r="J7" s="136">
        <v>2.7312178E-3</v>
      </c>
    </row>
    <row r="8" spans="2:10">
      <c r="B8" s="88" t="s">
        <v>48</v>
      </c>
      <c r="C8" s="115" t="s">
        <v>278</v>
      </c>
      <c r="D8" s="136" t="s">
        <v>266</v>
      </c>
      <c r="E8" s="136">
        <v>-4.71807183E-2</v>
      </c>
      <c r="F8" s="136" t="s">
        <v>266</v>
      </c>
      <c r="G8" s="136" t="s">
        <v>266</v>
      </c>
      <c r="H8" s="136" t="s">
        <v>266</v>
      </c>
      <c r="I8" s="136">
        <v>-6.1700172800000001E-2</v>
      </c>
      <c r="J8" s="136">
        <v>-0.12489394619999999</v>
      </c>
    </row>
    <row r="9" spans="2:10">
      <c r="B9" s="88" t="s">
        <v>49</v>
      </c>
      <c r="C9" s="115" t="s">
        <v>279</v>
      </c>
      <c r="D9" s="136" t="s">
        <v>266</v>
      </c>
      <c r="E9" s="136" t="s">
        <v>266</v>
      </c>
      <c r="F9" s="136">
        <v>1.1375701118999999</v>
      </c>
      <c r="G9" s="136">
        <v>1.1248586558</v>
      </c>
      <c r="H9" s="136">
        <v>0.46503326820000002</v>
      </c>
      <c r="I9" s="136">
        <v>0.52111418460000003</v>
      </c>
      <c r="J9" s="136">
        <v>0.59514090080000004</v>
      </c>
    </row>
    <row r="10" spans="2:10">
      <c r="B10" s="88" t="s">
        <v>50</v>
      </c>
      <c r="C10" s="115" t="s">
        <v>280</v>
      </c>
      <c r="D10" s="136" t="s">
        <v>266</v>
      </c>
      <c r="E10" s="136" t="s">
        <v>266</v>
      </c>
      <c r="F10" s="136">
        <v>5.95701446E-2</v>
      </c>
      <c r="G10" s="136" t="s">
        <v>266</v>
      </c>
      <c r="H10" s="136">
        <v>1.9634616399999999E-2</v>
      </c>
      <c r="I10" s="136">
        <v>2.8661855999999999E-2</v>
      </c>
      <c r="J10" s="136" t="s">
        <v>266</v>
      </c>
    </row>
    <row r="11" spans="2:10">
      <c r="B11" s="88" t="s">
        <v>51</v>
      </c>
      <c r="C11" s="115" t="s">
        <v>281</v>
      </c>
      <c r="D11" s="136" t="s">
        <v>266</v>
      </c>
      <c r="E11" s="136" t="s">
        <v>266</v>
      </c>
      <c r="F11" s="136" t="s">
        <v>266</v>
      </c>
      <c r="G11" s="136">
        <v>7.6674310499999995E-2</v>
      </c>
      <c r="H11" s="136" t="s">
        <v>266</v>
      </c>
      <c r="I11" s="136" t="s">
        <v>266</v>
      </c>
      <c r="J11" s="136">
        <v>7.0100798699999994E-2</v>
      </c>
    </row>
    <row r="12" spans="2:10">
      <c r="B12" s="88" t="s">
        <v>265</v>
      </c>
      <c r="C12" s="115" t="s">
        <v>99</v>
      </c>
      <c r="D12" s="136" t="s">
        <v>266</v>
      </c>
      <c r="E12" s="136" t="s">
        <v>266</v>
      </c>
      <c r="F12" s="136" t="s">
        <v>266</v>
      </c>
      <c r="G12" s="136">
        <v>3.4964753699999997E-2</v>
      </c>
      <c r="H12" s="136" t="s">
        <v>266</v>
      </c>
      <c r="I12" s="136" t="s">
        <v>266</v>
      </c>
      <c r="J12" s="136">
        <v>4.62582094E-2</v>
      </c>
    </row>
    <row r="13" spans="2:10">
      <c r="B13" s="88" t="s">
        <v>52</v>
      </c>
      <c r="C13" s="115" t="s">
        <v>282</v>
      </c>
      <c r="D13" s="136">
        <v>2.4675701223000002</v>
      </c>
      <c r="E13" s="136">
        <v>3.0895807222</v>
      </c>
      <c r="F13" s="136">
        <v>-5.6293523055000003</v>
      </c>
      <c r="G13" s="136">
        <v>-5.4599723917</v>
      </c>
      <c r="H13" s="136">
        <v>8.1025691299999994E-2</v>
      </c>
      <c r="I13" s="136">
        <v>0.33707315599999998</v>
      </c>
      <c r="J13" s="136">
        <v>6.1991609599999997E-2</v>
      </c>
    </row>
    <row r="15" spans="2:10">
      <c r="E15" s="78"/>
      <c r="F15" s="78"/>
      <c r="G15" s="78"/>
      <c r="H15" s="78"/>
      <c r="I15" s="78"/>
      <c r="J15" s="78"/>
    </row>
    <row r="16" spans="2:10">
      <c r="H16" s="117"/>
    </row>
    <row r="18" spans="2:10">
      <c r="B18" s="89"/>
      <c r="D18" s="89"/>
      <c r="E18" s="89"/>
      <c r="F18" s="89"/>
      <c r="G18" s="89"/>
      <c r="H18" s="89"/>
      <c r="I18" s="89"/>
      <c r="J18" s="89"/>
    </row>
    <row r="19" spans="2:10">
      <c r="B19" s="91"/>
      <c r="D19" s="91"/>
      <c r="E19" s="90"/>
      <c r="F19" s="90"/>
      <c r="G19" s="90"/>
      <c r="I19" s="90"/>
      <c r="J19" s="90"/>
    </row>
    <row r="20" spans="2:10">
      <c r="B20" s="91"/>
      <c r="D20" s="91"/>
      <c r="E20" s="90"/>
      <c r="F20" s="90"/>
      <c r="G20" s="90"/>
      <c r="H20" s="90"/>
      <c r="I20" s="90"/>
      <c r="J20" s="90"/>
    </row>
    <row r="21" spans="2:10">
      <c r="B21" s="91"/>
      <c r="D21" s="91"/>
      <c r="E21" s="90"/>
      <c r="F21" s="90"/>
      <c r="G21" s="90"/>
      <c r="H21" s="90"/>
      <c r="I21" s="90"/>
      <c r="J21" s="90"/>
    </row>
    <row r="22" spans="2:10">
      <c r="B22" s="91"/>
      <c r="D22" s="91"/>
      <c r="E22" s="90"/>
      <c r="F22" s="90"/>
      <c r="G22" s="90"/>
      <c r="H22" s="90"/>
      <c r="I22" s="90"/>
      <c r="J22" s="90"/>
    </row>
    <row r="23" spans="2:10">
      <c r="B23" s="91"/>
      <c r="D23" s="91"/>
      <c r="E23" s="90"/>
      <c r="F23" s="90"/>
      <c r="G23" s="90"/>
      <c r="H23" s="90"/>
      <c r="I23" s="90"/>
      <c r="J23" s="90"/>
    </row>
    <row r="24" spans="2:10">
      <c r="B24" s="91"/>
      <c r="D24" s="91"/>
      <c r="E24" s="92"/>
      <c r="F24" s="92"/>
      <c r="G24" s="92"/>
      <c r="H24" s="92"/>
      <c r="I24" s="92"/>
      <c r="J24" s="92"/>
    </row>
    <row r="25" spans="2:10">
      <c r="B25" s="91"/>
      <c r="D25" s="91"/>
      <c r="E25" s="90"/>
      <c r="F25" s="90"/>
      <c r="G25" s="90"/>
      <c r="H25" s="90"/>
      <c r="I25" s="90"/>
      <c r="J25" s="90"/>
    </row>
    <row r="26" spans="2:10">
      <c r="B26" s="91"/>
      <c r="D26" s="91"/>
      <c r="E26" s="90"/>
      <c r="F26" s="90"/>
      <c r="G26" s="90"/>
      <c r="H26" s="90"/>
      <c r="I26" s="90"/>
      <c r="J26" s="90"/>
    </row>
    <row r="27" spans="2:10">
      <c r="B27" s="91"/>
      <c r="D27" s="91"/>
      <c r="E27" s="90"/>
      <c r="F27" s="90"/>
      <c r="G27" s="90"/>
      <c r="H27" s="90"/>
      <c r="I27" s="90"/>
      <c r="J27" s="90"/>
    </row>
    <row r="28" spans="2:10">
      <c r="B28" s="91"/>
      <c r="D28" s="91"/>
      <c r="E28" s="90"/>
      <c r="F28" s="90"/>
      <c r="G28" s="90"/>
      <c r="H28" s="90"/>
      <c r="I28" s="90"/>
      <c r="J28" s="90"/>
    </row>
    <row r="29" spans="2:10">
      <c r="B29" s="91"/>
      <c r="D29" s="91"/>
      <c r="E29" s="90"/>
      <c r="F29" s="90"/>
      <c r="G29" s="90"/>
      <c r="H29" s="90"/>
      <c r="I29" s="90"/>
      <c r="J29" s="90"/>
    </row>
    <row r="30" spans="2:10">
      <c r="B30" s="91"/>
      <c r="D30" s="91"/>
      <c r="E30" s="90"/>
      <c r="F30" s="90"/>
      <c r="G30" s="90"/>
      <c r="H30" s="90"/>
      <c r="I30" s="90"/>
      <c r="J30" s="90"/>
    </row>
    <row r="31" spans="2:10">
      <c r="B31" s="91"/>
      <c r="D31" s="91"/>
      <c r="E31" s="90"/>
      <c r="F31" s="90"/>
      <c r="G31" s="90"/>
      <c r="H31" s="90"/>
      <c r="I31" s="90"/>
      <c r="J31" s="90"/>
    </row>
  </sheetData>
  <conditionalFormatting sqref="E15:J15">
    <cfRule type="expression" dxfId="3" priority="3">
      <formula>E15="error"</formula>
    </cfRule>
    <cfRule type="expression" dxfId="2" priority="4">
      <formula>E15="OK"</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94"/>
  <sheetViews>
    <sheetView showGridLines="0" zoomScale="80" zoomScaleNormal="80" workbookViewId="0">
      <pane xSplit="3" ySplit="5" topLeftCell="D6" activePane="bottomRight" state="frozen"/>
      <selection pane="topRight" activeCell="B1" sqref="B1"/>
      <selection pane="bottomLeft" activeCell="A5" sqref="A5"/>
      <selection pane="bottomRight"/>
    </sheetView>
  </sheetViews>
  <sheetFormatPr defaultColWidth="8.75" defaultRowHeight="15"/>
  <cols>
    <col min="1" max="1" width="9.75" style="87" bestFit="1" customWidth="1"/>
    <col min="2" max="2" width="8.75" style="87"/>
    <col min="3" max="3" width="7.625" style="87" customWidth="1"/>
    <col min="4" max="4" width="10.5" style="87" customWidth="1"/>
    <col min="5" max="9" width="10.375" style="87" customWidth="1"/>
    <col min="10" max="10" width="14.75" style="87" customWidth="1"/>
    <col min="11" max="11" width="2.125" style="87" customWidth="1"/>
    <col min="12" max="12" width="9.75" style="87" bestFit="1" customWidth="1"/>
    <col min="13" max="13" width="11.125" style="87" customWidth="1"/>
    <col min="14" max="14" width="10.75" style="87" customWidth="1"/>
    <col min="15" max="15" width="10.125" style="87" customWidth="1"/>
    <col min="16" max="16" width="11.25" style="87" customWidth="1"/>
    <col min="17" max="17" width="9.25" style="87" customWidth="1"/>
    <col min="18" max="18" width="10.5" style="87" customWidth="1"/>
    <col min="19" max="19" width="15.375" style="87" bestFit="1" customWidth="1"/>
    <col min="20" max="16384" width="8.75" style="87"/>
  </cols>
  <sheetData>
    <row r="1" spans="1:19" ht="18.75">
      <c r="A1" s="95" t="s">
        <v>220</v>
      </c>
      <c r="B1" s="95"/>
      <c r="C1" s="79">
        <f>COUNTA(C6:C93)</f>
        <v>88</v>
      </c>
      <c r="D1" s="118" t="s">
        <v>122</v>
      </c>
      <c r="E1" s="82"/>
      <c r="F1" s="82"/>
      <c r="G1" s="82"/>
      <c r="H1" s="82"/>
      <c r="I1" s="82"/>
      <c r="J1" s="82"/>
      <c r="K1" s="83"/>
      <c r="M1" s="118" t="s">
        <v>121</v>
      </c>
      <c r="N1" s="82"/>
      <c r="O1" s="82"/>
      <c r="P1" s="82"/>
      <c r="Q1" s="82"/>
      <c r="R1" s="82"/>
      <c r="S1" s="119"/>
    </row>
    <row r="2" spans="1:19">
      <c r="A2" s="88" t="s">
        <v>147</v>
      </c>
      <c r="B2" s="170"/>
      <c r="C2" s="128"/>
      <c r="D2" s="85" t="s">
        <v>46</v>
      </c>
      <c r="E2" s="85" t="s">
        <v>47</v>
      </c>
      <c r="F2" s="85" t="s">
        <v>48</v>
      </c>
      <c r="G2" s="85" t="s">
        <v>49</v>
      </c>
      <c r="H2" s="85" t="s">
        <v>50</v>
      </c>
      <c r="I2" s="85" t="s">
        <v>51</v>
      </c>
      <c r="J2" s="85" t="s">
        <v>265</v>
      </c>
      <c r="K2" s="84"/>
      <c r="L2" s="88" t="s">
        <v>147</v>
      </c>
      <c r="M2" s="125" t="s">
        <v>46</v>
      </c>
      <c r="N2" s="125" t="s">
        <v>47</v>
      </c>
      <c r="O2" s="125" t="s">
        <v>84</v>
      </c>
      <c r="P2" s="125" t="s">
        <v>85</v>
      </c>
      <c r="Q2" s="125" t="s">
        <v>50</v>
      </c>
      <c r="R2" s="125" t="s">
        <v>51</v>
      </c>
      <c r="S2" s="125" t="s">
        <v>265</v>
      </c>
    </row>
    <row r="3" spans="1:19">
      <c r="A3" s="88" t="s">
        <v>263</v>
      </c>
      <c r="B3" s="170"/>
      <c r="C3" s="128"/>
      <c r="D3" s="85"/>
      <c r="E3" s="85"/>
      <c r="F3" s="85"/>
      <c r="G3" s="85"/>
      <c r="H3" s="85"/>
      <c r="I3" s="85"/>
      <c r="J3" s="85"/>
      <c r="K3" s="84"/>
      <c r="L3" s="88" t="s">
        <v>263</v>
      </c>
      <c r="M3" s="169" t="s">
        <v>258</v>
      </c>
      <c r="N3" s="169" t="s">
        <v>257</v>
      </c>
      <c r="O3" s="168" t="s">
        <v>256</v>
      </c>
      <c r="P3" s="168" t="s">
        <v>259</v>
      </c>
      <c r="Q3" s="168" t="s">
        <v>260</v>
      </c>
      <c r="R3" s="168" t="s">
        <v>262</v>
      </c>
      <c r="S3" s="168" t="s">
        <v>261</v>
      </c>
    </row>
    <row r="4" spans="1:19" ht="92.1" customHeight="1">
      <c r="A4" s="171" t="s">
        <v>218</v>
      </c>
      <c r="B4" s="127" t="s">
        <v>264</v>
      </c>
      <c r="C4" s="127" t="s">
        <v>219</v>
      </c>
      <c r="D4" s="80" t="s">
        <v>94</v>
      </c>
      <c r="E4" s="80" t="s">
        <v>95</v>
      </c>
      <c r="F4" s="80" t="s">
        <v>96</v>
      </c>
      <c r="G4" s="120" t="s">
        <v>145</v>
      </c>
      <c r="H4" s="80" t="s">
        <v>97</v>
      </c>
      <c r="I4" s="80" t="s">
        <v>98</v>
      </c>
      <c r="J4" s="80" t="s">
        <v>99</v>
      </c>
      <c r="K4" s="81"/>
      <c r="L4" s="88" t="s">
        <v>146</v>
      </c>
      <c r="M4" s="80" t="s">
        <v>94</v>
      </c>
      <c r="N4" s="80" t="s">
        <v>95</v>
      </c>
      <c r="O4" s="80" t="s">
        <v>96</v>
      </c>
      <c r="P4" s="120" t="s">
        <v>145</v>
      </c>
      <c r="Q4" s="80" t="s">
        <v>97</v>
      </c>
      <c r="R4" s="80" t="s">
        <v>98</v>
      </c>
      <c r="S4" s="80" t="s">
        <v>99</v>
      </c>
    </row>
    <row r="5" spans="1:19">
      <c r="A5" s="88"/>
      <c r="B5" s="88"/>
      <c r="C5" s="88" t="s">
        <v>86</v>
      </c>
      <c r="D5" s="85" t="s">
        <v>217</v>
      </c>
      <c r="E5" s="85" t="s">
        <v>217</v>
      </c>
      <c r="F5" s="85" t="s">
        <v>120</v>
      </c>
      <c r="G5" s="85" t="s">
        <v>88</v>
      </c>
      <c r="H5" s="85" t="s">
        <v>217</v>
      </c>
      <c r="I5" s="85" t="s">
        <v>217</v>
      </c>
      <c r="J5" s="85" t="s">
        <v>217</v>
      </c>
      <c r="K5" s="84"/>
      <c r="L5" s="88" t="s">
        <v>86</v>
      </c>
      <c r="M5" s="85" t="s">
        <v>217</v>
      </c>
      <c r="N5" s="85" t="s">
        <v>217</v>
      </c>
      <c r="O5" s="85" t="s">
        <v>87</v>
      </c>
      <c r="P5" s="85" t="s">
        <v>89</v>
      </c>
      <c r="Q5" s="85" t="s">
        <v>217</v>
      </c>
      <c r="R5" s="85" t="s">
        <v>217</v>
      </c>
      <c r="S5" s="85" t="s">
        <v>217</v>
      </c>
    </row>
    <row r="6" spans="1:19">
      <c r="A6" s="88" t="str">
        <f>LEFT(C6,3)</f>
        <v>ANH</v>
      </c>
      <c r="B6" s="88" t="s">
        <v>164</v>
      </c>
      <c r="C6" s="88" t="s">
        <v>0</v>
      </c>
      <c r="D6" s="121">
        <f>$M6 * 100</f>
        <v>62.025037716388198</v>
      </c>
      <c r="E6" s="122">
        <f>$N6 * 100</f>
        <v>71.387760557918995</v>
      </c>
      <c r="F6" s="123">
        <f xml:space="preserve"> LN(O6*1000)</f>
        <v>14.814546680433503</v>
      </c>
      <c r="G6" s="123">
        <f xml:space="preserve"> LN(P6)</f>
        <v>5.9259159521175491</v>
      </c>
      <c r="H6" s="124">
        <f xml:space="preserve"> $Q6 * 100</f>
        <v>26.626799999999999</v>
      </c>
      <c r="I6" s="124">
        <f xml:space="preserve"> $R6 * 100</f>
        <v>12.7126065296998</v>
      </c>
      <c r="J6" s="124">
        <f t="shared" ref="J6:J69" si="0" xml:space="preserve"> $S6 * 100</f>
        <v>11.930408248096199</v>
      </c>
      <c r="K6" s="86"/>
      <c r="L6" s="88" t="s">
        <v>0</v>
      </c>
      <c r="M6" s="178">
        <v>0.62025037716388198</v>
      </c>
      <c r="N6" s="178">
        <v>0.71387760557919</v>
      </c>
      <c r="O6" s="178">
        <v>2715.663</v>
      </c>
      <c r="P6" s="178">
        <v>374.62141353750798</v>
      </c>
      <c r="Q6" s="178">
        <v>0.266268</v>
      </c>
      <c r="R6" s="178">
        <v>0.12712606529699799</v>
      </c>
      <c r="S6" s="178">
        <v>0.119304082480962</v>
      </c>
    </row>
    <row r="7" spans="1:19">
      <c r="A7" s="88" t="str">
        <f t="shared" ref="A7:A84" si="1">LEFT(C7,3)</f>
        <v>ANH</v>
      </c>
      <c r="B7" s="88" t="s">
        <v>165</v>
      </c>
      <c r="C7" s="88" t="s">
        <v>1</v>
      </c>
      <c r="D7" s="121">
        <f t="shared" ref="D7:D69" si="2">$M7 * 100</f>
        <v>62.153149072462497</v>
      </c>
      <c r="E7" s="122">
        <f t="shared" ref="E7:E69" si="3">$N7 * 100</f>
        <v>73.287255320230102</v>
      </c>
      <c r="F7" s="123">
        <f t="shared" ref="F7:F70" si="4" xml:space="preserve"> LN(O7*1000)</f>
        <v>14.821773977815337</v>
      </c>
      <c r="G7" s="123">
        <f t="shared" ref="G7:G70" si="5" xml:space="preserve"> LN(P7)</f>
        <v>5.9412443075058965</v>
      </c>
      <c r="H7" s="124">
        <f t="shared" ref="H7:H69" si="6" xml:space="preserve"> $Q7 * 100</f>
        <v>26.696399999999997</v>
      </c>
      <c r="I7" s="124">
        <f t="shared" ref="I7:I69" si="7" xml:space="preserve"> $R7 * 100</f>
        <v>12.709566553558899</v>
      </c>
      <c r="J7" s="124">
        <f t="shared" si="0"/>
        <v>11.930408248096199</v>
      </c>
      <c r="K7" s="86"/>
      <c r="L7" s="88" t="s">
        <v>1</v>
      </c>
      <c r="M7" s="178">
        <v>0.62153149072462499</v>
      </c>
      <c r="N7" s="178">
        <v>0.73287255320230105</v>
      </c>
      <c r="O7" s="178">
        <v>2735.3609999999999</v>
      </c>
      <c r="P7" s="178">
        <v>380.40797967159898</v>
      </c>
      <c r="Q7" s="178">
        <v>0.26696399999999998</v>
      </c>
      <c r="R7" s="178">
        <v>0.12709566553558899</v>
      </c>
      <c r="S7" s="178">
        <v>0.119304082480962</v>
      </c>
    </row>
    <row r="8" spans="1:19">
      <c r="A8" s="88" t="str">
        <f t="shared" si="1"/>
        <v>ANH</v>
      </c>
      <c r="B8" s="88" t="s">
        <v>166</v>
      </c>
      <c r="C8" s="88" t="s">
        <v>2</v>
      </c>
      <c r="D8" s="121">
        <f t="shared" si="2"/>
        <v>62.128306823543298</v>
      </c>
      <c r="E8" s="122">
        <f t="shared" si="3"/>
        <v>74.656059860368401</v>
      </c>
      <c r="F8" s="123">
        <f t="shared" si="4"/>
        <v>14.820062519458837</v>
      </c>
      <c r="G8" s="123">
        <f t="shared" si="5"/>
        <v>5.8472237638703888</v>
      </c>
      <c r="H8" s="124">
        <f t="shared" si="6"/>
        <v>26.400200000000002</v>
      </c>
      <c r="I8" s="124">
        <f t="shared" si="7"/>
        <v>12.708669348397301</v>
      </c>
      <c r="J8" s="124">
        <f t="shared" si="0"/>
        <v>11.930408248096199</v>
      </c>
      <c r="K8" s="86"/>
      <c r="L8" s="88" t="s">
        <v>2</v>
      </c>
      <c r="M8" s="178">
        <v>0.621283068235433</v>
      </c>
      <c r="N8" s="178">
        <v>0.74656059860368396</v>
      </c>
      <c r="O8" s="178">
        <v>2730.6835473329602</v>
      </c>
      <c r="P8" s="178">
        <v>346.271712760968</v>
      </c>
      <c r="Q8" s="178">
        <v>0.26400200000000001</v>
      </c>
      <c r="R8" s="178">
        <v>0.127086693483973</v>
      </c>
      <c r="S8" s="178">
        <v>0.119304082480962</v>
      </c>
    </row>
    <row r="9" spans="1:19">
      <c r="A9" s="88" t="str">
        <f t="shared" si="1"/>
        <v>ANH</v>
      </c>
      <c r="B9" s="88" t="s">
        <v>167</v>
      </c>
      <c r="C9" s="88" t="s">
        <v>3</v>
      </c>
      <c r="D9" s="121">
        <f t="shared" si="2"/>
        <v>62.262492415092197</v>
      </c>
      <c r="E9" s="122">
        <f t="shared" si="3"/>
        <v>76.117107109365605</v>
      </c>
      <c r="F9" s="123">
        <f t="shared" si="4"/>
        <v>14.830122127958598</v>
      </c>
      <c r="G9" s="123">
        <f t="shared" si="5"/>
        <v>5.8636745004723423</v>
      </c>
      <c r="H9" s="124">
        <f t="shared" si="6"/>
        <v>25.523899999999998</v>
      </c>
      <c r="I9" s="124">
        <f t="shared" si="7"/>
        <v>12.701471452047</v>
      </c>
      <c r="J9" s="124">
        <f t="shared" si="0"/>
        <v>11.930408248096199</v>
      </c>
      <c r="K9" s="86"/>
      <c r="L9" s="88" t="s">
        <v>3</v>
      </c>
      <c r="M9" s="178">
        <v>0.62262492415092197</v>
      </c>
      <c r="N9" s="178">
        <v>0.761171071093656</v>
      </c>
      <c r="O9" s="178">
        <v>2758.2917859726599</v>
      </c>
      <c r="P9" s="178">
        <v>352.01525068609902</v>
      </c>
      <c r="Q9" s="178">
        <v>0.25523899999999999</v>
      </c>
      <c r="R9" s="178">
        <v>0.12701471452047</v>
      </c>
      <c r="S9" s="178">
        <v>0.119304082480962</v>
      </c>
    </row>
    <row r="10" spans="1:19">
      <c r="A10" s="88" t="str">
        <f t="shared" si="1"/>
        <v>ANH</v>
      </c>
      <c r="B10" s="88" t="s">
        <v>197</v>
      </c>
      <c r="C10" s="88" t="s">
        <v>179</v>
      </c>
      <c r="D10" s="121">
        <f t="shared" si="2"/>
        <v>62.247807234997701</v>
      </c>
      <c r="E10" s="122">
        <f t="shared" si="3"/>
        <v>77.441626927965501</v>
      </c>
      <c r="F10" s="123">
        <f t="shared" si="4"/>
        <v>14.835557519317074</v>
      </c>
      <c r="G10" s="123">
        <f t="shared" si="5"/>
        <v>5.8628539919641112</v>
      </c>
      <c r="H10" s="124">
        <f t="shared" si="6"/>
        <v>25.523899999999998</v>
      </c>
      <c r="I10" s="124">
        <f t="shared" si="7"/>
        <v>12.701471452047</v>
      </c>
      <c r="J10" s="124">
        <f t="shared" si="0"/>
        <v>11.930408248096199</v>
      </c>
      <c r="K10" s="86"/>
      <c r="L10" s="88" t="s">
        <v>179</v>
      </c>
      <c r="M10" s="178">
        <v>0.62247807234997699</v>
      </c>
      <c r="N10" s="178">
        <v>0.77441626927965501</v>
      </c>
      <c r="O10" s="178">
        <v>2773.3249999999998</v>
      </c>
      <c r="P10" s="178">
        <v>351.72653763983698</v>
      </c>
      <c r="Q10" s="178">
        <v>0.25523899999999999</v>
      </c>
      <c r="R10" s="178">
        <v>0.12701471452047</v>
      </c>
      <c r="S10" s="178">
        <v>0.119304082480962</v>
      </c>
    </row>
    <row r="11" spans="1:19">
      <c r="A11" s="88" t="str">
        <f t="shared" si="1"/>
        <v>NES</v>
      </c>
      <c r="B11" s="88" t="s">
        <v>164</v>
      </c>
      <c r="C11" s="88" t="s">
        <v>4</v>
      </c>
      <c r="D11" s="121">
        <f t="shared" si="2"/>
        <v>57.11584832106</v>
      </c>
      <c r="E11" s="122">
        <f t="shared" si="3"/>
        <v>39.436242367838496</v>
      </c>
      <c r="F11" s="123">
        <f t="shared" si="4"/>
        <v>14.427361996130474</v>
      </c>
      <c r="G11" s="123">
        <f t="shared" si="5"/>
        <v>5.7766150827655007</v>
      </c>
      <c r="H11" s="124">
        <f t="shared" si="6"/>
        <v>30.9224</v>
      </c>
      <c r="I11" s="124">
        <f t="shared" si="7"/>
        <v>17.398328297211798</v>
      </c>
      <c r="J11" s="124">
        <f t="shared" si="0"/>
        <v>9.6672483697440299</v>
      </c>
      <c r="K11" s="86"/>
      <c r="L11" s="88" t="s">
        <v>4</v>
      </c>
      <c r="M11" s="178">
        <v>0.57115848321060003</v>
      </c>
      <c r="N11" s="178">
        <v>0.39436242367838498</v>
      </c>
      <c r="O11" s="178">
        <v>1843.8420000000001</v>
      </c>
      <c r="P11" s="178">
        <v>322.66514502492402</v>
      </c>
      <c r="Q11" s="178">
        <v>0.309224</v>
      </c>
      <c r="R11" s="178">
        <v>0.17398328297211799</v>
      </c>
      <c r="S11" s="178">
        <v>9.6672483697440303E-2</v>
      </c>
    </row>
    <row r="12" spans="1:19">
      <c r="A12" s="88" t="str">
        <f t="shared" si="1"/>
        <v>NES</v>
      </c>
      <c r="B12" s="88" t="s">
        <v>165</v>
      </c>
      <c r="C12" s="88" t="s">
        <v>5</v>
      </c>
      <c r="D12" s="121">
        <f t="shared" si="2"/>
        <v>57.10123883296</v>
      </c>
      <c r="E12" s="122">
        <f t="shared" si="3"/>
        <v>41.221883349976999</v>
      </c>
      <c r="F12" s="123">
        <f t="shared" si="4"/>
        <v>14.432073626341447</v>
      </c>
      <c r="G12" s="123">
        <f t="shared" si="5"/>
        <v>5.801190294522411</v>
      </c>
      <c r="H12" s="124">
        <f t="shared" si="6"/>
        <v>31.217099999999999</v>
      </c>
      <c r="I12" s="124">
        <f t="shared" si="7"/>
        <v>17.3979045537735</v>
      </c>
      <c r="J12" s="124">
        <f t="shared" si="0"/>
        <v>9.6672483697440299</v>
      </c>
      <c r="K12" s="86"/>
      <c r="L12" s="88" t="s">
        <v>5</v>
      </c>
      <c r="M12" s="178">
        <v>0.5710123883296</v>
      </c>
      <c r="N12" s="178">
        <v>0.41221883349977001</v>
      </c>
      <c r="O12" s="178">
        <v>1852.55</v>
      </c>
      <c r="P12" s="178">
        <v>330.69294774381001</v>
      </c>
      <c r="Q12" s="178">
        <v>0.31217099999999998</v>
      </c>
      <c r="R12" s="178">
        <v>0.17397904553773499</v>
      </c>
      <c r="S12" s="178">
        <v>9.6672483697440303E-2</v>
      </c>
    </row>
    <row r="13" spans="1:19">
      <c r="A13" s="88" t="str">
        <f t="shared" si="1"/>
        <v>NES</v>
      </c>
      <c r="B13" s="88" t="s">
        <v>166</v>
      </c>
      <c r="C13" s="88" t="s">
        <v>6</v>
      </c>
      <c r="D13" s="121">
        <f t="shared" si="2"/>
        <v>57.055683914819596</v>
      </c>
      <c r="E13" s="122">
        <f t="shared" si="3"/>
        <v>42.816995877276</v>
      </c>
      <c r="F13" s="123">
        <f t="shared" si="4"/>
        <v>14.436443433788504</v>
      </c>
      <c r="G13" s="123">
        <f t="shared" si="5"/>
        <v>5.7868171514119204</v>
      </c>
      <c r="H13" s="124">
        <f t="shared" si="6"/>
        <v>31.067699999999999</v>
      </c>
      <c r="I13" s="124">
        <f t="shared" si="7"/>
        <v>17.398069274740099</v>
      </c>
      <c r="J13" s="124">
        <f t="shared" si="0"/>
        <v>9.6672483697440299</v>
      </c>
      <c r="K13" s="86"/>
      <c r="L13" s="88" t="s">
        <v>6</v>
      </c>
      <c r="M13" s="178">
        <v>0.57055683914819599</v>
      </c>
      <c r="N13" s="178">
        <v>0.42816995877275998</v>
      </c>
      <c r="O13" s="178">
        <v>1860.663</v>
      </c>
      <c r="P13" s="178">
        <v>325.97384608391701</v>
      </c>
      <c r="Q13" s="178">
        <v>0.31067699999999998</v>
      </c>
      <c r="R13" s="178">
        <v>0.17398069274740099</v>
      </c>
      <c r="S13" s="178">
        <v>9.6672483697440303E-2</v>
      </c>
    </row>
    <row r="14" spans="1:19">
      <c r="A14" s="88" t="str">
        <f t="shared" si="1"/>
        <v>NES</v>
      </c>
      <c r="B14" s="88" t="s">
        <v>167</v>
      </c>
      <c r="C14" s="88" t="s">
        <v>7</v>
      </c>
      <c r="D14" s="121">
        <f t="shared" si="2"/>
        <v>57.019924240803</v>
      </c>
      <c r="E14" s="122">
        <f t="shared" si="3"/>
        <v>44.460964752712599</v>
      </c>
      <c r="F14" s="123">
        <f t="shared" si="4"/>
        <v>14.44095688915996</v>
      </c>
      <c r="G14" s="123">
        <f t="shared" si="5"/>
        <v>5.7842388060027661</v>
      </c>
      <c r="H14" s="124">
        <f t="shared" si="6"/>
        <v>30.547400000000003</v>
      </c>
      <c r="I14" s="124">
        <f t="shared" si="7"/>
        <v>17.393574078757201</v>
      </c>
      <c r="J14" s="124">
        <f t="shared" si="0"/>
        <v>9.6672483697440299</v>
      </c>
      <c r="K14" s="86"/>
      <c r="L14" s="88" t="s">
        <v>7</v>
      </c>
      <c r="M14" s="178">
        <v>0.57019924240802999</v>
      </c>
      <c r="N14" s="178">
        <v>0.44460964752712601</v>
      </c>
      <c r="O14" s="178">
        <v>1869.08</v>
      </c>
      <c r="P14" s="178">
        <v>325.13445549880601</v>
      </c>
      <c r="Q14" s="178">
        <v>0.30547400000000002</v>
      </c>
      <c r="R14" s="178">
        <v>0.17393574078757201</v>
      </c>
      <c r="S14" s="178">
        <v>9.6672483697440303E-2</v>
      </c>
    </row>
    <row r="15" spans="1:19">
      <c r="A15" s="88" t="str">
        <f t="shared" si="1"/>
        <v>NES</v>
      </c>
      <c r="B15" s="88" t="s">
        <v>197</v>
      </c>
      <c r="C15" s="88" t="s">
        <v>180</v>
      </c>
      <c r="D15" s="121">
        <f t="shared" si="2"/>
        <v>57.033833521782398</v>
      </c>
      <c r="E15" s="122">
        <f t="shared" si="3"/>
        <v>46.219254593578199</v>
      </c>
      <c r="F15" s="123">
        <f t="shared" si="4"/>
        <v>14.445979885270031</v>
      </c>
      <c r="G15" s="123">
        <f t="shared" si="5"/>
        <v>5.7891721181783096</v>
      </c>
      <c r="H15" s="124">
        <f t="shared" si="6"/>
        <v>30.547400000000003</v>
      </c>
      <c r="I15" s="124">
        <f t="shared" si="7"/>
        <v>17.393574078757201</v>
      </c>
      <c r="J15" s="124">
        <f t="shared" si="0"/>
        <v>9.6672483697440299</v>
      </c>
      <c r="K15" s="86"/>
      <c r="L15" s="88" t="s">
        <v>180</v>
      </c>
      <c r="M15" s="178">
        <v>0.57033833521782396</v>
      </c>
      <c r="N15" s="178">
        <v>0.46219254593578202</v>
      </c>
      <c r="O15" s="178">
        <v>1878.492</v>
      </c>
      <c r="P15" s="178">
        <v>326.74240827216698</v>
      </c>
      <c r="Q15" s="178">
        <v>0.30547400000000002</v>
      </c>
      <c r="R15" s="178">
        <v>0.17393574078757201</v>
      </c>
      <c r="S15" s="178">
        <v>9.6672483697440303E-2</v>
      </c>
    </row>
    <row r="16" spans="1:19">
      <c r="A16" s="88" t="str">
        <f t="shared" si="1"/>
        <v>NWT</v>
      </c>
      <c r="B16" s="88" t="s">
        <v>164</v>
      </c>
      <c r="C16" s="88" t="s">
        <v>8</v>
      </c>
      <c r="D16" s="121">
        <f t="shared" si="2"/>
        <v>96.152520187182105</v>
      </c>
      <c r="E16" s="122">
        <f t="shared" si="3"/>
        <v>35.899121090128297</v>
      </c>
      <c r="F16" s="123">
        <f t="shared" si="4"/>
        <v>14.884434475997217</v>
      </c>
      <c r="G16" s="123">
        <f t="shared" si="5"/>
        <v>6.0628541996407783</v>
      </c>
      <c r="H16" s="124">
        <f t="shared" si="6"/>
        <v>31.115300000000001</v>
      </c>
      <c r="I16" s="124">
        <f t="shared" si="7"/>
        <v>17.314270410003001</v>
      </c>
      <c r="J16" s="124">
        <f t="shared" si="0"/>
        <v>11.3714629927796</v>
      </c>
      <c r="K16" s="86"/>
      <c r="L16" s="88" t="s">
        <v>8</v>
      </c>
      <c r="M16" s="178">
        <v>0.961525201871821</v>
      </c>
      <c r="N16" s="178">
        <v>0.358991210901283</v>
      </c>
      <c r="O16" s="178">
        <v>2912.2440000000001</v>
      </c>
      <c r="P16" s="178">
        <v>429.59985240928</v>
      </c>
      <c r="Q16" s="178">
        <v>0.31115300000000001</v>
      </c>
      <c r="R16" s="178">
        <v>0.17314270410002999</v>
      </c>
      <c r="S16" s="178">
        <v>0.113714629927796</v>
      </c>
    </row>
    <row r="17" spans="1:19">
      <c r="A17" s="88" t="str">
        <f t="shared" si="1"/>
        <v>NWT</v>
      </c>
      <c r="B17" s="88" t="s">
        <v>165</v>
      </c>
      <c r="C17" s="88" t="s">
        <v>9</v>
      </c>
      <c r="D17" s="121">
        <f t="shared" si="2"/>
        <v>96.1708662628171</v>
      </c>
      <c r="E17" s="122">
        <f t="shared" si="3"/>
        <v>37.607850352315701</v>
      </c>
      <c r="F17" s="123">
        <f t="shared" si="4"/>
        <v>14.884795644236192</v>
      </c>
      <c r="G17" s="123">
        <f t="shared" si="5"/>
        <v>6.0840677017226668</v>
      </c>
      <c r="H17" s="124">
        <f t="shared" si="6"/>
        <v>31.6264</v>
      </c>
      <c r="I17" s="124">
        <f t="shared" si="7"/>
        <v>17.327691926659998</v>
      </c>
      <c r="J17" s="124">
        <f t="shared" si="0"/>
        <v>11.3714629927796</v>
      </c>
      <c r="K17" s="86"/>
      <c r="L17" s="88" t="s">
        <v>9</v>
      </c>
      <c r="M17" s="178">
        <v>0.96170866262817101</v>
      </c>
      <c r="N17" s="178">
        <v>0.37607850352315703</v>
      </c>
      <c r="O17" s="178">
        <v>2913.2959999999998</v>
      </c>
      <c r="P17" s="178">
        <v>438.81051961960901</v>
      </c>
      <c r="Q17" s="178">
        <v>0.31626399999999999</v>
      </c>
      <c r="R17" s="178">
        <v>0.17327691926659999</v>
      </c>
      <c r="S17" s="178">
        <v>0.113714629927796</v>
      </c>
    </row>
    <row r="18" spans="1:19">
      <c r="A18" s="88" t="str">
        <f t="shared" si="1"/>
        <v>NWT</v>
      </c>
      <c r="B18" s="88" t="s">
        <v>166</v>
      </c>
      <c r="C18" s="88" t="s">
        <v>10</v>
      </c>
      <c r="D18" s="121">
        <f t="shared" si="2"/>
        <v>96.173539419627602</v>
      </c>
      <c r="E18" s="122">
        <f t="shared" si="3"/>
        <v>38.9867807523488</v>
      </c>
      <c r="F18" s="123">
        <f t="shared" si="4"/>
        <v>14.888823158142054</v>
      </c>
      <c r="G18" s="123">
        <f t="shared" si="5"/>
        <v>6.0346033198726543</v>
      </c>
      <c r="H18" s="124">
        <f t="shared" si="6"/>
        <v>31.666399999999999</v>
      </c>
      <c r="I18" s="124">
        <f t="shared" si="7"/>
        <v>17.342503531161299</v>
      </c>
      <c r="J18" s="124">
        <f t="shared" si="0"/>
        <v>11.3714629927796</v>
      </c>
      <c r="K18" s="86"/>
      <c r="L18" s="88" t="s">
        <v>10</v>
      </c>
      <c r="M18" s="178">
        <v>0.96173539419627596</v>
      </c>
      <c r="N18" s="178">
        <v>0.38986780752348799</v>
      </c>
      <c r="O18" s="178">
        <v>2925.0529999999999</v>
      </c>
      <c r="P18" s="178">
        <v>417.63311002036301</v>
      </c>
      <c r="Q18" s="178">
        <v>0.316664</v>
      </c>
      <c r="R18" s="178">
        <v>0.17342503531161299</v>
      </c>
      <c r="S18" s="178">
        <v>0.113714629927796</v>
      </c>
    </row>
    <row r="19" spans="1:19">
      <c r="A19" s="88" t="str">
        <f t="shared" si="1"/>
        <v>NWT</v>
      </c>
      <c r="B19" s="88" t="s">
        <v>167</v>
      </c>
      <c r="C19" s="88" t="s">
        <v>11</v>
      </c>
      <c r="D19" s="121">
        <f t="shared" si="2"/>
        <v>95.300597048673694</v>
      </c>
      <c r="E19" s="122">
        <f t="shared" si="3"/>
        <v>40.838916644683401</v>
      </c>
      <c r="F19" s="123">
        <f t="shared" si="4"/>
        <v>14.904729533949119</v>
      </c>
      <c r="G19" s="123">
        <f t="shared" si="5"/>
        <v>6.0130338837954946</v>
      </c>
      <c r="H19" s="124">
        <f t="shared" si="6"/>
        <v>31.478499999999997</v>
      </c>
      <c r="I19" s="124">
        <f t="shared" si="7"/>
        <v>17.345573914666701</v>
      </c>
      <c r="J19" s="124">
        <f t="shared" si="0"/>
        <v>11.3714629927796</v>
      </c>
      <c r="K19" s="86"/>
      <c r="L19" s="88" t="s">
        <v>11</v>
      </c>
      <c r="M19" s="178">
        <v>0.95300597048673696</v>
      </c>
      <c r="N19" s="178">
        <v>0.40838916644683398</v>
      </c>
      <c r="O19" s="178">
        <v>2971.9520000000002</v>
      </c>
      <c r="P19" s="178">
        <v>408.72145454426902</v>
      </c>
      <c r="Q19" s="178">
        <v>0.31478499999999998</v>
      </c>
      <c r="R19" s="178">
        <v>0.17345573914666701</v>
      </c>
      <c r="S19" s="178">
        <v>0.113714629927796</v>
      </c>
    </row>
    <row r="20" spans="1:19">
      <c r="A20" s="88" t="str">
        <f t="shared" si="1"/>
        <v>NWT</v>
      </c>
      <c r="B20" s="88" t="s">
        <v>197</v>
      </c>
      <c r="C20" s="88" t="s">
        <v>181</v>
      </c>
      <c r="D20" s="121">
        <f t="shared" si="2"/>
        <v>95.111689930923703</v>
      </c>
      <c r="E20" s="122">
        <f t="shared" si="3"/>
        <v>42.482432832620297</v>
      </c>
      <c r="F20" s="123">
        <f t="shared" si="4"/>
        <v>14.905870207602556</v>
      </c>
      <c r="G20" s="123">
        <f t="shared" si="5"/>
        <v>6.0030624179388443</v>
      </c>
      <c r="H20" s="124">
        <f t="shared" si="6"/>
        <v>31.478499999999997</v>
      </c>
      <c r="I20" s="124">
        <f t="shared" si="7"/>
        <v>17.345573914666701</v>
      </c>
      <c r="J20" s="124">
        <f t="shared" si="0"/>
        <v>11.3714629927796</v>
      </c>
      <c r="K20" s="86"/>
      <c r="L20" s="88" t="s">
        <v>181</v>
      </c>
      <c r="M20" s="178">
        <v>0.95111689930923704</v>
      </c>
      <c r="N20" s="178">
        <v>0.42482432832620298</v>
      </c>
      <c r="O20" s="178">
        <v>2975.34396153847</v>
      </c>
      <c r="P20" s="178">
        <v>404.666154758603</v>
      </c>
      <c r="Q20" s="178">
        <v>0.31478499999999998</v>
      </c>
      <c r="R20" s="178">
        <v>0.17345573914666701</v>
      </c>
      <c r="S20" s="178">
        <v>0.113714629927796</v>
      </c>
    </row>
    <row r="21" spans="1:19">
      <c r="A21" s="88" t="str">
        <f t="shared" si="1"/>
        <v>SRN</v>
      </c>
      <c r="B21" s="88" t="s">
        <v>164</v>
      </c>
      <c r="C21" s="88" t="s">
        <v>12</v>
      </c>
      <c r="D21" s="121">
        <f t="shared" si="2"/>
        <v>49.235285366757196</v>
      </c>
      <c r="E21" s="122">
        <f t="shared" si="3"/>
        <v>61.948946928511198</v>
      </c>
      <c r="F21" s="123">
        <f t="shared" si="4"/>
        <v>14.435352636291862</v>
      </c>
      <c r="G21" s="123">
        <f t="shared" si="5"/>
        <v>5.909850367160459</v>
      </c>
      <c r="H21" s="124">
        <f t="shared" si="6"/>
        <v>26.070599999999999</v>
      </c>
      <c r="I21" s="124">
        <f t="shared" si="7"/>
        <v>12.5041315884841</v>
      </c>
      <c r="J21" s="124">
        <f t="shared" si="0"/>
        <v>13.1668055636184</v>
      </c>
      <c r="K21" s="86"/>
      <c r="L21" s="88" t="s">
        <v>12</v>
      </c>
      <c r="M21" s="178">
        <v>0.49235285366757198</v>
      </c>
      <c r="N21" s="178">
        <v>0.61948946928511195</v>
      </c>
      <c r="O21" s="178">
        <v>1858.6344999999999</v>
      </c>
      <c r="P21" s="178">
        <v>368.65098898782401</v>
      </c>
      <c r="Q21" s="178">
        <v>0.26070599999999999</v>
      </c>
      <c r="R21" s="178">
        <v>0.12504131588484099</v>
      </c>
      <c r="S21" s="178">
        <v>0.131668055636184</v>
      </c>
    </row>
    <row r="22" spans="1:19">
      <c r="A22" s="88" t="str">
        <f t="shared" si="1"/>
        <v>SRN</v>
      </c>
      <c r="B22" s="88" t="s">
        <v>165</v>
      </c>
      <c r="C22" s="88" t="s">
        <v>13</v>
      </c>
      <c r="D22" s="121">
        <f t="shared" si="2"/>
        <v>49.075992850958798</v>
      </c>
      <c r="E22" s="122">
        <f t="shared" si="3"/>
        <v>68.626241867322705</v>
      </c>
      <c r="F22" s="123">
        <f t="shared" si="4"/>
        <v>14.439599150592276</v>
      </c>
      <c r="G22" s="123">
        <f t="shared" si="5"/>
        <v>5.9397830558384443</v>
      </c>
      <c r="H22" s="124">
        <f t="shared" si="6"/>
        <v>25.862000000000002</v>
      </c>
      <c r="I22" s="124">
        <f t="shared" si="7"/>
        <v>12.505223711773301</v>
      </c>
      <c r="J22" s="124">
        <f t="shared" si="0"/>
        <v>13.1668055636184</v>
      </c>
      <c r="K22" s="86"/>
      <c r="L22" s="88" t="s">
        <v>13</v>
      </c>
      <c r="M22" s="178">
        <v>0.49075992850958799</v>
      </c>
      <c r="N22" s="178">
        <v>0.68626241867322701</v>
      </c>
      <c r="O22" s="178">
        <v>1866.5440000000001</v>
      </c>
      <c r="P22" s="178">
        <v>379.85251381353601</v>
      </c>
      <c r="Q22" s="178">
        <v>0.25862000000000002</v>
      </c>
      <c r="R22" s="178">
        <v>0.125052237117733</v>
      </c>
      <c r="S22" s="178">
        <v>0.131668055636184</v>
      </c>
    </row>
    <row r="23" spans="1:19">
      <c r="A23" s="88" t="str">
        <f t="shared" si="1"/>
        <v>SRN</v>
      </c>
      <c r="B23" s="88" t="s">
        <v>166</v>
      </c>
      <c r="C23" s="88" t="s">
        <v>14</v>
      </c>
      <c r="D23" s="121">
        <f t="shared" si="2"/>
        <v>48.898501790263296</v>
      </c>
      <c r="E23" s="122">
        <f t="shared" si="3"/>
        <v>73.037990356277803</v>
      </c>
      <c r="F23" s="123">
        <f t="shared" si="4"/>
        <v>14.44776376793666</v>
      </c>
      <c r="G23" s="123">
        <f t="shared" si="5"/>
        <v>5.860158083912733</v>
      </c>
      <c r="H23" s="124">
        <f t="shared" si="6"/>
        <v>25.506499999999999</v>
      </c>
      <c r="I23" s="124">
        <f t="shared" si="7"/>
        <v>12.5066971883181</v>
      </c>
      <c r="J23" s="124">
        <f t="shared" si="0"/>
        <v>13.1668055636184</v>
      </c>
      <c r="K23" s="86"/>
      <c r="L23" s="88" t="s">
        <v>14</v>
      </c>
      <c r="M23" s="178">
        <v>0.48898501790263299</v>
      </c>
      <c r="N23" s="178">
        <v>0.73037990356277804</v>
      </c>
      <c r="O23" s="178">
        <v>1881.846</v>
      </c>
      <c r="P23" s="178">
        <v>350.779592247511</v>
      </c>
      <c r="Q23" s="178">
        <v>0.25506499999999999</v>
      </c>
      <c r="R23" s="178">
        <v>0.125066971883181</v>
      </c>
      <c r="S23" s="178">
        <v>0.131668055636184</v>
      </c>
    </row>
    <row r="24" spans="1:19">
      <c r="A24" s="88" t="str">
        <f t="shared" si="1"/>
        <v>SRN</v>
      </c>
      <c r="B24" s="88" t="s">
        <v>167</v>
      </c>
      <c r="C24" s="88" t="s">
        <v>15</v>
      </c>
      <c r="D24" s="121">
        <f t="shared" si="2"/>
        <v>48.901555803898802</v>
      </c>
      <c r="E24" s="122">
        <f t="shared" si="3"/>
        <v>75.5389594697413</v>
      </c>
      <c r="F24" s="123">
        <f t="shared" si="4"/>
        <v>14.454848650601331</v>
      </c>
      <c r="G24" s="123">
        <f t="shared" si="5"/>
        <v>5.8308246225740108</v>
      </c>
      <c r="H24" s="124">
        <f t="shared" si="6"/>
        <v>24.613399999999999</v>
      </c>
      <c r="I24" s="124">
        <f t="shared" si="7"/>
        <v>12.501624906830401</v>
      </c>
      <c r="J24" s="124">
        <f t="shared" si="0"/>
        <v>13.1668055636184</v>
      </c>
      <c r="K24" s="86"/>
      <c r="L24" s="88" t="s">
        <v>15</v>
      </c>
      <c r="M24" s="178">
        <v>0.489015558038988</v>
      </c>
      <c r="N24" s="178">
        <v>0.75538959469741296</v>
      </c>
      <c r="O24" s="178">
        <v>1895.2260000000001</v>
      </c>
      <c r="P24" s="178">
        <v>340.63946227594499</v>
      </c>
      <c r="Q24" s="178">
        <v>0.24613399999999999</v>
      </c>
      <c r="R24" s="178">
        <v>0.125016249068304</v>
      </c>
      <c r="S24" s="178">
        <v>0.131668055636184</v>
      </c>
    </row>
    <row r="25" spans="1:19">
      <c r="A25" s="88" t="str">
        <f t="shared" si="1"/>
        <v>SRN</v>
      </c>
      <c r="B25" s="88" t="s">
        <v>197</v>
      </c>
      <c r="C25" s="88" t="s">
        <v>182</v>
      </c>
      <c r="D25" s="121">
        <f t="shared" si="2"/>
        <v>48.8358639573486</v>
      </c>
      <c r="E25" s="122">
        <f t="shared" si="3"/>
        <v>77.393943720825703</v>
      </c>
      <c r="F25" s="123">
        <f t="shared" si="4"/>
        <v>14.45995687036778</v>
      </c>
      <c r="G25" s="123">
        <f t="shared" si="5"/>
        <v>5.8211803927709411</v>
      </c>
      <c r="H25" s="124">
        <f t="shared" si="6"/>
        <v>24.613399999999999</v>
      </c>
      <c r="I25" s="124">
        <f t="shared" si="7"/>
        <v>12.501624906830401</v>
      </c>
      <c r="J25" s="124">
        <f t="shared" si="0"/>
        <v>13.1668055636184</v>
      </c>
      <c r="K25" s="86"/>
      <c r="L25" s="88" t="s">
        <v>182</v>
      </c>
      <c r="M25" s="178">
        <v>0.48835863957348602</v>
      </c>
      <c r="N25" s="178">
        <v>0.77393943720825698</v>
      </c>
      <c r="O25" s="178">
        <v>1904.932</v>
      </c>
      <c r="P25" s="178">
        <v>337.37004785472698</v>
      </c>
      <c r="Q25" s="178">
        <v>0.24613399999999999</v>
      </c>
      <c r="R25" s="178">
        <v>0.125016249068304</v>
      </c>
      <c r="S25" s="178">
        <v>0.131668055636184</v>
      </c>
    </row>
    <row r="26" spans="1:19">
      <c r="A26" s="88" t="str">
        <f t="shared" si="1"/>
        <v>SVT</v>
      </c>
      <c r="B26" s="88" t="s">
        <v>164</v>
      </c>
      <c r="C26" s="88" t="s">
        <v>16</v>
      </c>
      <c r="D26" s="121">
        <f t="shared" si="2"/>
        <v>75.016017338736702</v>
      </c>
      <c r="E26" s="122">
        <f t="shared" si="3"/>
        <v>37.587692656238502</v>
      </c>
      <c r="F26" s="123">
        <f t="shared" si="4"/>
        <v>15.163311981038323</v>
      </c>
      <c r="G26" s="123">
        <f t="shared" si="5"/>
        <v>5.7402743990719038</v>
      </c>
      <c r="H26" s="124">
        <f t="shared" si="6"/>
        <v>28.666399999999996</v>
      </c>
      <c r="I26" s="124">
        <f t="shared" si="7"/>
        <v>15.612119338611</v>
      </c>
      <c r="J26" s="124">
        <f t="shared" si="0"/>
        <v>11.876864082534</v>
      </c>
      <c r="K26" s="86"/>
      <c r="L26" s="88" t="s">
        <v>16</v>
      </c>
      <c r="M26" s="178">
        <v>0.75016017338736696</v>
      </c>
      <c r="N26" s="178">
        <v>0.37587692656238503</v>
      </c>
      <c r="O26" s="178">
        <v>3848.9540000000002</v>
      </c>
      <c r="P26" s="178">
        <v>311.14977847891402</v>
      </c>
      <c r="Q26" s="178">
        <v>0.28666399999999997</v>
      </c>
      <c r="R26" s="178">
        <v>0.15612119338611</v>
      </c>
      <c r="S26" s="178">
        <v>0.11876864082534</v>
      </c>
    </row>
    <row r="27" spans="1:19">
      <c r="A27" s="88" t="str">
        <f t="shared" si="1"/>
        <v>SVT</v>
      </c>
      <c r="B27" s="88" t="s">
        <v>165</v>
      </c>
      <c r="C27" s="88" t="s">
        <v>17</v>
      </c>
      <c r="D27" s="121">
        <f t="shared" si="2"/>
        <v>75.019644134667402</v>
      </c>
      <c r="E27" s="122">
        <f t="shared" si="3"/>
        <v>39.056897897573201</v>
      </c>
      <c r="F27" s="123">
        <f t="shared" si="4"/>
        <v>15.167806983453355</v>
      </c>
      <c r="G27" s="123">
        <f t="shared" si="5"/>
        <v>5.7546269224204858</v>
      </c>
      <c r="H27" s="124">
        <f t="shared" si="6"/>
        <v>28.915600000000001</v>
      </c>
      <c r="I27" s="124">
        <f t="shared" si="7"/>
        <v>15.6173837721302</v>
      </c>
      <c r="J27" s="124">
        <f t="shared" si="0"/>
        <v>11.876864082534</v>
      </c>
      <c r="K27" s="86"/>
      <c r="L27" s="88" t="s">
        <v>17</v>
      </c>
      <c r="M27" s="178">
        <v>0.75019644134667396</v>
      </c>
      <c r="N27" s="178">
        <v>0.39056897897573201</v>
      </c>
      <c r="O27" s="178">
        <v>3866.2939999999999</v>
      </c>
      <c r="P27" s="178">
        <v>315.64776445051899</v>
      </c>
      <c r="Q27" s="178">
        <v>0.28915600000000002</v>
      </c>
      <c r="R27" s="178">
        <v>0.156173837721302</v>
      </c>
      <c r="S27" s="178">
        <v>0.11876864082534</v>
      </c>
    </row>
    <row r="28" spans="1:19">
      <c r="A28" s="88" t="str">
        <f t="shared" si="1"/>
        <v>SVT</v>
      </c>
      <c r="B28" s="88" t="s">
        <v>166</v>
      </c>
      <c r="C28" s="88" t="s">
        <v>18</v>
      </c>
      <c r="D28" s="121">
        <f t="shared" si="2"/>
        <v>75.494764004066596</v>
      </c>
      <c r="E28" s="122">
        <f t="shared" si="3"/>
        <v>42.032335371200304</v>
      </c>
      <c r="F28" s="123">
        <f t="shared" si="4"/>
        <v>15.188781987624715</v>
      </c>
      <c r="G28" s="123">
        <f t="shared" si="5"/>
        <v>5.6866443466259931</v>
      </c>
      <c r="H28" s="124">
        <f t="shared" si="6"/>
        <v>28.711199999999998</v>
      </c>
      <c r="I28" s="124">
        <f t="shared" si="7"/>
        <v>15.6323332575982</v>
      </c>
      <c r="J28" s="124">
        <f t="shared" si="0"/>
        <v>11.876864082534</v>
      </c>
      <c r="K28" s="86"/>
      <c r="L28" s="88" t="s">
        <v>18</v>
      </c>
      <c r="M28" s="178">
        <v>0.75494764004066595</v>
      </c>
      <c r="N28" s="178">
        <v>0.42032335371200302</v>
      </c>
      <c r="O28" s="178">
        <v>3948.2460000000001</v>
      </c>
      <c r="P28" s="178">
        <v>294.902368293834</v>
      </c>
      <c r="Q28" s="178">
        <v>0.28711199999999998</v>
      </c>
      <c r="R28" s="178">
        <v>0.15632333257598199</v>
      </c>
      <c r="S28" s="178">
        <v>0.11876864082534</v>
      </c>
    </row>
    <row r="29" spans="1:19">
      <c r="A29" s="88" t="str">
        <f t="shared" si="1"/>
        <v>SVT</v>
      </c>
      <c r="B29" s="88" t="s">
        <v>167</v>
      </c>
      <c r="C29" s="88" t="s">
        <v>19</v>
      </c>
      <c r="D29" s="121">
        <f t="shared" si="2"/>
        <v>73.747026241440608</v>
      </c>
      <c r="E29" s="122">
        <f t="shared" si="3"/>
        <v>41.812050418462</v>
      </c>
      <c r="F29" s="123">
        <f t="shared" si="4"/>
        <v>15.196745139964053</v>
      </c>
      <c r="G29" s="123">
        <f t="shared" si="5"/>
        <v>5.6822307538187857</v>
      </c>
      <c r="H29" s="124">
        <f t="shared" si="6"/>
        <v>28.091100000000001</v>
      </c>
      <c r="I29" s="124">
        <f t="shared" si="7"/>
        <v>15.631676327006899</v>
      </c>
      <c r="J29" s="124">
        <f t="shared" si="0"/>
        <v>11.876864082534</v>
      </c>
      <c r="K29" s="86"/>
      <c r="L29" s="88" t="s">
        <v>19</v>
      </c>
      <c r="M29" s="178">
        <v>0.73747026241440605</v>
      </c>
      <c r="N29" s="178">
        <v>0.41812050418461999</v>
      </c>
      <c r="O29" s="178">
        <v>3979.8119999999999</v>
      </c>
      <c r="P29" s="178">
        <v>293.60365742100601</v>
      </c>
      <c r="Q29" s="178">
        <v>0.28091100000000002</v>
      </c>
      <c r="R29" s="178">
        <v>0.15631676327006899</v>
      </c>
      <c r="S29" s="178">
        <v>0.11876864082534</v>
      </c>
    </row>
    <row r="30" spans="1:19">
      <c r="A30" s="88" t="str">
        <f t="shared" si="1"/>
        <v>SVT</v>
      </c>
      <c r="B30" s="88" t="s">
        <v>197</v>
      </c>
      <c r="C30" s="88" t="s">
        <v>183</v>
      </c>
      <c r="D30" s="121">
        <f t="shared" si="2"/>
        <v>73.797074928828494</v>
      </c>
      <c r="E30" s="122">
        <f t="shared" si="3"/>
        <v>43.2186330496423</v>
      </c>
      <c r="F30" s="123">
        <f t="shared" si="4"/>
        <v>15.2067596242352</v>
      </c>
      <c r="G30" s="123">
        <f t="shared" si="5"/>
        <v>5.6622405496144905</v>
      </c>
      <c r="H30" s="124">
        <f t="shared" si="6"/>
        <v>28.091100000000001</v>
      </c>
      <c r="I30" s="124">
        <f t="shared" si="7"/>
        <v>15.631676327006899</v>
      </c>
      <c r="J30" s="124">
        <f t="shared" si="0"/>
        <v>11.876864082534</v>
      </c>
      <c r="K30" s="86"/>
      <c r="L30" s="88" t="s">
        <v>183</v>
      </c>
      <c r="M30" s="178">
        <v>0.73797074928828499</v>
      </c>
      <c r="N30" s="178">
        <v>0.43218633049642302</v>
      </c>
      <c r="O30" s="178">
        <v>4019.8679999999999</v>
      </c>
      <c r="P30" s="178">
        <v>287.792734627107</v>
      </c>
      <c r="Q30" s="178">
        <v>0.28091100000000002</v>
      </c>
      <c r="R30" s="178">
        <v>0.15631676327006899</v>
      </c>
      <c r="S30" s="178">
        <v>0.11876864082534</v>
      </c>
    </row>
    <row r="31" spans="1:19">
      <c r="A31" s="88" t="str">
        <f t="shared" si="1"/>
        <v>SWT</v>
      </c>
      <c r="B31" s="88" t="s">
        <v>164</v>
      </c>
      <c r="C31" s="88" t="s">
        <v>20</v>
      </c>
      <c r="D31" s="121">
        <f t="shared" si="2"/>
        <v>91.042907407976699</v>
      </c>
      <c r="E31" s="122">
        <f t="shared" si="3"/>
        <v>75.974171154528705</v>
      </c>
      <c r="F31" s="123">
        <f t="shared" si="4"/>
        <v>13.480924142064874</v>
      </c>
      <c r="G31" s="123">
        <f t="shared" si="5"/>
        <v>6.3680997592111384</v>
      </c>
      <c r="H31" s="124">
        <f t="shared" si="6"/>
        <v>23.900199999999998</v>
      </c>
      <c r="I31" s="124">
        <f t="shared" si="7"/>
        <v>13.3925613528915</v>
      </c>
      <c r="J31" s="124">
        <f t="shared" si="0"/>
        <v>10.1285929342597</v>
      </c>
      <c r="K31" s="86"/>
      <c r="L31" s="88" t="s">
        <v>20</v>
      </c>
      <c r="M31" s="178">
        <v>0.91042907407976703</v>
      </c>
      <c r="N31" s="178">
        <v>0.75974171154528702</v>
      </c>
      <c r="O31" s="178">
        <v>715.63400000000001</v>
      </c>
      <c r="P31" s="178">
        <v>582.94903220577305</v>
      </c>
      <c r="Q31" s="178">
        <v>0.23900199999999999</v>
      </c>
      <c r="R31" s="178">
        <v>0.13392561352891499</v>
      </c>
      <c r="S31" s="178">
        <v>0.101285929342597</v>
      </c>
    </row>
    <row r="32" spans="1:19">
      <c r="A32" s="88" t="str">
        <f t="shared" si="1"/>
        <v>SWT</v>
      </c>
      <c r="B32" s="88" t="s">
        <v>165</v>
      </c>
      <c r="C32" s="88" t="s">
        <v>21</v>
      </c>
      <c r="D32" s="121">
        <f t="shared" si="2"/>
        <v>91.189943583313507</v>
      </c>
      <c r="E32" s="122">
        <f t="shared" si="3"/>
        <v>77.336682509994105</v>
      </c>
      <c r="F32" s="123">
        <f t="shared" si="4"/>
        <v>13.487252294113508</v>
      </c>
      <c r="G32" s="123">
        <f t="shared" si="5"/>
        <v>6.3714429433301456</v>
      </c>
      <c r="H32" s="124">
        <f t="shared" si="6"/>
        <v>23.833500000000001</v>
      </c>
      <c r="I32" s="124">
        <f t="shared" si="7"/>
        <v>13.386118326019799</v>
      </c>
      <c r="J32" s="124">
        <f t="shared" si="0"/>
        <v>10.1285929342597</v>
      </c>
      <c r="K32" s="86"/>
      <c r="L32" s="88" t="s">
        <v>21</v>
      </c>
      <c r="M32" s="178">
        <v>0.91189943583313504</v>
      </c>
      <c r="N32" s="178">
        <v>0.77336682509994104</v>
      </c>
      <c r="O32" s="178">
        <v>720.17700000000002</v>
      </c>
      <c r="P32" s="178">
        <v>584.90119956162403</v>
      </c>
      <c r="Q32" s="178">
        <v>0.23833499999999999</v>
      </c>
      <c r="R32" s="178">
        <v>0.133861183260198</v>
      </c>
      <c r="S32" s="178">
        <v>0.101285929342597</v>
      </c>
    </row>
    <row r="33" spans="1:19">
      <c r="A33" s="88" t="str">
        <f t="shared" si="1"/>
        <v>SWT</v>
      </c>
      <c r="B33" s="88" t="s">
        <v>166</v>
      </c>
      <c r="C33" s="88" t="s">
        <v>22</v>
      </c>
      <c r="D33" s="121">
        <f t="shared" si="2"/>
        <v>90.045253789614094</v>
      </c>
      <c r="E33" s="122">
        <f t="shared" si="3"/>
        <v>78.370075132981398</v>
      </c>
      <c r="F33" s="123">
        <f t="shared" si="4"/>
        <v>13.508481194534996</v>
      </c>
      <c r="G33" s="123">
        <f t="shared" si="5"/>
        <v>6.2823957886872055</v>
      </c>
      <c r="H33" s="124">
        <f t="shared" si="6"/>
        <v>23.569499999999998</v>
      </c>
      <c r="I33" s="124">
        <f t="shared" si="7"/>
        <v>13.3826418158144</v>
      </c>
      <c r="J33" s="124">
        <f t="shared" si="0"/>
        <v>10.1285929342597</v>
      </c>
      <c r="K33" s="86"/>
      <c r="L33" s="88" t="s">
        <v>22</v>
      </c>
      <c r="M33" s="178">
        <v>0.90045253789614099</v>
      </c>
      <c r="N33" s="178">
        <v>0.78370075132981398</v>
      </c>
      <c r="O33" s="178">
        <v>735.62900000000002</v>
      </c>
      <c r="P33" s="178">
        <v>535.06904181283505</v>
      </c>
      <c r="Q33" s="178">
        <v>0.23569499999999999</v>
      </c>
      <c r="R33" s="178">
        <v>0.133826418158144</v>
      </c>
      <c r="S33" s="178">
        <v>0.101285929342597</v>
      </c>
    </row>
    <row r="34" spans="1:19">
      <c r="A34" s="88" t="str">
        <f t="shared" si="1"/>
        <v>TMS</v>
      </c>
      <c r="B34" s="88" t="s">
        <v>164</v>
      </c>
      <c r="C34" s="88" t="s">
        <v>23</v>
      </c>
      <c r="D34" s="121">
        <f t="shared" si="2"/>
        <v>63.477858387309404</v>
      </c>
      <c r="E34" s="122">
        <f t="shared" si="3"/>
        <v>33.120614495296401</v>
      </c>
      <c r="F34" s="123">
        <f t="shared" si="4"/>
        <v>15.480306920831248</v>
      </c>
      <c r="G34" s="123">
        <f t="shared" si="5"/>
        <v>5.7152455152720885</v>
      </c>
      <c r="H34" s="124">
        <f t="shared" si="6"/>
        <v>31.222000000000001</v>
      </c>
      <c r="I34" s="124">
        <f t="shared" si="7"/>
        <v>14.170568486085299</v>
      </c>
      <c r="J34" s="124">
        <f t="shared" si="0"/>
        <v>18.2864869197637</v>
      </c>
      <c r="K34" s="86"/>
      <c r="L34" s="88" t="s">
        <v>23</v>
      </c>
      <c r="M34" s="178">
        <v>0.63477858387309405</v>
      </c>
      <c r="N34" s="178">
        <v>0.33120614495296402</v>
      </c>
      <c r="O34" s="178">
        <v>5284.5969999999998</v>
      </c>
      <c r="P34" s="178">
        <v>303.45869790903703</v>
      </c>
      <c r="Q34" s="178">
        <v>0.31222</v>
      </c>
      <c r="R34" s="178">
        <v>0.141705684860853</v>
      </c>
      <c r="S34" s="178">
        <v>0.182864869197637</v>
      </c>
    </row>
    <row r="35" spans="1:19">
      <c r="A35" s="88" t="str">
        <f t="shared" si="1"/>
        <v>TMS</v>
      </c>
      <c r="B35" s="88" t="s">
        <v>165</v>
      </c>
      <c r="C35" s="88" t="s">
        <v>24</v>
      </c>
      <c r="D35" s="121">
        <f t="shared" si="2"/>
        <v>63.482154056224104</v>
      </c>
      <c r="E35" s="122">
        <f t="shared" si="3"/>
        <v>34.337678558955297</v>
      </c>
      <c r="F35" s="123">
        <f t="shared" si="4"/>
        <v>15.488053214168239</v>
      </c>
      <c r="G35" s="123">
        <f t="shared" si="5"/>
        <v>5.7470788024758539</v>
      </c>
      <c r="H35" s="124">
        <f t="shared" si="6"/>
        <v>30.933500000000002</v>
      </c>
      <c r="I35" s="124">
        <f t="shared" si="7"/>
        <v>14.195670175940201</v>
      </c>
      <c r="J35" s="124">
        <f t="shared" si="0"/>
        <v>18.2864869197637</v>
      </c>
      <c r="K35" s="86"/>
      <c r="L35" s="88" t="s">
        <v>24</v>
      </c>
      <c r="M35" s="178">
        <v>0.63482154056224105</v>
      </c>
      <c r="N35" s="178">
        <v>0.34337678558955298</v>
      </c>
      <c r="O35" s="178">
        <v>5325.692</v>
      </c>
      <c r="P35" s="178">
        <v>313.274186558868</v>
      </c>
      <c r="Q35" s="178">
        <v>0.30933500000000003</v>
      </c>
      <c r="R35" s="178">
        <v>0.141956701759402</v>
      </c>
      <c r="S35" s="178">
        <v>0.182864869197637</v>
      </c>
    </row>
    <row r="36" spans="1:19">
      <c r="A36" s="88" t="str">
        <f t="shared" si="1"/>
        <v>TMS</v>
      </c>
      <c r="B36" s="88" t="s">
        <v>166</v>
      </c>
      <c r="C36" s="88" t="s">
        <v>25</v>
      </c>
      <c r="D36" s="121">
        <f t="shared" si="2"/>
        <v>63.630398328627102</v>
      </c>
      <c r="E36" s="122">
        <f t="shared" si="3"/>
        <v>40.286419674681902</v>
      </c>
      <c r="F36" s="123">
        <f t="shared" si="4"/>
        <v>15.493295199847179</v>
      </c>
      <c r="G36" s="123">
        <f t="shared" si="5"/>
        <v>5.7358126529979208</v>
      </c>
      <c r="H36" s="124">
        <f t="shared" si="6"/>
        <v>30.376300000000001</v>
      </c>
      <c r="I36" s="124">
        <f t="shared" si="7"/>
        <v>14.212734879688799</v>
      </c>
      <c r="J36" s="124">
        <f t="shared" si="0"/>
        <v>18.2864869197637</v>
      </c>
      <c r="K36" s="86"/>
      <c r="L36" s="88" t="s">
        <v>25</v>
      </c>
      <c r="M36" s="178">
        <v>0.63630398328627102</v>
      </c>
      <c r="N36" s="178">
        <v>0.402864196746819</v>
      </c>
      <c r="O36" s="178">
        <v>5353.6824999999999</v>
      </c>
      <c r="P36" s="178">
        <v>309.76459963242098</v>
      </c>
      <c r="Q36" s="178">
        <v>0.30376300000000001</v>
      </c>
      <c r="R36" s="178">
        <v>0.14212734879688799</v>
      </c>
      <c r="S36" s="178">
        <v>0.182864869197637</v>
      </c>
    </row>
    <row r="37" spans="1:19">
      <c r="A37" s="88" t="str">
        <f t="shared" si="1"/>
        <v>TMS</v>
      </c>
      <c r="B37" s="88" t="s">
        <v>167</v>
      </c>
      <c r="C37" s="88" t="s">
        <v>26</v>
      </c>
      <c r="D37" s="121">
        <f t="shared" si="2"/>
        <v>63.469001238866696</v>
      </c>
      <c r="E37" s="122">
        <f t="shared" si="3"/>
        <v>42.607383912844298</v>
      </c>
      <c r="F37" s="123">
        <f t="shared" si="4"/>
        <v>15.49983254130953</v>
      </c>
      <c r="G37" s="123">
        <f t="shared" si="5"/>
        <v>5.7173958044817441</v>
      </c>
      <c r="H37" s="124">
        <f t="shared" si="6"/>
        <v>30.046499999999998</v>
      </c>
      <c r="I37" s="124">
        <f t="shared" si="7"/>
        <v>14.221257091584299</v>
      </c>
      <c r="J37" s="124">
        <f t="shared" si="0"/>
        <v>18.2864869197637</v>
      </c>
      <c r="K37" s="86"/>
      <c r="L37" s="88" t="s">
        <v>26</v>
      </c>
      <c r="M37" s="178">
        <v>0.63469001238866696</v>
      </c>
      <c r="N37" s="178">
        <v>0.42607383912844299</v>
      </c>
      <c r="O37" s="178">
        <v>5388.7960000000003</v>
      </c>
      <c r="P37" s="178">
        <v>304.11192393346698</v>
      </c>
      <c r="Q37" s="178">
        <v>0.30046499999999998</v>
      </c>
      <c r="R37" s="178">
        <v>0.142212570915843</v>
      </c>
      <c r="S37" s="178">
        <v>0.182864869197637</v>
      </c>
    </row>
    <row r="38" spans="1:19">
      <c r="A38" s="88" t="str">
        <f t="shared" si="1"/>
        <v>TMS</v>
      </c>
      <c r="B38" s="88" t="s">
        <v>197</v>
      </c>
      <c r="C38" s="88" t="s">
        <v>184</v>
      </c>
      <c r="D38" s="121">
        <f t="shared" si="2"/>
        <v>63.370896516053499</v>
      </c>
      <c r="E38" s="122">
        <f t="shared" si="3"/>
        <v>44.839149215262196</v>
      </c>
      <c r="F38" s="123">
        <f t="shared" si="4"/>
        <v>15.503693290025641</v>
      </c>
      <c r="G38" s="123">
        <f t="shared" si="5"/>
        <v>5.6608414100680413</v>
      </c>
      <c r="H38" s="124">
        <f t="shared" si="6"/>
        <v>30.046499999999998</v>
      </c>
      <c r="I38" s="124">
        <f t="shared" si="7"/>
        <v>14.221257091584299</v>
      </c>
      <c r="J38" s="124">
        <f t="shared" si="0"/>
        <v>18.2864869197637</v>
      </c>
      <c r="K38" s="86"/>
      <c r="L38" s="88" t="s">
        <v>184</v>
      </c>
      <c r="M38" s="178">
        <v>0.63370896516053499</v>
      </c>
      <c r="N38" s="178">
        <v>0.44839149215262197</v>
      </c>
      <c r="O38" s="178">
        <v>5409.6409999999996</v>
      </c>
      <c r="P38" s="178">
        <v>287.39035398988199</v>
      </c>
      <c r="Q38" s="178">
        <v>0.30046499999999998</v>
      </c>
      <c r="R38" s="178">
        <v>0.142212570915843</v>
      </c>
      <c r="S38" s="178">
        <v>0.182864869197637</v>
      </c>
    </row>
    <row r="39" spans="1:19">
      <c r="A39" s="88" t="str">
        <f t="shared" si="1"/>
        <v>WSH</v>
      </c>
      <c r="B39" s="88" t="s">
        <v>164</v>
      </c>
      <c r="C39" s="88" t="s">
        <v>27</v>
      </c>
      <c r="D39" s="121">
        <f t="shared" si="2"/>
        <v>84.872758377943597</v>
      </c>
      <c r="E39" s="122">
        <f t="shared" si="3"/>
        <v>38.124693908756605</v>
      </c>
      <c r="F39" s="123">
        <f t="shared" si="4"/>
        <v>14.118398680205985</v>
      </c>
      <c r="G39" s="123">
        <f t="shared" si="5"/>
        <v>6.0736865788329366</v>
      </c>
      <c r="H39" s="124">
        <f t="shared" si="6"/>
        <v>28.422199999999997</v>
      </c>
      <c r="I39" s="124">
        <f t="shared" si="7"/>
        <v>16.718571675669299</v>
      </c>
      <c r="J39" s="124">
        <f t="shared" si="0"/>
        <v>9.5180095976945509</v>
      </c>
      <c r="K39" s="86"/>
      <c r="L39" s="88" t="s">
        <v>27</v>
      </c>
      <c r="M39" s="178">
        <v>0.84872758377943602</v>
      </c>
      <c r="N39" s="178">
        <v>0.38124693908756602</v>
      </c>
      <c r="O39" s="178">
        <v>1353.7629999999999</v>
      </c>
      <c r="P39" s="178">
        <v>434.27873688511801</v>
      </c>
      <c r="Q39" s="178">
        <v>0.28422199999999997</v>
      </c>
      <c r="R39" s="178">
        <v>0.167185716756693</v>
      </c>
      <c r="S39" s="178">
        <v>9.5180095976945503E-2</v>
      </c>
    </row>
    <row r="40" spans="1:19">
      <c r="A40" s="88" t="str">
        <f t="shared" si="1"/>
        <v>WSH</v>
      </c>
      <c r="B40" s="88" t="s">
        <v>165</v>
      </c>
      <c r="C40" s="88" t="s">
        <v>28</v>
      </c>
      <c r="D40" s="121">
        <f t="shared" si="2"/>
        <v>85.876196437503211</v>
      </c>
      <c r="E40" s="122">
        <f t="shared" si="3"/>
        <v>39.860680283847799</v>
      </c>
      <c r="F40" s="123">
        <f t="shared" si="4"/>
        <v>14.114483852857234</v>
      </c>
      <c r="G40" s="123">
        <f t="shared" si="5"/>
        <v>6.0906091923072587</v>
      </c>
      <c r="H40" s="124">
        <f t="shared" si="6"/>
        <v>28.631099999999996</v>
      </c>
      <c r="I40" s="124">
        <f t="shared" si="7"/>
        <v>16.331800455385402</v>
      </c>
      <c r="J40" s="124">
        <f t="shared" si="0"/>
        <v>9.5180095976945509</v>
      </c>
      <c r="K40" s="86"/>
      <c r="L40" s="88" t="s">
        <v>28</v>
      </c>
      <c r="M40" s="178">
        <v>0.85876196437503205</v>
      </c>
      <c r="N40" s="178">
        <v>0.39860680283847799</v>
      </c>
      <c r="O40" s="178">
        <v>1348.4736118599201</v>
      </c>
      <c r="P40" s="178">
        <v>441.69040359964799</v>
      </c>
      <c r="Q40" s="178">
        <v>0.28631099999999998</v>
      </c>
      <c r="R40" s="178">
        <v>0.16331800455385401</v>
      </c>
      <c r="S40" s="178">
        <v>9.5180095976945503E-2</v>
      </c>
    </row>
    <row r="41" spans="1:19">
      <c r="A41" s="88" t="str">
        <f t="shared" si="1"/>
        <v>WSH</v>
      </c>
      <c r="B41" s="88" t="s">
        <v>166</v>
      </c>
      <c r="C41" s="88" t="s">
        <v>29</v>
      </c>
      <c r="D41" s="121">
        <f t="shared" si="2"/>
        <v>84.587853822429508</v>
      </c>
      <c r="E41" s="122">
        <f t="shared" si="3"/>
        <v>40.715595348322296</v>
      </c>
      <c r="F41" s="123">
        <f t="shared" si="4"/>
        <v>14.125981236413789</v>
      </c>
      <c r="G41" s="123">
        <f t="shared" si="5"/>
        <v>6.0482871767613693</v>
      </c>
      <c r="H41" s="124">
        <f t="shared" si="6"/>
        <v>28.510400000000004</v>
      </c>
      <c r="I41" s="124">
        <f t="shared" si="7"/>
        <v>16.1878566630071</v>
      </c>
      <c r="J41" s="124">
        <f t="shared" si="0"/>
        <v>9.5180095976945509</v>
      </c>
      <c r="K41" s="86"/>
      <c r="L41" s="88" t="s">
        <v>29</v>
      </c>
      <c r="M41" s="178">
        <v>0.84587853822429504</v>
      </c>
      <c r="N41" s="178">
        <v>0.40715595348322298</v>
      </c>
      <c r="O41" s="178">
        <v>1364.067</v>
      </c>
      <c r="P41" s="178">
        <v>423.38722115970597</v>
      </c>
      <c r="Q41" s="178">
        <v>0.28510400000000002</v>
      </c>
      <c r="R41" s="178">
        <v>0.161878566630071</v>
      </c>
      <c r="S41" s="178">
        <v>9.5180095976945503E-2</v>
      </c>
    </row>
    <row r="42" spans="1:19">
      <c r="A42" s="88" t="str">
        <f t="shared" si="1"/>
        <v>WSH</v>
      </c>
      <c r="B42" s="88" t="s">
        <v>167</v>
      </c>
      <c r="C42" s="88" t="s">
        <v>30</v>
      </c>
      <c r="D42" s="121">
        <f t="shared" si="2"/>
        <v>84.691214025682399</v>
      </c>
      <c r="E42" s="122">
        <f t="shared" si="3"/>
        <v>42.657200297031501</v>
      </c>
      <c r="F42" s="123">
        <f t="shared" si="4"/>
        <v>14.137829536652285</v>
      </c>
      <c r="G42" s="123">
        <f t="shared" si="5"/>
        <v>6.0173387880032951</v>
      </c>
      <c r="H42" s="124">
        <f t="shared" si="6"/>
        <v>27.984199999999998</v>
      </c>
      <c r="I42" s="124">
        <f t="shared" si="7"/>
        <v>15.7473898728237</v>
      </c>
      <c r="J42" s="124">
        <f t="shared" si="0"/>
        <v>9.5180095976945509</v>
      </c>
      <c r="K42" s="86"/>
      <c r="L42" s="88" t="s">
        <v>30</v>
      </c>
      <c r="M42" s="178">
        <v>0.84691214025682404</v>
      </c>
      <c r="N42" s="178">
        <v>0.426572002970315</v>
      </c>
      <c r="O42" s="178">
        <v>1380.325</v>
      </c>
      <c r="P42" s="178">
        <v>410.48475394811601</v>
      </c>
      <c r="Q42" s="178">
        <v>0.27984199999999998</v>
      </c>
      <c r="R42" s="178">
        <v>0.157473898728237</v>
      </c>
      <c r="S42" s="178">
        <v>9.5180095976945503E-2</v>
      </c>
    </row>
    <row r="43" spans="1:19">
      <c r="A43" s="88" t="str">
        <f t="shared" si="1"/>
        <v>WSH</v>
      </c>
      <c r="B43" s="88" t="s">
        <v>197</v>
      </c>
      <c r="C43" s="88" t="s">
        <v>185</v>
      </c>
      <c r="D43" s="121">
        <f t="shared" si="2"/>
        <v>84.611136287411</v>
      </c>
      <c r="E43" s="122">
        <f t="shared" si="3"/>
        <v>44.221823710520603</v>
      </c>
      <c r="F43" s="123">
        <f t="shared" si="4"/>
        <v>14.14654158947039</v>
      </c>
      <c r="G43" s="123">
        <f t="shared" si="5"/>
        <v>5.9955941782000659</v>
      </c>
      <c r="H43" s="124">
        <f t="shared" si="6"/>
        <v>27.984199999999998</v>
      </c>
      <c r="I43" s="124">
        <f t="shared" si="7"/>
        <v>15.7473898728237</v>
      </c>
      <c r="J43" s="124">
        <f t="shared" si="0"/>
        <v>9.5180095976945509</v>
      </c>
      <c r="K43" s="86"/>
      <c r="L43" s="88" t="s">
        <v>185</v>
      </c>
      <c r="M43" s="178">
        <v>0.84611136287411004</v>
      </c>
      <c r="N43" s="178">
        <v>0.44221823710520602</v>
      </c>
      <c r="O43" s="178">
        <v>1392.403</v>
      </c>
      <c r="P43" s="178">
        <v>401.655267907351</v>
      </c>
      <c r="Q43" s="178">
        <v>0.27984199999999998</v>
      </c>
      <c r="R43" s="178">
        <v>0.157473898728237</v>
      </c>
      <c r="S43" s="178">
        <v>9.5180095976945503E-2</v>
      </c>
    </row>
    <row r="44" spans="1:19">
      <c r="A44" s="88" t="str">
        <f t="shared" si="1"/>
        <v>WSX</v>
      </c>
      <c r="B44" s="88" t="s">
        <v>164</v>
      </c>
      <c r="C44" s="88" t="s">
        <v>31</v>
      </c>
      <c r="D44" s="121">
        <f t="shared" si="2"/>
        <v>43.385223294791601</v>
      </c>
      <c r="E44" s="122">
        <f t="shared" si="3"/>
        <v>50.762791273292997</v>
      </c>
      <c r="F44" s="123">
        <f t="shared" si="4"/>
        <v>13.938824934178196</v>
      </c>
      <c r="G44" s="123">
        <f t="shared" si="5"/>
        <v>5.9083297641230974</v>
      </c>
      <c r="H44" s="124">
        <f t="shared" si="6"/>
        <v>22.796600000000002</v>
      </c>
      <c r="I44" s="124">
        <f t="shared" si="7"/>
        <v>10.9691592855355</v>
      </c>
      <c r="J44" s="124">
        <f t="shared" si="0"/>
        <v>12.5150932073511</v>
      </c>
      <c r="K44" s="86"/>
      <c r="L44" s="88" t="s">
        <v>31</v>
      </c>
      <c r="M44" s="178">
        <v>0.43385223294791597</v>
      </c>
      <c r="N44" s="178">
        <v>0.50762791273292995</v>
      </c>
      <c r="O44" s="178">
        <v>1131.24</v>
      </c>
      <c r="P44" s="178">
        <v>368.090843161897</v>
      </c>
      <c r="Q44" s="178">
        <v>0.227966</v>
      </c>
      <c r="R44" s="178">
        <v>0.109691592855355</v>
      </c>
      <c r="S44" s="178">
        <v>0.125150932073511</v>
      </c>
    </row>
    <row r="45" spans="1:19">
      <c r="A45" s="88" t="str">
        <f t="shared" si="1"/>
        <v>WSX</v>
      </c>
      <c r="B45" s="88" t="s">
        <v>165</v>
      </c>
      <c r="C45" s="88" t="s">
        <v>32</v>
      </c>
      <c r="D45" s="121">
        <f t="shared" si="2"/>
        <v>43.452925376354102</v>
      </c>
      <c r="E45" s="122">
        <f t="shared" si="3"/>
        <v>52.886879367632197</v>
      </c>
      <c r="F45" s="123">
        <f t="shared" si="4"/>
        <v>13.94684491387016</v>
      </c>
      <c r="G45" s="123">
        <f t="shared" si="5"/>
        <v>5.9428488838256426</v>
      </c>
      <c r="H45" s="124">
        <f t="shared" si="6"/>
        <v>22.683199999999999</v>
      </c>
      <c r="I45" s="124">
        <f t="shared" si="7"/>
        <v>10.9724641753411</v>
      </c>
      <c r="J45" s="124">
        <f t="shared" si="0"/>
        <v>12.5150932073511</v>
      </c>
      <c r="K45" s="86"/>
      <c r="L45" s="88" t="s">
        <v>32</v>
      </c>
      <c r="M45" s="178">
        <v>0.43452925376354101</v>
      </c>
      <c r="N45" s="178">
        <v>0.528868793676322</v>
      </c>
      <c r="O45" s="178">
        <v>1140.3489999999999</v>
      </c>
      <c r="P45" s="178">
        <v>381.01886328124101</v>
      </c>
      <c r="Q45" s="178">
        <v>0.22683200000000001</v>
      </c>
      <c r="R45" s="178">
        <v>0.109724641753411</v>
      </c>
      <c r="S45" s="178">
        <v>0.125150932073511</v>
      </c>
    </row>
    <row r="46" spans="1:19">
      <c r="A46" s="88" t="str">
        <f t="shared" si="1"/>
        <v>WSX</v>
      </c>
      <c r="B46" s="88" t="s">
        <v>166</v>
      </c>
      <c r="C46" s="88" t="s">
        <v>33</v>
      </c>
      <c r="D46" s="121">
        <f t="shared" si="2"/>
        <v>42.919688370662001</v>
      </c>
      <c r="E46" s="122">
        <f t="shared" si="3"/>
        <v>55.486454214845601</v>
      </c>
      <c r="F46" s="123">
        <f t="shared" si="4"/>
        <v>13.975345338354733</v>
      </c>
      <c r="G46" s="123">
        <f t="shared" si="5"/>
        <v>5.8396779730108754</v>
      </c>
      <c r="H46" s="124">
        <f t="shared" si="6"/>
        <v>22.410499999999999</v>
      </c>
      <c r="I46" s="124">
        <f t="shared" si="7"/>
        <v>10.974492728303801</v>
      </c>
      <c r="J46" s="124">
        <f t="shared" si="0"/>
        <v>12.5150932073511</v>
      </c>
      <c r="K46" s="86"/>
      <c r="L46" s="88" t="s">
        <v>33</v>
      </c>
      <c r="M46" s="178">
        <v>0.42919688370662001</v>
      </c>
      <c r="N46" s="178">
        <v>0.55486454214845604</v>
      </c>
      <c r="O46" s="178">
        <v>1173.317</v>
      </c>
      <c r="P46" s="178">
        <v>343.66865226225201</v>
      </c>
      <c r="Q46" s="178">
        <v>0.224105</v>
      </c>
      <c r="R46" s="178">
        <v>0.109744927283038</v>
      </c>
      <c r="S46" s="178">
        <v>0.125150932073511</v>
      </c>
    </row>
    <row r="47" spans="1:19">
      <c r="A47" s="88" t="str">
        <f t="shared" si="1"/>
        <v>WSX</v>
      </c>
      <c r="B47" s="88" t="s">
        <v>167</v>
      </c>
      <c r="C47" s="88" t="s">
        <v>34</v>
      </c>
      <c r="D47" s="121">
        <f t="shared" si="2"/>
        <v>43.009264351283797</v>
      </c>
      <c r="E47" s="122">
        <f t="shared" si="3"/>
        <v>57.190659503363094</v>
      </c>
      <c r="F47" s="123">
        <f t="shared" si="4"/>
        <v>13.982676174869027</v>
      </c>
      <c r="G47" s="123">
        <f t="shared" si="5"/>
        <v>5.8320688634220925</v>
      </c>
      <c r="H47" s="124">
        <f t="shared" si="6"/>
        <v>21.5488999999999</v>
      </c>
      <c r="I47" s="124">
        <f t="shared" si="7"/>
        <v>10.973999387637599</v>
      </c>
      <c r="J47" s="124">
        <f t="shared" si="0"/>
        <v>12.5150932073511</v>
      </c>
      <c r="K47" s="86"/>
      <c r="L47" s="88" t="s">
        <v>34</v>
      </c>
      <c r="M47" s="178">
        <v>0.43009264351283799</v>
      </c>
      <c r="N47" s="178">
        <v>0.57190659503363095</v>
      </c>
      <c r="O47" s="178">
        <v>1181.95</v>
      </c>
      <c r="P47" s="178">
        <v>341.06356359675698</v>
      </c>
      <c r="Q47" s="178">
        <v>0.21548899999999899</v>
      </c>
      <c r="R47" s="178">
        <v>0.10973999387637599</v>
      </c>
      <c r="S47" s="178">
        <v>0.125150932073511</v>
      </c>
    </row>
    <row r="48" spans="1:19">
      <c r="A48" s="88" t="str">
        <f t="shared" si="1"/>
        <v>WSX</v>
      </c>
      <c r="B48" s="88" t="s">
        <v>197</v>
      </c>
      <c r="C48" s="88" t="s">
        <v>186</v>
      </c>
      <c r="D48" s="121">
        <f t="shared" si="2"/>
        <v>43.030071066995305</v>
      </c>
      <c r="E48" s="122">
        <f t="shared" si="3"/>
        <v>59.353992870638294</v>
      </c>
      <c r="F48" s="123">
        <f t="shared" si="4"/>
        <v>13.990648876969422</v>
      </c>
      <c r="G48" s="123">
        <f t="shared" si="5"/>
        <v>5.8308921284320929</v>
      </c>
      <c r="H48" s="124">
        <f t="shared" si="6"/>
        <v>21.5488999999999</v>
      </c>
      <c r="I48" s="124">
        <f t="shared" si="7"/>
        <v>10.973999387637599</v>
      </c>
      <c r="J48" s="124">
        <f t="shared" si="0"/>
        <v>12.5150932073511</v>
      </c>
      <c r="K48" s="86"/>
      <c r="L48" s="88" t="s">
        <v>186</v>
      </c>
      <c r="M48" s="178">
        <v>0.43030071066995301</v>
      </c>
      <c r="N48" s="178">
        <v>0.59353992870638295</v>
      </c>
      <c r="O48" s="178">
        <v>1191.4110000000001</v>
      </c>
      <c r="P48" s="178">
        <v>340.662458211314</v>
      </c>
      <c r="Q48" s="178">
        <v>0.21548899999999899</v>
      </c>
      <c r="R48" s="178">
        <v>0.10973999387637599</v>
      </c>
      <c r="S48" s="178">
        <v>0.125150932073511</v>
      </c>
    </row>
    <row r="49" spans="1:19">
      <c r="A49" s="88" t="str">
        <f t="shared" si="1"/>
        <v>YKY</v>
      </c>
      <c r="B49" s="88" t="s">
        <v>164</v>
      </c>
      <c r="C49" s="88" t="s">
        <v>35</v>
      </c>
      <c r="D49" s="121">
        <f t="shared" si="2"/>
        <v>89.748217738395994</v>
      </c>
      <c r="E49" s="122">
        <f t="shared" si="3"/>
        <v>45.262588519981499</v>
      </c>
      <c r="F49" s="123">
        <f t="shared" si="4"/>
        <v>14.561048555413551</v>
      </c>
      <c r="G49" s="123">
        <f t="shared" si="5"/>
        <v>5.9336244566674088</v>
      </c>
      <c r="H49" s="124">
        <f t="shared" si="6"/>
        <v>28.873100000000001</v>
      </c>
      <c r="I49" s="124">
        <f t="shared" si="7"/>
        <v>16.054488027424799</v>
      </c>
      <c r="J49" s="124">
        <f t="shared" si="0"/>
        <v>10.3633066017287</v>
      </c>
      <c r="K49" s="86"/>
      <c r="L49" s="88" t="s">
        <v>35</v>
      </c>
      <c r="M49" s="178">
        <v>0.89748217738395997</v>
      </c>
      <c r="N49" s="178">
        <v>0.452625885199815</v>
      </c>
      <c r="O49" s="178">
        <v>2107.5749999999998</v>
      </c>
      <c r="P49" s="178">
        <v>377.52034325994299</v>
      </c>
      <c r="Q49" s="178">
        <v>0.28873100000000002</v>
      </c>
      <c r="R49" s="178">
        <v>0.16054488027424799</v>
      </c>
      <c r="S49" s="178">
        <v>0.103633066017287</v>
      </c>
    </row>
    <row r="50" spans="1:19">
      <c r="A50" s="88" t="str">
        <f t="shared" si="1"/>
        <v>YKY</v>
      </c>
      <c r="B50" s="88" t="s">
        <v>165</v>
      </c>
      <c r="C50" s="88" t="s">
        <v>36</v>
      </c>
      <c r="D50" s="121">
        <f t="shared" si="2"/>
        <v>89.734173150222091</v>
      </c>
      <c r="E50" s="122">
        <f t="shared" si="3"/>
        <v>47.149768222644298</v>
      </c>
      <c r="F50" s="123">
        <f t="shared" si="4"/>
        <v>14.567353973914505</v>
      </c>
      <c r="G50" s="123">
        <f t="shared" si="5"/>
        <v>5.9681271009600616</v>
      </c>
      <c r="H50" s="124">
        <f t="shared" si="6"/>
        <v>29.082599999999996</v>
      </c>
      <c r="I50" s="124">
        <f t="shared" si="7"/>
        <v>16.057149066384898</v>
      </c>
      <c r="J50" s="124">
        <f t="shared" si="0"/>
        <v>10.3633066017287</v>
      </c>
      <c r="K50" s="86"/>
      <c r="L50" s="88" t="s">
        <v>36</v>
      </c>
      <c r="M50" s="178">
        <v>0.89734173150222096</v>
      </c>
      <c r="N50" s="178">
        <v>0.471497682226443</v>
      </c>
      <c r="O50" s="178">
        <v>2120.9061273972602</v>
      </c>
      <c r="P50" s="178">
        <v>390.77310637870198</v>
      </c>
      <c r="Q50" s="178">
        <v>0.29082599999999997</v>
      </c>
      <c r="R50" s="178">
        <v>0.16057149066384899</v>
      </c>
      <c r="S50" s="178">
        <v>0.103633066017287</v>
      </c>
    </row>
    <row r="51" spans="1:19">
      <c r="A51" s="88" t="str">
        <f t="shared" si="1"/>
        <v>YKY</v>
      </c>
      <c r="B51" s="88" t="s">
        <v>166</v>
      </c>
      <c r="C51" s="88" t="s">
        <v>37</v>
      </c>
      <c r="D51" s="121">
        <f t="shared" si="2"/>
        <v>89.657389938949393</v>
      </c>
      <c r="E51" s="122">
        <f t="shared" si="3"/>
        <v>48.976013311616001</v>
      </c>
      <c r="F51" s="123">
        <f t="shared" si="4"/>
        <v>14.573262663706993</v>
      </c>
      <c r="G51" s="123">
        <f t="shared" si="5"/>
        <v>5.8817237005015341</v>
      </c>
      <c r="H51" s="124">
        <f t="shared" si="6"/>
        <v>28.9072</v>
      </c>
      <c r="I51" s="124">
        <f t="shared" si="7"/>
        <v>16.057388465663099</v>
      </c>
      <c r="J51" s="124">
        <f t="shared" si="0"/>
        <v>10.3633066017287</v>
      </c>
      <c r="K51" s="86"/>
      <c r="L51" s="88" t="s">
        <v>37</v>
      </c>
      <c r="M51" s="178">
        <v>0.89657389938949394</v>
      </c>
      <c r="N51" s="178">
        <v>0.48976013311616001</v>
      </c>
      <c r="O51" s="178">
        <v>2133.4749999999999</v>
      </c>
      <c r="P51" s="178">
        <v>358.42652953507002</v>
      </c>
      <c r="Q51" s="178">
        <v>0.289072</v>
      </c>
      <c r="R51" s="178">
        <v>0.160573884656631</v>
      </c>
      <c r="S51" s="178">
        <v>0.103633066017287</v>
      </c>
    </row>
    <row r="52" spans="1:19">
      <c r="A52" s="88" t="str">
        <f t="shared" si="1"/>
        <v>YKY</v>
      </c>
      <c r="B52" s="88" t="s">
        <v>167</v>
      </c>
      <c r="C52" s="88" t="s">
        <v>38</v>
      </c>
      <c r="D52" s="121">
        <f t="shared" si="2"/>
        <v>89.717846786615993</v>
      </c>
      <c r="E52" s="122">
        <f t="shared" si="3"/>
        <v>50.8028964314408</v>
      </c>
      <c r="F52" s="123">
        <f t="shared" si="4"/>
        <v>14.582402578217126</v>
      </c>
      <c r="G52" s="123">
        <f t="shared" si="5"/>
        <v>5.8813536729634164</v>
      </c>
      <c r="H52" s="124">
        <f t="shared" si="6"/>
        <v>28.269699999999997</v>
      </c>
      <c r="I52" s="124">
        <f t="shared" si="7"/>
        <v>16.058658878283499</v>
      </c>
      <c r="J52" s="124">
        <f t="shared" si="0"/>
        <v>10.3633066017287</v>
      </c>
      <c r="K52" s="86"/>
      <c r="L52" s="88" t="s">
        <v>38</v>
      </c>
      <c r="M52" s="178">
        <v>0.89717846786615996</v>
      </c>
      <c r="N52" s="178">
        <v>0.50802896431440803</v>
      </c>
      <c r="O52" s="178">
        <v>2153.0641643835602</v>
      </c>
      <c r="P52" s="178">
        <v>358.29392638367199</v>
      </c>
      <c r="Q52" s="178">
        <v>0.28269699999999998</v>
      </c>
      <c r="R52" s="178">
        <v>0.16058658878283499</v>
      </c>
      <c r="S52" s="178">
        <v>0.103633066017287</v>
      </c>
    </row>
    <row r="53" spans="1:19">
      <c r="A53" s="88" t="str">
        <f t="shared" si="1"/>
        <v>YKY</v>
      </c>
      <c r="B53" s="88" t="s">
        <v>197</v>
      </c>
      <c r="C53" s="88" t="s">
        <v>187</v>
      </c>
      <c r="D53" s="121">
        <f t="shared" si="2"/>
        <v>89.922651790779199</v>
      </c>
      <c r="E53" s="122">
        <f t="shared" si="3"/>
        <v>52.454364371781402</v>
      </c>
      <c r="F53" s="123">
        <f t="shared" si="4"/>
        <v>14.587818210988848</v>
      </c>
      <c r="G53" s="123">
        <f t="shared" si="5"/>
        <v>5.8715849394162323</v>
      </c>
      <c r="H53" s="124">
        <f t="shared" si="6"/>
        <v>28.269699999999997</v>
      </c>
      <c r="I53" s="124">
        <f t="shared" si="7"/>
        <v>16.058658878283499</v>
      </c>
      <c r="J53" s="124">
        <f t="shared" si="0"/>
        <v>10.3633066017287</v>
      </c>
      <c r="K53" s="86"/>
      <c r="L53" s="88" t="s">
        <v>187</v>
      </c>
      <c r="M53" s="178">
        <v>0.89922651790779196</v>
      </c>
      <c r="N53" s="178">
        <v>0.52454364371781403</v>
      </c>
      <c r="O53" s="178">
        <v>2164.7559999999999</v>
      </c>
      <c r="P53" s="178">
        <v>354.81088861747003</v>
      </c>
      <c r="Q53" s="178">
        <v>0.28269699999999998</v>
      </c>
      <c r="R53" s="178">
        <v>0.16058658878283499</v>
      </c>
      <c r="S53" s="178">
        <v>0.103633066017287</v>
      </c>
    </row>
    <row r="54" spans="1:19">
      <c r="A54" s="88" t="str">
        <f t="shared" si="1"/>
        <v>AFW</v>
      </c>
      <c r="B54" s="88" t="s">
        <v>164</v>
      </c>
      <c r="C54" s="88" t="s">
        <v>55</v>
      </c>
      <c r="D54" s="121">
        <f t="shared" si="2"/>
        <v>0</v>
      </c>
      <c r="E54" s="122">
        <f t="shared" si="3"/>
        <v>48.046832952601896</v>
      </c>
      <c r="F54" s="123">
        <f t="shared" si="4"/>
        <v>14.106519091604191</v>
      </c>
      <c r="G54" s="123">
        <f t="shared" si="5"/>
        <v>5.2316481473559442</v>
      </c>
      <c r="H54" s="124">
        <f t="shared" si="6"/>
        <v>28.3536</v>
      </c>
      <c r="I54" s="124">
        <f t="shared" si="7"/>
        <v>12.335341394246301</v>
      </c>
      <c r="J54" s="124">
        <f t="shared" si="0"/>
        <v>15.6696249375858</v>
      </c>
      <c r="K54" s="86"/>
      <c r="L54" s="88" t="s">
        <v>55</v>
      </c>
      <c r="M54" s="178">
        <v>0</v>
      </c>
      <c r="N54" s="178">
        <v>0.48046832952601898</v>
      </c>
      <c r="O54" s="178">
        <v>1337.7760000000001</v>
      </c>
      <c r="P54" s="178">
        <v>187.10091942586001</v>
      </c>
      <c r="Q54" s="178">
        <v>0.28353600000000001</v>
      </c>
      <c r="R54" s="178">
        <v>0.12335341394246301</v>
      </c>
      <c r="S54" s="178">
        <v>0.15669624937585799</v>
      </c>
    </row>
    <row r="55" spans="1:19">
      <c r="A55" s="88" t="str">
        <f t="shared" si="1"/>
        <v>AFW</v>
      </c>
      <c r="B55" s="88" t="s">
        <v>165</v>
      </c>
      <c r="C55" s="88" t="s">
        <v>56</v>
      </c>
      <c r="D55" s="121">
        <f t="shared" si="2"/>
        <v>0</v>
      </c>
      <c r="E55" s="122">
        <f t="shared" si="3"/>
        <v>49.1104249155646</v>
      </c>
      <c r="F55" s="123">
        <f t="shared" si="4"/>
        <v>14.108238379188242</v>
      </c>
      <c r="G55" s="123">
        <f t="shared" si="5"/>
        <v>5.2241718815665541</v>
      </c>
      <c r="H55" s="124">
        <f t="shared" si="6"/>
        <v>28.1965</v>
      </c>
      <c r="I55" s="124">
        <f t="shared" si="7"/>
        <v>12.336138295783499</v>
      </c>
      <c r="J55" s="124">
        <f t="shared" si="0"/>
        <v>15.6696249375858</v>
      </c>
      <c r="K55" s="86"/>
      <c r="L55" s="88" t="s">
        <v>56</v>
      </c>
      <c r="M55" s="178">
        <v>0</v>
      </c>
      <c r="N55" s="178">
        <v>0.49110424915564599</v>
      </c>
      <c r="O55" s="178">
        <v>1340.078</v>
      </c>
      <c r="P55" s="178">
        <v>185.70731917694101</v>
      </c>
      <c r="Q55" s="178">
        <v>0.28196500000000002</v>
      </c>
      <c r="R55" s="178">
        <v>0.123361382957835</v>
      </c>
      <c r="S55" s="178">
        <v>0.15669624937585799</v>
      </c>
    </row>
    <row r="56" spans="1:19">
      <c r="A56" s="88" t="str">
        <f t="shared" si="1"/>
        <v>AFW</v>
      </c>
      <c r="B56" s="88" t="s">
        <v>166</v>
      </c>
      <c r="C56" s="88" t="s">
        <v>57</v>
      </c>
      <c r="D56" s="121">
        <f t="shared" si="2"/>
        <v>0</v>
      </c>
      <c r="E56" s="122">
        <f t="shared" si="3"/>
        <v>50.014114284101197</v>
      </c>
      <c r="F56" s="123">
        <f t="shared" si="4"/>
        <v>14.112762195717913</v>
      </c>
      <c r="G56" s="123">
        <f t="shared" si="5"/>
        <v>5.1992902921967756</v>
      </c>
      <c r="H56" s="124">
        <f t="shared" si="6"/>
        <v>27.837600000000002</v>
      </c>
      <c r="I56" s="124">
        <f t="shared" si="7"/>
        <v>12.3362858922049</v>
      </c>
      <c r="J56" s="124">
        <f t="shared" si="0"/>
        <v>15.6696249375858</v>
      </c>
      <c r="K56" s="86"/>
      <c r="L56" s="88" t="s">
        <v>57</v>
      </c>
      <c r="M56" s="178">
        <v>0</v>
      </c>
      <c r="N56" s="178">
        <v>0.50014114284101197</v>
      </c>
      <c r="O56" s="178">
        <v>1346.154</v>
      </c>
      <c r="P56" s="178">
        <v>181.14363719185599</v>
      </c>
      <c r="Q56" s="178">
        <v>0.27837600000000001</v>
      </c>
      <c r="R56" s="178">
        <v>0.123362858922049</v>
      </c>
      <c r="S56" s="178">
        <v>0.15669624937585799</v>
      </c>
    </row>
    <row r="57" spans="1:19">
      <c r="A57" s="88" t="str">
        <f t="shared" si="1"/>
        <v>AFW</v>
      </c>
      <c r="B57" s="88" t="s">
        <v>167</v>
      </c>
      <c r="C57" s="88" t="s">
        <v>58</v>
      </c>
      <c r="D57" s="121">
        <f t="shared" si="2"/>
        <v>0</v>
      </c>
      <c r="E57" s="122">
        <f t="shared" si="3"/>
        <v>51.415881374926897</v>
      </c>
      <c r="F57" s="123">
        <f t="shared" si="4"/>
        <v>14.121592804145576</v>
      </c>
      <c r="G57" s="123">
        <f t="shared" si="5"/>
        <v>5.2048378540881863</v>
      </c>
      <c r="H57" s="124">
        <f t="shared" si="6"/>
        <v>26.967799999999997</v>
      </c>
      <c r="I57" s="124">
        <f t="shared" si="7"/>
        <v>12.3337921749256</v>
      </c>
      <c r="J57" s="124">
        <f t="shared" si="0"/>
        <v>15.6696249375858</v>
      </c>
      <c r="K57" s="86"/>
      <c r="L57" s="88" t="s">
        <v>58</v>
      </c>
      <c r="M57" s="178">
        <v>0</v>
      </c>
      <c r="N57" s="178">
        <v>0.51415881374926897</v>
      </c>
      <c r="O57" s="178">
        <v>1358.0940000000001</v>
      </c>
      <c r="P57" s="178">
        <v>182.151335279807</v>
      </c>
      <c r="Q57" s="178">
        <v>0.26967799999999997</v>
      </c>
      <c r="R57" s="178">
        <v>0.12333792174925599</v>
      </c>
      <c r="S57" s="178">
        <v>0.15669624937585799</v>
      </c>
    </row>
    <row r="58" spans="1:19">
      <c r="A58" s="88" t="str">
        <f t="shared" si="1"/>
        <v>AFW</v>
      </c>
      <c r="B58" s="88" t="s">
        <v>197</v>
      </c>
      <c r="C58" s="88" t="s">
        <v>188</v>
      </c>
      <c r="D58" s="121">
        <f t="shared" si="2"/>
        <v>0</v>
      </c>
      <c r="E58" s="122">
        <f t="shared" si="3"/>
        <v>53.320469658484804</v>
      </c>
      <c r="F58" s="123">
        <f t="shared" si="4"/>
        <v>14.126346987326839</v>
      </c>
      <c r="G58" s="123">
        <f t="shared" si="5"/>
        <v>5.1868767293946396</v>
      </c>
      <c r="H58" s="124">
        <f t="shared" si="6"/>
        <v>26.967799999999997</v>
      </c>
      <c r="I58" s="124">
        <f t="shared" si="7"/>
        <v>12.3337921749256</v>
      </c>
      <c r="J58" s="124">
        <f t="shared" si="0"/>
        <v>15.6696249375858</v>
      </c>
      <c r="K58" s="86"/>
      <c r="L58" s="88" t="s">
        <v>188</v>
      </c>
      <c r="M58" s="178">
        <v>0</v>
      </c>
      <c r="N58" s="178">
        <v>0.53320469658484804</v>
      </c>
      <c r="O58" s="178">
        <v>1364.566</v>
      </c>
      <c r="P58" s="178">
        <v>178.908898506925</v>
      </c>
      <c r="Q58" s="178">
        <v>0.26967799999999997</v>
      </c>
      <c r="R58" s="178">
        <v>0.12333792174925599</v>
      </c>
      <c r="S58" s="178">
        <v>0.15669624937585799</v>
      </c>
    </row>
    <row r="59" spans="1:19">
      <c r="A59" s="88" t="str">
        <f t="shared" si="1"/>
        <v>BRL</v>
      </c>
      <c r="B59" s="88" t="s">
        <v>164</v>
      </c>
      <c r="C59" s="88" t="s">
        <v>59</v>
      </c>
      <c r="D59" s="121">
        <f t="shared" si="2"/>
        <v>0</v>
      </c>
      <c r="E59" s="122">
        <f t="shared" si="3"/>
        <v>42.221282891260699</v>
      </c>
      <c r="F59" s="123">
        <f t="shared" si="4"/>
        <v>13.067167741936379</v>
      </c>
      <c r="G59" s="123">
        <f t="shared" si="5"/>
        <v>5.3489326507237651</v>
      </c>
      <c r="H59" s="124">
        <f t="shared" si="6"/>
        <v>24.5383</v>
      </c>
      <c r="I59" s="124">
        <f t="shared" si="7"/>
        <v>12.570917893750899</v>
      </c>
      <c r="J59" s="124">
        <f t="shared" si="0"/>
        <v>15.1424486403534</v>
      </c>
      <c r="K59" s="86"/>
      <c r="L59" s="88" t="s">
        <v>59</v>
      </c>
      <c r="M59" s="178">
        <v>0</v>
      </c>
      <c r="N59" s="178">
        <v>0.42221282891260697</v>
      </c>
      <c r="O59" s="178">
        <v>473.15</v>
      </c>
      <c r="P59" s="178">
        <v>210.38362517582399</v>
      </c>
      <c r="Q59" s="178">
        <v>0.24538299999999999</v>
      </c>
      <c r="R59" s="178">
        <v>0.12570917893750899</v>
      </c>
      <c r="S59" s="178">
        <v>0.15142448640353401</v>
      </c>
    </row>
    <row r="60" spans="1:19">
      <c r="A60" s="88" t="str">
        <f t="shared" si="1"/>
        <v>BRL</v>
      </c>
      <c r="B60" s="88" t="s">
        <v>165</v>
      </c>
      <c r="C60" s="88" t="s">
        <v>60</v>
      </c>
      <c r="D60" s="121">
        <f t="shared" si="2"/>
        <v>0</v>
      </c>
      <c r="E60" s="122">
        <f t="shared" si="3"/>
        <v>44.620786870390297</v>
      </c>
      <c r="F60" s="123">
        <f t="shared" si="4"/>
        <v>13.074692986055235</v>
      </c>
      <c r="G60" s="123">
        <f t="shared" si="5"/>
        <v>5.4041442091470095</v>
      </c>
      <c r="H60" s="124">
        <f t="shared" si="6"/>
        <v>24.408300000000001</v>
      </c>
      <c r="I60" s="124">
        <f t="shared" si="7"/>
        <v>12.576792450127201</v>
      </c>
      <c r="J60" s="124">
        <f t="shared" si="0"/>
        <v>15.1424486403534</v>
      </c>
      <c r="K60" s="86"/>
      <c r="L60" s="88" t="s">
        <v>60</v>
      </c>
      <c r="M60" s="178">
        <v>0</v>
      </c>
      <c r="N60" s="178">
        <v>0.446207868703903</v>
      </c>
      <c r="O60" s="178">
        <v>476.72399999999999</v>
      </c>
      <c r="P60" s="178">
        <v>222.32587459743499</v>
      </c>
      <c r="Q60" s="178">
        <v>0.24408299999999999</v>
      </c>
      <c r="R60" s="178">
        <v>0.125767924501272</v>
      </c>
      <c r="S60" s="178">
        <v>0.15142448640353401</v>
      </c>
    </row>
    <row r="61" spans="1:19">
      <c r="A61" s="88" t="str">
        <f t="shared" si="1"/>
        <v>BRL</v>
      </c>
      <c r="B61" s="88" t="s">
        <v>166</v>
      </c>
      <c r="C61" s="88" t="s">
        <v>61</v>
      </c>
      <c r="D61" s="121">
        <f t="shared" si="2"/>
        <v>0</v>
      </c>
      <c r="E61" s="122">
        <f t="shared" si="3"/>
        <v>46.621967086366098</v>
      </c>
      <c r="F61" s="123">
        <f t="shared" si="4"/>
        <v>13.083909410226209</v>
      </c>
      <c r="G61" s="123">
        <f t="shared" si="5"/>
        <v>5.1901215179702564</v>
      </c>
      <c r="H61" s="124">
        <f t="shared" si="6"/>
        <v>24.100099999999898</v>
      </c>
      <c r="I61" s="124">
        <f t="shared" si="7"/>
        <v>12.578621097565302</v>
      </c>
      <c r="J61" s="124">
        <f t="shared" si="0"/>
        <v>15.1424486403534</v>
      </c>
      <c r="K61" s="86"/>
      <c r="L61" s="88" t="s">
        <v>61</v>
      </c>
      <c r="M61" s="178">
        <v>0</v>
      </c>
      <c r="N61" s="178">
        <v>0.46621967086366101</v>
      </c>
      <c r="O61" s="178">
        <v>481.13799999999998</v>
      </c>
      <c r="P61" s="178">
        <v>179.490362911235</v>
      </c>
      <c r="Q61" s="178">
        <v>0.24100099999999899</v>
      </c>
      <c r="R61" s="178">
        <v>0.12578621097565301</v>
      </c>
      <c r="S61" s="178">
        <v>0.15142448640353401</v>
      </c>
    </row>
    <row r="62" spans="1:19">
      <c r="A62" s="88" t="str">
        <f t="shared" si="1"/>
        <v>BRL</v>
      </c>
      <c r="B62" s="88" t="s">
        <v>167</v>
      </c>
      <c r="C62" s="88" t="s">
        <v>62</v>
      </c>
      <c r="D62" s="121">
        <f t="shared" si="2"/>
        <v>0</v>
      </c>
      <c r="E62" s="122">
        <f t="shared" si="3"/>
        <v>48.4405373614808</v>
      </c>
      <c r="F62" s="123">
        <f t="shared" si="4"/>
        <v>13.091058451575913</v>
      </c>
      <c r="G62" s="123">
        <f t="shared" si="5"/>
        <v>5.1632168774993934</v>
      </c>
      <c r="H62" s="124">
        <f t="shared" si="6"/>
        <v>23.167400000000001</v>
      </c>
      <c r="I62" s="124">
        <f t="shared" si="7"/>
        <v>12.5774820528717</v>
      </c>
      <c r="J62" s="124">
        <f t="shared" si="0"/>
        <v>15.1424486403534</v>
      </c>
      <c r="K62" s="86"/>
      <c r="L62" s="88" t="s">
        <v>62</v>
      </c>
      <c r="M62" s="178">
        <v>0</v>
      </c>
      <c r="N62" s="178">
        <v>0.48440537361480801</v>
      </c>
      <c r="O62" s="178">
        <v>484.59</v>
      </c>
      <c r="P62" s="178">
        <v>174.72562344370999</v>
      </c>
      <c r="Q62" s="178">
        <v>0.23167399999999999</v>
      </c>
      <c r="R62" s="178">
        <v>0.125774820528717</v>
      </c>
      <c r="S62" s="178">
        <v>0.15142448640353401</v>
      </c>
    </row>
    <row r="63" spans="1:19">
      <c r="A63" s="88" t="str">
        <f t="shared" si="1"/>
        <v>BRL</v>
      </c>
      <c r="B63" s="88" t="s">
        <v>197</v>
      </c>
      <c r="C63" s="88" t="s">
        <v>189</v>
      </c>
      <c r="D63" s="121">
        <f t="shared" si="2"/>
        <v>0</v>
      </c>
      <c r="E63" s="122">
        <f t="shared" si="3"/>
        <v>51.058362502678797</v>
      </c>
      <c r="F63" s="123">
        <f t="shared" si="4"/>
        <v>13.102068829134865</v>
      </c>
      <c r="G63" s="123">
        <f t="shared" si="5"/>
        <v>5.1743026490211008</v>
      </c>
      <c r="H63" s="124">
        <f t="shared" si="6"/>
        <v>23.167400000000001</v>
      </c>
      <c r="I63" s="124">
        <f t="shared" si="7"/>
        <v>12.5774820528717</v>
      </c>
      <c r="J63" s="124">
        <f t="shared" si="0"/>
        <v>15.1424486403534</v>
      </c>
      <c r="K63" s="86"/>
      <c r="L63" s="88" t="s">
        <v>189</v>
      </c>
      <c r="M63" s="178">
        <v>0</v>
      </c>
      <c r="N63" s="178">
        <v>0.510583625026788</v>
      </c>
      <c r="O63" s="178">
        <v>489.95499999999998</v>
      </c>
      <c r="P63" s="178">
        <v>176.67336796236401</v>
      </c>
      <c r="Q63" s="178">
        <v>0.23167399999999999</v>
      </c>
      <c r="R63" s="178">
        <v>0.125774820528717</v>
      </c>
      <c r="S63" s="178">
        <v>0.15142448640353401</v>
      </c>
    </row>
    <row r="64" spans="1:19">
      <c r="A64" s="88" t="str">
        <f t="shared" si="1"/>
        <v>DVW</v>
      </c>
      <c r="B64" s="88" t="s">
        <v>164</v>
      </c>
      <c r="C64" s="88" t="s">
        <v>63</v>
      </c>
      <c r="D64" s="121">
        <f t="shared" si="2"/>
        <v>0</v>
      </c>
      <c r="E64" s="122">
        <f t="shared" si="3"/>
        <v>56.037315339282401</v>
      </c>
      <c r="F64" s="123">
        <f t="shared" si="4"/>
        <v>11.639725502774688</v>
      </c>
      <c r="G64" s="123">
        <f t="shared" si="5"/>
        <v>5.053634307502092</v>
      </c>
      <c r="H64" s="124">
        <f t="shared" si="6"/>
        <v>26.901599999999998</v>
      </c>
      <c r="I64" s="124">
        <f t="shared" si="7"/>
        <v>14.4306114910628</v>
      </c>
      <c r="J64" s="124">
        <f t="shared" si="0"/>
        <v>8.7605364305305891</v>
      </c>
      <c r="K64" s="86"/>
      <c r="L64" s="88" t="s">
        <v>63</v>
      </c>
      <c r="M64" s="178">
        <v>0</v>
      </c>
      <c r="N64" s="178">
        <v>0.56037315339282401</v>
      </c>
      <c r="O64" s="178">
        <v>113.51900000000001</v>
      </c>
      <c r="P64" s="178">
        <v>156.590529736213</v>
      </c>
      <c r="Q64" s="178">
        <v>0.26901599999999998</v>
      </c>
      <c r="R64" s="178">
        <v>0.144306114910628</v>
      </c>
      <c r="S64" s="178">
        <v>8.7605364305305897E-2</v>
      </c>
    </row>
    <row r="65" spans="1:19">
      <c r="A65" s="88" t="str">
        <f t="shared" si="1"/>
        <v>DVW</v>
      </c>
      <c r="B65" s="88" t="s">
        <v>165</v>
      </c>
      <c r="C65" s="88" t="s">
        <v>64</v>
      </c>
      <c r="D65" s="121">
        <f t="shared" si="2"/>
        <v>0</v>
      </c>
      <c r="E65" s="122">
        <f t="shared" si="3"/>
        <v>57.842567650838902</v>
      </c>
      <c r="F65" s="123">
        <f t="shared" si="4"/>
        <v>11.640421179480404</v>
      </c>
      <c r="G65" s="123">
        <f t="shared" si="5"/>
        <v>5.0689563153386468</v>
      </c>
      <c r="H65" s="124">
        <f t="shared" si="6"/>
        <v>27.217300000000002</v>
      </c>
      <c r="I65" s="124">
        <f t="shared" si="7"/>
        <v>14.303117836057201</v>
      </c>
      <c r="J65" s="124">
        <f t="shared" si="0"/>
        <v>8.7605364305305891</v>
      </c>
      <c r="K65" s="86"/>
      <c r="L65" s="88" t="s">
        <v>64</v>
      </c>
      <c r="M65" s="178">
        <v>0</v>
      </c>
      <c r="N65" s="178">
        <v>0.57842567650838905</v>
      </c>
      <c r="O65" s="178">
        <v>113.598</v>
      </c>
      <c r="P65" s="178">
        <v>159.00828620173601</v>
      </c>
      <c r="Q65" s="178">
        <v>0.272173</v>
      </c>
      <c r="R65" s="178">
        <v>0.143031178360572</v>
      </c>
      <c r="S65" s="178">
        <v>8.7605364305305897E-2</v>
      </c>
    </row>
    <row r="66" spans="1:19">
      <c r="A66" s="88" t="str">
        <f t="shared" si="1"/>
        <v>DVW</v>
      </c>
      <c r="B66" s="88" t="s">
        <v>166</v>
      </c>
      <c r="C66" s="88" t="s">
        <v>65</v>
      </c>
      <c r="D66" s="121">
        <f t="shared" si="2"/>
        <v>0</v>
      </c>
      <c r="E66" s="122">
        <f t="shared" si="3"/>
        <v>58.502316862731398</v>
      </c>
      <c r="F66" s="123">
        <f t="shared" si="4"/>
        <v>11.645382530712231</v>
      </c>
      <c r="G66" s="123">
        <f t="shared" si="5"/>
        <v>4.9844918787453656</v>
      </c>
      <c r="H66" s="124">
        <f t="shared" si="6"/>
        <v>27.014399999999998</v>
      </c>
      <c r="I66" s="124">
        <f t="shared" si="7"/>
        <v>13.771657851149399</v>
      </c>
      <c r="J66" s="124">
        <f t="shared" si="0"/>
        <v>8.7605364305305891</v>
      </c>
      <c r="K66" s="86"/>
      <c r="L66" s="88" t="s">
        <v>65</v>
      </c>
      <c r="M66" s="178">
        <v>0</v>
      </c>
      <c r="N66" s="178">
        <v>0.58502316862731396</v>
      </c>
      <c r="O66" s="178">
        <v>114.163</v>
      </c>
      <c r="P66" s="178">
        <v>146.129304752933</v>
      </c>
      <c r="Q66" s="178">
        <v>0.270144</v>
      </c>
      <c r="R66" s="178">
        <v>0.13771657851149399</v>
      </c>
      <c r="S66" s="178">
        <v>8.7605364305305897E-2</v>
      </c>
    </row>
    <row r="67" spans="1:19">
      <c r="A67" s="88" t="str">
        <f t="shared" si="1"/>
        <v>DVW</v>
      </c>
      <c r="B67" s="88" t="s">
        <v>167</v>
      </c>
      <c r="C67" s="88" t="s">
        <v>66</v>
      </c>
      <c r="D67" s="121">
        <f t="shared" si="2"/>
        <v>0</v>
      </c>
      <c r="E67" s="122">
        <f t="shared" si="3"/>
        <v>59.894143167028204</v>
      </c>
      <c r="F67" s="123">
        <f t="shared" si="4"/>
        <v>11.654858960858896</v>
      </c>
      <c r="G67" s="123">
        <f t="shared" si="5"/>
        <v>5.0115983917470226</v>
      </c>
      <c r="H67" s="124">
        <f t="shared" si="6"/>
        <v>26.331500000000002</v>
      </c>
      <c r="I67" s="124">
        <f t="shared" si="7"/>
        <v>13.768395221218899</v>
      </c>
      <c r="J67" s="124">
        <f t="shared" si="0"/>
        <v>8.7605364305305891</v>
      </c>
      <c r="K67" s="86"/>
      <c r="L67" s="88" t="s">
        <v>66</v>
      </c>
      <c r="M67" s="178">
        <v>0</v>
      </c>
      <c r="N67" s="178">
        <v>0.59894143167028202</v>
      </c>
      <c r="O67" s="178">
        <v>115.25</v>
      </c>
      <c r="P67" s="178">
        <v>150.14453423673501</v>
      </c>
      <c r="Q67" s="178">
        <v>0.26331500000000002</v>
      </c>
      <c r="R67" s="178">
        <v>0.13768395221218899</v>
      </c>
      <c r="S67" s="178">
        <v>8.7605364305305897E-2</v>
      </c>
    </row>
    <row r="68" spans="1:19">
      <c r="A68" s="88" t="str">
        <f t="shared" si="1"/>
        <v>DVW</v>
      </c>
      <c r="B68" s="88" t="s">
        <v>197</v>
      </c>
      <c r="C68" s="88" t="s">
        <v>190</v>
      </c>
      <c r="D68" s="121">
        <f t="shared" si="2"/>
        <v>0</v>
      </c>
      <c r="E68" s="122">
        <f t="shared" si="3"/>
        <v>61.497657223917798</v>
      </c>
      <c r="F68" s="123">
        <f t="shared" si="4"/>
        <v>11.664057306974144</v>
      </c>
      <c r="G68" s="123">
        <f t="shared" si="5"/>
        <v>5.0171907279279315</v>
      </c>
      <c r="H68" s="124">
        <f t="shared" si="6"/>
        <v>26.331500000000002</v>
      </c>
      <c r="I68" s="124">
        <f t="shared" si="7"/>
        <v>13.768395221218899</v>
      </c>
      <c r="J68" s="124">
        <f t="shared" si="0"/>
        <v>8.7605364305305891</v>
      </c>
      <c r="K68" s="86"/>
      <c r="L68" s="88" t="s">
        <v>190</v>
      </c>
      <c r="M68" s="178">
        <v>0</v>
      </c>
      <c r="N68" s="178">
        <v>0.61497657223917801</v>
      </c>
      <c r="O68" s="178">
        <v>116.315</v>
      </c>
      <c r="P68" s="178">
        <v>150.986545157546</v>
      </c>
      <c r="Q68" s="178">
        <v>0.26331500000000002</v>
      </c>
      <c r="R68" s="178">
        <v>0.13768395221218899</v>
      </c>
      <c r="S68" s="178">
        <v>8.7605364305305897E-2</v>
      </c>
    </row>
    <row r="69" spans="1:19">
      <c r="A69" s="88" t="str">
        <f t="shared" si="1"/>
        <v>PRT</v>
      </c>
      <c r="B69" s="88" t="s">
        <v>164</v>
      </c>
      <c r="C69" s="88" t="s">
        <v>67</v>
      </c>
      <c r="D69" s="121">
        <f t="shared" si="2"/>
        <v>0</v>
      </c>
      <c r="E69" s="122">
        <f t="shared" si="3"/>
        <v>23.398355157815502</v>
      </c>
      <c r="F69" s="123">
        <f t="shared" si="4"/>
        <v>12.557296257923895</v>
      </c>
      <c r="G69" s="123">
        <f t="shared" si="5"/>
        <v>4.6205529286880811</v>
      </c>
      <c r="H69" s="124">
        <f t="shared" si="6"/>
        <v>28.004899999999999</v>
      </c>
      <c r="I69" s="124">
        <f t="shared" si="7"/>
        <v>11.6661795338037</v>
      </c>
      <c r="J69" s="124">
        <f t="shared" si="0"/>
        <v>13.986830994174701</v>
      </c>
      <c r="K69" s="86"/>
      <c r="L69" s="88" t="s">
        <v>67</v>
      </c>
      <c r="M69" s="178">
        <v>0</v>
      </c>
      <c r="N69" s="178">
        <v>0.23398355157815501</v>
      </c>
      <c r="O69" s="178">
        <v>284.161</v>
      </c>
      <c r="P69" s="178">
        <v>101.550166609331</v>
      </c>
      <c r="Q69" s="178">
        <v>0.28004899999999999</v>
      </c>
      <c r="R69" s="178">
        <v>0.116661795338037</v>
      </c>
      <c r="S69" s="178">
        <v>0.13986830994174701</v>
      </c>
    </row>
    <row r="70" spans="1:19">
      <c r="A70" s="88" t="str">
        <f t="shared" si="1"/>
        <v>PRT</v>
      </c>
      <c r="B70" s="88" t="s">
        <v>165</v>
      </c>
      <c r="C70" s="88" t="s">
        <v>68</v>
      </c>
      <c r="D70" s="121">
        <f t="shared" ref="D70:D93" si="8">$M70 * 100</f>
        <v>0</v>
      </c>
      <c r="E70" s="122">
        <f t="shared" ref="E70:E93" si="9">$N70 * 100</f>
        <v>25.319742316561499</v>
      </c>
      <c r="F70" s="123">
        <f t="shared" si="4"/>
        <v>12.562967065382306</v>
      </c>
      <c r="G70" s="123">
        <f t="shared" si="5"/>
        <v>4.6372893295036581</v>
      </c>
      <c r="H70" s="124">
        <f t="shared" ref="H70:H93" si="10" xml:space="preserve"> $Q70 * 100</f>
        <v>27.8508</v>
      </c>
      <c r="I70" s="124">
        <f t="shared" ref="I70:I93" si="11" xml:space="preserve"> $R70 * 100</f>
        <v>11.669433980139999</v>
      </c>
      <c r="J70" s="124">
        <f t="shared" ref="J70:J93" si="12" xml:space="preserve"> $S70 * 100</f>
        <v>13.986830994174701</v>
      </c>
      <c r="K70" s="86"/>
      <c r="L70" s="88" t="s">
        <v>68</v>
      </c>
      <c r="M70" s="178">
        <v>0</v>
      </c>
      <c r="N70" s="178">
        <v>0.253197423165615</v>
      </c>
      <c r="O70" s="178">
        <v>285.77699999999999</v>
      </c>
      <c r="P70" s="178">
        <v>103.264053039926</v>
      </c>
      <c r="Q70" s="178">
        <v>0.27850799999999998</v>
      </c>
      <c r="R70" s="178">
        <v>0.1166943398014</v>
      </c>
      <c r="S70" s="178">
        <v>0.13986830994174701</v>
      </c>
    </row>
    <row r="71" spans="1:19">
      <c r="A71" s="88" t="str">
        <f t="shared" si="1"/>
        <v>PRT</v>
      </c>
      <c r="B71" s="88" t="s">
        <v>166</v>
      </c>
      <c r="C71" s="88" t="s">
        <v>69</v>
      </c>
      <c r="D71" s="121">
        <f t="shared" si="8"/>
        <v>0</v>
      </c>
      <c r="E71" s="122">
        <f t="shared" si="9"/>
        <v>27.197270192091199</v>
      </c>
      <c r="F71" s="123">
        <f t="shared" ref="F71:F93" si="13" xml:space="preserve"> LN(O71*1000)</f>
        <v>12.573022125187739</v>
      </c>
      <c r="G71" s="123">
        <f t="shared" ref="G71:G93" si="14" xml:space="preserve"> LN(P71)</f>
        <v>4.641041022220131</v>
      </c>
      <c r="H71" s="124">
        <f t="shared" si="10"/>
        <v>27.4758</v>
      </c>
      <c r="I71" s="124">
        <f t="shared" si="11"/>
        <v>11.674932961106501</v>
      </c>
      <c r="J71" s="124">
        <f t="shared" si="12"/>
        <v>13.986830994174701</v>
      </c>
      <c r="K71" s="86"/>
      <c r="L71" s="88" t="s">
        <v>69</v>
      </c>
      <c r="M71" s="178">
        <v>0</v>
      </c>
      <c r="N71" s="178">
        <v>0.271972701920912</v>
      </c>
      <c r="O71" s="178">
        <v>288.66500000000002</v>
      </c>
      <c r="P71" s="178">
        <v>103.652195676275</v>
      </c>
      <c r="Q71" s="178">
        <v>0.274758</v>
      </c>
      <c r="R71" s="178">
        <v>0.116749329611065</v>
      </c>
      <c r="S71" s="178">
        <v>0.13986830994174701</v>
      </c>
    </row>
    <row r="72" spans="1:19">
      <c r="A72" s="88" t="str">
        <f t="shared" si="1"/>
        <v>PRT</v>
      </c>
      <c r="B72" s="88" t="s">
        <v>167</v>
      </c>
      <c r="C72" s="88" t="s">
        <v>70</v>
      </c>
      <c r="D72" s="121">
        <f t="shared" si="8"/>
        <v>0</v>
      </c>
      <c r="E72" s="122">
        <f t="shared" si="9"/>
        <v>28.898215223277301</v>
      </c>
      <c r="F72" s="123">
        <f t="shared" si="13"/>
        <v>12.582483057647218</v>
      </c>
      <c r="G72" s="123">
        <f t="shared" si="14"/>
        <v>4.6504803725922716</v>
      </c>
      <c r="H72" s="124">
        <f t="shared" si="10"/>
        <v>26.490599999999997</v>
      </c>
      <c r="I72" s="124">
        <f t="shared" si="11"/>
        <v>11.678703095125199</v>
      </c>
      <c r="J72" s="124">
        <f t="shared" si="12"/>
        <v>13.986830994174701</v>
      </c>
      <c r="K72" s="86"/>
      <c r="L72" s="88" t="s">
        <v>70</v>
      </c>
      <c r="M72" s="178">
        <v>0</v>
      </c>
      <c r="N72" s="178">
        <v>0.28898215223277302</v>
      </c>
      <c r="O72" s="178">
        <v>291.40899999999999</v>
      </c>
      <c r="P72" s="178">
        <v>104.635237406583</v>
      </c>
      <c r="Q72" s="178">
        <v>0.26490599999999997</v>
      </c>
      <c r="R72" s="178">
        <v>0.11678703095125199</v>
      </c>
      <c r="S72" s="178">
        <v>0.13986830994174701</v>
      </c>
    </row>
    <row r="73" spans="1:19">
      <c r="A73" s="88" t="str">
        <f t="shared" si="1"/>
        <v>PRT</v>
      </c>
      <c r="B73" s="88" t="s">
        <v>197</v>
      </c>
      <c r="C73" s="88" t="s">
        <v>191</v>
      </c>
      <c r="D73" s="121">
        <f t="shared" si="8"/>
        <v>0</v>
      </c>
      <c r="E73" s="122">
        <f t="shared" si="9"/>
        <v>30.4276708127449</v>
      </c>
      <c r="F73" s="123">
        <f t="shared" si="13"/>
        <v>12.58946254598648</v>
      </c>
      <c r="G73" s="123">
        <f t="shared" si="14"/>
        <v>4.6231704355979186</v>
      </c>
      <c r="H73" s="124">
        <f t="shared" si="10"/>
        <v>26.490599999999997</v>
      </c>
      <c r="I73" s="124">
        <f t="shared" si="11"/>
        <v>11.678703095125199</v>
      </c>
      <c r="J73" s="124">
        <f t="shared" si="12"/>
        <v>13.986830994174701</v>
      </c>
      <c r="K73" s="86"/>
      <c r="L73" s="88" t="s">
        <v>191</v>
      </c>
      <c r="M73" s="178">
        <v>0</v>
      </c>
      <c r="N73" s="178">
        <v>0.304276708127449</v>
      </c>
      <c r="O73" s="178">
        <v>293.45</v>
      </c>
      <c r="P73" s="178">
        <v>101.816323053331</v>
      </c>
      <c r="Q73" s="178">
        <v>0.26490599999999997</v>
      </c>
      <c r="R73" s="178">
        <v>0.11678703095125199</v>
      </c>
      <c r="S73" s="178">
        <v>0.13986830994174701</v>
      </c>
    </row>
    <row r="74" spans="1:19">
      <c r="A74" s="88" t="str">
        <f t="shared" si="1"/>
        <v>BWH</v>
      </c>
      <c r="B74" s="88" t="s">
        <v>164</v>
      </c>
      <c r="C74" s="88" t="s">
        <v>201</v>
      </c>
      <c r="D74" s="121">
        <f t="shared" si="8"/>
        <v>0</v>
      </c>
      <c r="E74" s="122">
        <f t="shared" si="9"/>
        <v>64.133913539274204</v>
      </c>
      <c r="F74" s="123">
        <f t="shared" si="13"/>
        <v>12.133023343556598</v>
      </c>
      <c r="G74" s="123">
        <f t="shared" si="14"/>
        <v>5.1273994376456189</v>
      </c>
      <c r="H74" s="124">
        <f t="shared" si="10"/>
        <v>22.359200000000001</v>
      </c>
      <c r="I74" s="124">
        <f t="shared" si="11"/>
        <v>10.5871028131361</v>
      </c>
      <c r="J74" s="124">
        <f t="shared" si="12"/>
        <v>15.1908366577242</v>
      </c>
      <c r="K74" s="86"/>
      <c r="L74" s="88" t="s">
        <v>201</v>
      </c>
      <c r="M74" s="178">
        <v>0</v>
      </c>
      <c r="N74" s="178">
        <v>0.64133913539274201</v>
      </c>
      <c r="O74" s="178">
        <v>185.911</v>
      </c>
      <c r="P74" s="178">
        <v>168.57814952035599</v>
      </c>
      <c r="Q74" s="178">
        <v>0.22359200000000001</v>
      </c>
      <c r="R74" s="178">
        <v>0.105871028131361</v>
      </c>
      <c r="S74" s="178">
        <v>0.15190836657724199</v>
      </c>
    </row>
    <row r="75" spans="1:19">
      <c r="A75" s="88" t="str">
        <f t="shared" si="1"/>
        <v>BWH</v>
      </c>
      <c r="B75" s="88" t="s">
        <v>165</v>
      </c>
      <c r="C75" s="88" t="s">
        <v>202</v>
      </c>
      <c r="D75" s="121">
        <f t="shared" si="8"/>
        <v>0</v>
      </c>
      <c r="E75" s="122">
        <f t="shared" si="9"/>
        <v>65.907141325327004</v>
      </c>
      <c r="F75" s="123">
        <f t="shared" si="13"/>
        <v>12.136293750922258</v>
      </c>
      <c r="G75" s="123">
        <f t="shared" si="14"/>
        <v>5.1312989953003587</v>
      </c>
      <c r="H75" s="124">
        <f t="shared" si="10"/>
        <v>22.215899999999898</v>
      </c>
      <c r="I75" s="124">
        <f t="shared" si="11"/>
        <v>10.5963101722323</v>
      </c>
      <c r="J75" s="124">
        <f t="shared" si="12"/>
        <v>15.1908366577242</v>
      </c>
      <c r="K75" s="86"/>
      <c r="L75" s="88" t="s">
        <v>202</v>
      </c>
      <c r="M75" s="178">
        <v>0</v>
      </c>
      <c r="N75" s="178">
        <v>0.65907141325327001</v>
      </c>
      <c r="O75" s="178">
        <v>186.52</v>
      </c>
      <c r="P75" s="178">
        <v>169.23681314746801</v>
      </c>
      <c r="Q75" s="178">
        <v>0.222158999999999</v>
      </c>
      <c r="R75" s="178">
        <v>0.105963101722323</v>
      </c>
      <c r="S75" s="178">
        <v>0.15190836657724199</v>
      </c>
    </row>
    <row r="76" spans="1:19">
      <c r="A76" s="88" t="str">
        <f t="shared" si="1"/>
        <v>BWH</v>
      </c>
      <c r="B76" s="88" t="s">
        <v>166</v>
      </c>
      <c r="C76" s="88" t="s">
        <v>203</v>
      </c>
      <c r="D76" s="121">
        <f t="shared" si="8"/>
        <v>0</v>
      </c>
      <c r="E76" s="122">
        <f t="shared" si="9"/>
        <v>68.145808799914292</v>
      </c>
      <c r="F76" s="123">
        <f t="shared" si="13"/>
        <v>12.13790086542684</v>
      </c>
      <c r="G76" s="123">
        <f t="shared" si="14"/>
        <v>4.9461120514730288</v>
      </c>
      <c r="H76" s="124">
        <f t="shared" si="10"/>
        <v>21.839600000000001</v>
      </c>
      <c r="I76" s="124">
        <f t="shared" si="11"/>
        <v>10.605772990899</v>
      </c>
      <c r="J76" s="124">
        <f t="shared" si="12"/>
        <v>15.1908366577242</v>
      </c>
      <c r="K76" s="86"/>
      <c r="L76" s="88" t="s">
        <v>203</v>
      </c>
      <c r="M76" s="178">
        <v>0</v>
      </c>
      <c r="N76" s="178">
        <v>0.68145808799914298</v>
      </c>
      <c r="O76" s="178">
        <v>186.82</v>
      </c>
      <c r="P76" s="178">
        <v>140.627148557493</v>
      </c>
      <c r="Q76" s="178">
        <v>0.21839600000000001</v>
      </c>
      <c r="R76" s="178">
        <v>0.10605772990899</v>
      </c>
      <c r="S76" s="178">
        <v>0.15190836657724199</v>
      </c>
    </row>
    <row r="77" spans="1:19">
      <c r="A77" s="88" t="str">
        <f t="shared" si="1"/>
        <v>SES</v>
      </c>
      <c r="B77" s="88" t="s">
        <v>164</v>
      </c>
      <c r="C77" s="88" t="s">
        <v>71</v>
      </c>
      <c r="D77" s="121">
        <f t="shared" si="8"/>
        <v>0</v>
      </c>
      <c r="E77" s="122">
        <f t="shared" si="9"/>
        <v>42.878987042948701</v>
      </c>
      <c r="F77" s="123">
        <f t="shared" si="13"/>
        <v>12.472041942513783</v>
      </c>
      <c r="G77" s="123">
        <f t="shared" si="14"/>
        <v>5.3072852916963633</v>
      </c>
      <c r="H77" s="124">
        <f t="shared" si="10"/>
        <v>22.096399999999999</v>
      </c>
      <c r="I77" s="124">
        <f t="shared" si="11"/>
        <v>9.5996907035046188</v>
      </c>
      <c r="J77" s="124">
        <f t="shared" si="12"/>
        <v>13.955975676094102</v>
      </c>
      <c r="K77" s="86"/>
      <c r="L77" s="88" t="s">
        <v>71</v>
      </c>
      <c r="M77" s="178">
        <v>0</v>
      </c>
      <c r="N77" s="178">
        <v>0.42878987042948702</v>
      </c>
      <c r="O77" s="178">
        <v>260.93900000000002</v>
      </c>
      <c r="P77" s="178">
        <v>201.80165149292699</v>
      </c>
      <c r="Q77" s="178">
        <v>0.22096399999999999</v>
      </c>
      <c r="R77" s="178">
        <v>9.5996907035046194E-2</v>
      </c>
      <c r="S77" s="178">
        <v>0.13955975676094101</v>
      </c>
    </row>
    <row r="78" spans="1:19">
      <c r="A78" s="88" t="str">
        <f t="shared" si="1"/>
        <v>SES</v>
      </c>
      <c r="B78" s="88" t="s">
        <v>165</v>
      </c>
      <c r="C78" s="88" t="s">
        <v>72</v>
      </c>
      <c r="D78" s="121">
        <f t="shared" si="8"/>
        <v>0</v>
      </c>
      <c r="E78" s="122">
        <f t="shared" si="9"/>
        <v>45.750677444803998</v>
      </c>
      <c r="F78" s="123">
        <f t="shared" si="13"/>
        <v>12.477560547367963</v>
      </c>
      <c r="G78" s="123">
        <f t="shared" si="14"/>
        <v>5.3109252500078545</v>
      </c>
      <c r="H78" s="124">
        <f t="shared" si="10"/>
        <v>21.953900000000001</v>
      </c>
      <c r="I78" s="124">
        <f t="shared" si="11"/>
        <v>9.6046914641338699</v>
      </c>
      <c r="J78" s="124">
        <f t="shared" si="12"/>
        <v>13.955975676094102</v>
      </c>
      <c r="K78" s="86"/>
      <c r="L78" s="88" t="s">
        <v>72</v>
      </c>
      <c r="M78" s="178">
        <v>0</v>
      </c>
      <c r="N78" s="178">
        <v>0.45750677444804</v>
      </c>
      <c r="O78" s="178">
        <v>262.38299999999998</v>
      </c>
      <c r="P78" s="178">
        <v>202.53753958003099</v>
      </c>
      <c r="Q78" s="178">
        <v>0.21953900000000001</v>
      </c>
      <c r="R78" s="178">
        <v>9.6046914641338701E-2</v>
      </c>
      <c r="S78" s="178">
        <v>0.13955975676094101</v>
      </c>
    </row>
    <row r="79" spans="1:19">
      <c r="A79" s="88" t="str">
        <f t="shared" si="1"/>
        <v>SES</v>
      </c>
      <c r="B79" s="88" t="s">
        <v>166</v>
      </c>
      <c r="C79" s="88" t="s">
        <v>73</v>
      </c>
      <c r="D79" s="121">
        <f t="shared" si="8"/>
        <v>0</v>
      </c>
      <c r="E79" s="122">
        <f t="shared" si="9"/>
        <v>48.554772708271599</v>
      </c>
      <c r="F79" s="123">
        <f t="shared" si="13"/>
        <v>12.480449089407781</v>
      </c>
      <c r="G79" s="123">
        <f t="shared" si="14"/>
        <v>5.2552097668834277</v>
      </c>
      <c r="H79" s="124">
        <f t="shared" si="10"/>
        <v>21.5899</v>
      </c>
      <c r="I79" s="124">
        <f t="shared" si="11"/>
        <v>9.6074280010258306</v>
      </c>
      <c r="J79" s="124">
        <f t="shared" si="12"/>
        <v>13.955975676094102</v>
      </c>
      <c r="K79" s="86"/>
      <c r="L79" s="88" t="s">
        <v>73</v>
      </c>
      <c r="M79" s="178">
        <v>0</v>
      </c>
      <c r="N79" s="178">
        <v>0.48554772708271599</v>
      </c>
      <c r="O79" s="178">
        <v>263.142</v>
      </c>
      <c r="P79" s="178">
        <v>191.56166493354701</v>
      </c>
      <c r="Q79" s="178">
        <v>0.21589900000000001</v>
      </c>
      <c r="R79" s="178">
        <v>9.6074280010258306E-2</v>
      </c>
      <c r="S79" s="178">
        <v>0.13955975676094101</v>
      </c>
    </row>
    <row r="80" spans="1:19">
      <c r="A80" s="88" t="str">
        <f t="shared" si="1"/>
        <v>SES</v>
      </c>
      <c r="B80" s="88" t="s">
        <v>167</v>
      </c>
      <c r="C80" s="88" t="s">
        <v>74</v>
      </c>
      <c r="D80" s="121">
        <f t="shared" si="8"/>
        <v>0</v>
      </c>
      <c r="E80" s="122">
        <f t="shared" si="9"/>
        <v>51.205356296113699</v>
      </c>
      <c r="F80" s="123">
        <f t="shared" si="13"/>
        <v>12.482244984392102</v>
      </c>
      <c r="G80" s="123">
        <f t="shared" si="14"/>
        <v>5.2361615290845123</v>
      </c>
      <c r="H80" s="124">
        <f t="shared" si="10"/>
        <v>20.9862</v>
      </c>
      <c r="I80" s="124">
        <f t="shared" si="11"/>
        <v>9.6072079609599896</v>
      </c>
      <c r="J80" s="124">
        <f t="shared" si="12"/>
        <v>13.955975676094102</v>
      </c>
      <c r="K80" s="86"/>
      <c r="L80" s="88" t="s">
        <v>74</v>
      </c>
      <c r="M80" s="178">
        <v>0</v>
      </c>
      <c r="N80" s="178">
        <v>0.51205356296113702</v>
      </c>
      <c r="O80" s="178">
        <v>263.61500000000001</v>
      </c>
      <c r="P80" s="178">
        <v>187.947285847617</v>
      </c>
      <c r="Q80" s="178">
        <v>0.20986199999999999</v>
      </c>
      <c r="R80" s="178">
        <v>9.6072079609599903E-2</v>
      </c>
      <c r="S80" s="178">
        <v>0.13955975676094101</v>
      </c>
    </row>
    <row r="81" spans="1:19">
      <c r="A81" s="88" t="str">
        <f t="shared" si="1"/>
        <v>SES</v>
      </c>
      <c r="B81" s="88" t="s">
        <v>197</v>
      </c>
      <c r="C81" s="88" t="s">
        <v>192</v>
      </c>
      <c r="D81" s="121">
        <f t="shared" si="8"/>
        <v>0</v>
      </c>
      <c r="E81" s="122">
        <f t="shared" si="9"/>
        <v>53.807381550637203</v>
      </c>
      <c r="F81" s="123">
        <f t="shared" si="13"/>
        <v>12.490695041943495</v>
      </c>
      <c r="G81" s="123">
        <f t="shared" si="14"/>
        <v>5.2446677925632601</v>
      </c>
      <c r="H81" s="124">
        <f t="shared" si="10"/>
        <v>20.9862</v>
      </c>
      <c r="I81" s="124">
        <f t="shared" si="11"/>
        <v>9.6072079609599896</v>
      </c>
      <c r="J81" s="124">
        <f t="shared" si="12"/>
        <v>13.955975676094102</v>
      </c>
      <c r="K81" s="86"/>
      <c r="L81" s="88" t="s">
        <v>192</v>
      </c>
      <c r="M81" s="178">
        <v>0</v>
      </c>
      <c r="N81" s="178">
        <v>0.53807381550637201</v>
      </c>
      <c r="O81" s="178">
        <v>265.85199999999998</v>
      </c>
      <c r="P81" s="178">
        <v>189.552833907588</v>
      </c>
      <c r="Q81" s="178">
        <v>0.20986199999999999</v>
      </c>
      <c r="R81" s="178">
        <v>9.6072079609599903E-2</v>
      </c>
      <c r="S81" s="178">
        <v>0.13955975676094101</v>
      </c>
    </row>
    <row r="82" spans="1:19">
      <c r="A82" s="88" t="str">
        <f t="shared" si="1"/>
        <v>SEW</v>
      </c>
      <c r="B82" s="88" t="s">
        <v>164</v>
      </c>
      <c r="C82" s="88" t="s">
        <v>75</v>
      </c>
      <c r="D82" s="121">
        <f t="shared" si="8"/>
        <v>0</v>
      </c>
      <c r="E82" s="122">
        <f t="shared" si="9"/>
        <v>60.359367168416497</v>
      </c>
      <c r="F82" s="123">
        <f t="shared" si="13"/>
        <v>13.617055960697158</v>
      </c>
      <c r="G82" s="123">
        <f t="shared" si="14"/>
        <v>5.3666435800030854</v>
      </c>
      <c r="H82" s="124">
        <f t="shared" si="10"/>
        <v>22.814899999999998</v>
      </c>
      <c r="I82" s="124">
        <f t="shared" si="11"/>
        <v>9.5166697449885298</v>
      </c>
      <c r="J82" s="124">
        <f t="shared" si="12"/>
        <v>12.383108799698899</v>
      </c>
      <c r="K82" s="86"/>
      <c r="L82" s="88" t="s">
        <v>75</v>
      </c>
      <c r="M82" s="178">
        <v>0</v>
      </c>
      <c r="N82" s="178">
        <v>0.603593671684165</v>
      </c>
      <c r="O82" s="178">
        <v>819.99699999999996</v>
      </c>
      <c r="P82" s="178">
        <v>214.14290660039799</v>
      </c>
      <c r="Q82" s="178">
        <v>0.22814899999999999</v>
      </c>
      <c r="R82" s="178">
        <v>9.5166697449885304E-2</v>
      </c>
      <c r="S82" s="178">
        <v>0.123831087996989</v>
      </c>
    </row>
    <row r="83" spans="1:19">
      <c r="A83" s="88" t="str">
        <f t="shared" si="1"/>
        <v>SEW</v>
      </c>
      <c r="B83" s="88" t="s">
        <v>165</v>
      </c>
      <c r="C83" s="88" t="s">
        <v>76</v>
      </c>
      <c r="D83" s="121">
        <f t="shared" si="8"/>
        <v>0</v>
      </c>
      <c r="E83" s="122">
        <f t="shared" si="9"/>
        <v>66.823852379598108</v>
      </c>
      <c r="F83" s="123">
        <f t="shared" si="13"/>
        <v>13.628944807307946</v>
      </c>
      <c r="G83" s="123">
        <f t="shared" si="14"/>
        <v>5.3562468448222038</v>
      </c>
      <c r="H83" s="124">
        <f t="shared" si="10"/>
        <v>22.587199999999999</v>
      </c>
      <c r="I83" s="124">
        <f t="shared" si="11"/>
        <v>9.51818376573984</v>
      </c>
      <c r="J83" s="124">
        <f t="shared" si="12"/>
        <v>12.383108799698899</v>
      </c>
      <c r="K83" s="86"/>
      <c r="L83" s="88" t="s">
        <v>76</v>
      </c>
      <c r="M83" s="178">
        <v>0</v>
      </c>
      <c r="N83" s="178">
        <v>0.66823852379598103</v>
      </c>
      <c r="O83" s="178">
        <v>829.80399999999997</v>
      </c>
      <c r="P83" s="178">
        <v>211.928053082997</v>
      </c>
      <c r="Q83" s="178">
        <v>0.22587199999999999</v>
      </c>
      <c r="R83" s="178">
        <v>9.5181837657398405E-2</v>
      </c>
      <c r="S83" s="178">
        <v>0.123831087996989</v>
      </c>
    </row>
    <row r="84" spans="1:19">
      <c r="A84" s="88" t="str">
        <f t="shared" si="1"/>
        <v>SEW</v>
      </c>
      <c r="B84" s="88" t="s">
        <v>166</v>
      </c>
      <c r="C84" s="88" t="s">
        <v>77</v>
      </c>
      <c r="D84" s="121">
        <f t="shared" si="8"/>
        <v>0</v>
      </c>
      <c r="E84" s="122">
        <f t="shared" si="9"/>
        <v>72.612016402721707</v>
      </c>
      <c r="F84" s="123">
        <f t="shared" si="13"/>
        <v>13.638083404015729</v>
      </c>
      <c r="G84" s="123">
        <f t="shared" si="14"/>
        <v>5.2826858464125053</v>
      </c>
      <c r="H84" s="124">
        <f t="shared" si="10"/>
        <v>22.2437</v>
      </c>
      <c r="I84" s="124">
        <f t="shared" si="11"/>
        <v>9.52336366699104</v>
      </c>
      <c r="J84" s="124">
        <f t="shared" si="12"/>
        <v>12.383108799698899</v>
      </c>
      <c r="K84" s="86"/>
      <c r="L84" s="88" t="s">
        <v>77</v>
      </c>
      <c r="M84" s="178">
        <v>0</v>
      </c>
      <c r="N84" s="178">
        <v>0.72612016402721702</v>
      </c>
      <c r="O84" s="178">
        <v>837.42200000000003</v>
      </c>
      <c r="P84" s="178">
        <v>196.89800359522701</v>
      </c>
      <c r="Q84" s="178">
        <v>0.222437</v>
      </c>
      <c r="R84" s="178">
        <v>9.5233636669910401E-2</v>
      </c>
      <c r="S84" s="178">
        <v>0.123831087996989</v>
      </c>
    </row>
    <row r="85" spans="1:19">
      <c r="A85" s="88" t="str">
        <f t="shared" ref="A85:A92" si="15">LEFT(C85,3)</f>
        <v>SEW</v>
      </c>
      <c r="B85" s="88" t="s">
        <v>167</v>
      </c>
      <c r="C85" s="88" t="s">
        <v>78</v>
      </c>
      <c r="D85" s="121">
        <f t="shared" si="8"/>
        <v>0</v>
      </c>
      <c r="E85" s="122">
        <f t="shared" si="9"/>
        <v>78.0981642959825</v>
      </c>
      <c r="F85" s="123">
        <f t="shared" si="13"/>
        <v>13.648142242117478</v>
      </c>
      <c r="G85" s="123">
        <f t="shared" si="14"/>
        <v>5.3181681236218816</v>
      </c>
      <c r="H85" s="124">
        <f t="shared" si="10"/>
        <v>21.316199999999998</v>
      </c>
      <c r="I85" s="124">
        <f t="shared" si="11"/>
        <v>9.5258229755804198</v>
      </c>
      <c r="J85" s="124">
        <f t="shared" si="12"/>
        <v>12.383108799698899</v>
      </c>
      <c r="K85" s="86"/>
      <c r="L85" s="88" t="s">
        <v>78</v>
      </c>
      <c r="M85" s="178">
        <v>0</v>
      </c>
      <c r="N85" s="178">
        <v>0.78098164295982497</v>
      </c>
      <c r="O85" s="178">
        <v>845.88800000000003</v>
      </c>
      <c r="P85" s="178">
        <v>204.00981871092799</v>
      </c>
      <c r="Q85" s="178">
        <v>0.21316199999999999</v>
      </c>
      <c r="R85" s="178">
        <v>9.5258229755804197E-2</v>
      </c>
      <c r="S85" s="178">
        <v>0.123831087996989</v>
      </c>
    </row>
    <row r="86" spans="1:19">
      <c r="A86" s="88" t="str">
        <f t="shared" si="15"/>
        <v>SEW</v>
      </c>
      <c r="B86" s="88" t="s">
        <v>197</v>
      </c>
      <c r="C86" s="88" t="s">
        <v>193</v>
      </c>
      <c r="D86" s="121">
        <f t="shared" si="8"/>
        <v>0</v>
      </c>
      <c r="E86" s="122">
        <f t="shared" si="9"/>
        <v>83.335537689218597</v>
      </c>
      <c r="F86" s="123">
        <f t="shared" si="13"/>
        <v>13.658118463758296</v>
      </c>
      <c r="G86" s="123">
        <f t="shared" si="14"/>
        <v>5.3030709703251606</v>
      </c>
      <c r="H86" s="124">
        <f t="shared" si="10"/>
        <v>21.316199999999998</v>
      </c>
      <c r="I86" s="124">
        <f t="shared" si="11"/>
        <v>9.5258229755804198</v>
      </c>
      <c r="J86" s="124">
        <f t="shared" si="12"/>
        <v>12.383108799698899</v>
      </c>
      <c r="K86" s="86"/>
      <c r="L86" s="88" t="s">
        <v>193</v>
      </c>
      <c r="M86" s="178">
        <v>0</v>
      </c>
      <c r="N86" s="178">
        <v>0.83335537689218597</v>
      </c>
      <c r="O86" s="178">
        <v>854.36900000000003</v>
      </c>
      <c r="P86" s="178">
        <v>200.95298401510399</v>
      </c>
      <c r="Q86" s="178">
        <v>0.21316199999999999</v>
      </c>
      <c r="R86" s="178">
        <v>9.5258229755804197E-2</v>
      </c>
      <c r="S86" s="178">
        <v>0.123831087996989</v>
      </c>
    </row>
    <row r="87" spans="1:19">
      <c r="A87" s="88" t="str">
        <f t="shared" si="15"/>
        <v>SSC</v>
      </c>
      <c r="B87" s="88" t="s">
        <v>164</v>
      </c>
      <c r="C87" s="88" t="s">
        <v>79</v>
      </c>
      <c r="D87" s="121">
        <f t="shared" si="8"/>
        <v>0</v>
      </c>
      <c r="E87" s="122">
        <f t="shared" si="9"/>
        <v>38.366368895439201</v>
      </c>
      <c r="F87" s="123">
        <f t="shared" si="13"/>
        <v>13.382134282019221</v>
      </c>
      <c r="G87" s="123">
        <f t="shared" si="14"/>
        <v>5.018391923735888</v>
      </c>
      <c r="H87" s="124">
        <f t="shared" si="10"/>
        <v>28.779500000000002</v>
      </c>
      <c r="I87" s="124">
        <f t="shared" si="11"/>
        <v>16.0933801961549</v>
      </c>
      <c r="J87" s="124">
        <f t="shared" si="12"/>
        <v>11.093384498118199</v>
      </c>
      <c r="K87" s="86"/>
      <c r="L87" s="88" t="s">
        <v>79</v>
      </c>
      <c r="M87" s="178">
        <v>0</v>
      </c>
      <c r="N87" s="178">
        <v>0.38366368895439201</v>
      </c>
      <c r="O87" s="178">
        <v>648.31650000000002</v>
      </c>
      <c r="P87" s="178">
        <v>151.16801853335599</v>
      </c>
      <c r="Q87" s="178">
        <v>0.28779500000000002</v>
      </c>
      <c r="R87" s="178">
        <v>0.16093380196154899</v>
      </c>
      <c r="S87" s="178">
        <v>0.110933844981182</v>
      </c>
    </row>
    <row r="88" spans="1:19">
      <c r="A88" s="88" t="str">
        <f t="shared" si="15"/>
        <v>SSC</v>
      </c>
      <c r="B88" s="88" t="s">
        <v>165</v>
      </c>
      <c r="C88" s="88" t="s">
        <v>80</v>
      </c>
      <c r="D88" s="121">
        <f t="shared" si="8"/>
        <v>0</v>
      </c>
      <c r="E88" s="122">
        <f t="shared" si="9"/>
        <v>40.0338307163004</v>
      </c>
      <c r="F88" s="123">
        <f t="shared" si="13"/>
        <v>13.389719010394288</v>
      </c>
      <c r="G88" s="123">
        <f t="shared" si="14"/>
        <v>5.0422779382111953</v>
      </c>
      <c r="H88" s="124">
        <f t="shared" si="10"/>
        <v>29.230899999999998</v>
      </c>
      <c r="I88" s="124">
        <f t="shared" si="11"/>
        <v>16.0952456764653</v>
      </c>
      <c r="J88" s="124">
        <f t="shared" si="12"/>
        <v>11.093384498118199</v>
      </c>
      <c r="K88" s="86"/>
      <c r="L88" s="88" t="s">
        <v>80</v>
      </c>
      <c r="M88" s="178">
        <v>0</v>
      </c>
      <c r="N88" s="178">
        <v>0.400338307163004</v>
      </c>
      <c r="O88" s="178">
        <v>653.25250000000005</v>
      </c>
      <c r="P88" s="178">
        <v>154.82228925273401</v>
      </c>
      <c r="Q88" s="178">
        <v>0.29230899999999999</v>
      </c>
      <c r="R88" s="178">
        <v>0.160952456764653</v>
      </c>
      <c r="S88" s="178">
        <v>0.110933844981182</v>
      </c>
    </row>
    <row r="89" spans="1:19">
      <c r="A89" s="88" t="str">
        <f t="shared" si="15"/>
        <v>SSC</v>
      </c>
      <c r="B89" s="88" t="s">
        <v>166</v>
      </c>
      <c r="C89" s="88" t="s">
        <v>81</v>
      </c>
      <c r="D89" s="121">
        <f t="shared" si="8"/>
        <v>0</v>
      </c>
      <c r="E89" s="122">
        <f t="shared" si="9"/>
        <v>41.520704199078203</v>
      </c>
      <c r="F89" s="123">
        <f t="shared" si="13"/>
        <v>13.399023429949315</v>
      </c>
      <c r="G89" s="123">
        <f t="shared" si="14"/>
        <v>4.9493105046924795</v>
      </c>
      <c r="H89" s="124">
        <f t="shared" si="10"/>
        <v>28.988599999999998</v>
      </c>
      <c r="I89" s="124">
        <f t="shared" si="11"/>
        <v>16.113949355159299</v>
      </c>
      <c r="J89" s="124">
        <f t="shared" si="12"/>
        <v>11.093384498118199</v>
      </c>
      <c r="K89" s="86"/>
      <c r="L89" s="88" t="s">
        <v>81</v>
      </c>
      <c r="M89" s="178">
        <v>0</v>
      </c>
      <c r="N89" s="178">
        <v>0.41520704199078201</v>
      </c>
      <c r="O89" s="178">
        <v>659.35900000000004</v>
      </c>
      <c r="P89" s="178">
        <v>141.077657996158</v>
      </c>
      <c r="Q89" s="178">
        <v>0.28988599999999998</v>
      </c>
      <c r="R89" s="178">
        <v>0.16113949355159299</v>
      </c>
      <c r="S89" s="178">
        <v>0.110933844981182</v>
      </c>
    </row>
    <row r="90" spans="1:19">
      <c r="A90" s="88" t="str">
        <f t="shared" si="15"/>
        <v>SSC</v>
      </c>
      <c r="B90" s="88" t="s">
        <v>167</v>
      </c>
      <c r="C90" s="88" t="s">
        <v>82</v>
      </c>
      <c r="D90" s="121">
        <f t="shared" si="8"/>
        <v>0</v>
      </c>
      <c r="E90" s="122">
        <f t="shared" si="9"/>
        <v>43.122382045280702</v>
      </c>
      <c r="F90" s="123">
        <f t="shared" si="13"/>
        <v>13.400154192258082</v>
      </c>
      <c r="G90" s="123">
        <f t="shared" si="14"/>
        <v>4.934904211437753</v>
      </c>
      <c r="H90" s="124">
        <f t="shared" si="10"/>
        <v>28.280100000000001</v>
      </c>
      <c r="I90" s="124">
        <f t="shared" si="11"/>
        <v>16.123359541033501</v>
      </c>
      <c r="J90" s="124">
        <f t="shared" si="12"/>
        <v>11.093384498118199</v>
      </c>
      <c r="K90" s="86"/>
      <c r="L90" s="88" t="s">
        <v>82</v>
      </c>
      <c r="M90" s="178">
        <v>0</v>
      </c>
      <c r="N90" s="178">
        <v>0.43122382045280699</v>
      </c>
      <c r="O90" s="178">
        <v>660.10500000000002</v>
      </c>
      <c r="P90" s="178">
        <v>139.059821553717</v>
      </c>
      <c r="Q90" s="178">
        <v>0.28280100000000002</v>
      </c>
      <c r="R90" s="178">
        <v>0.161233595410335</v>
      </c>
      <c r="S90" s="178">
        <v>0.110933844981182</v>
      </c>
    </row>
    <row r="91" spans="1:19">
      <c r="A91" s="88" t="str">
        <f t="shared" si="15"/>
        <v>SSC</v>
      </c>
      <c r="B91" s="88" t="s">
        <v>197</v>
      </c>
      <c r="C91" s="88" t="s">
        <v>194</v>
      </c>
      <c r="D91" s="121">
        <f t="shared" si="8"/>
        <v>0</v>
      </c>
      <c r="E91" s="122">
        <f t="shared" si="9"/>
        <v>43.204506064655902</v>
      </c>
      <c r="F91" s="123">
        <f t="shared" ref="F91" si="16" xml:space="preserve"> LN(O91*1000)</f>
        <v>13.41601864734147</v>
      </c>
      <c r="G91" s="123">
        <f t="shared" ref="G91" si="17" xml:space="preserve"> LN(P91)</f>
        <v>4.9361891606840347</v>
      </c>
      <c r="H91" s="124">
        <f t="shared" si="10"/>
        <v>28.280100000000001</v>
      </c>
      <c r="I91" s="124">
        <f t="shared" si="11"/>
        <v>16.123359541033501</v>
      </c>
      <c r="J91" s="124">
        <f t="shared" si="12"/>
        <v>11.093384498118199</v>
      </c>
      <c r="K91" s="86"/>
      <c r="L91" s="88" t="s">
        <v>194</v>
      </c>
      <c r="M91" s="178">
        <v>0</v>
      </c>
      <c r="N91" s="178">
        <v>0.43204506064655901</v>
      </c>
      <c r="O91" s="178">
        <v>670.66071506818105</v>
      </c>
      <c r="P91" s="178">
        <v>139.23862121625501</v>
      </c>
      <c r="Q91" s="178">
        <v>0.28280100000000002</v>
      </c>
      <c r="R91" s="178">
        <v>0.161233595410335</v>
      </c>
      <c r="S91" s="178">
        <v>0.110933844981182</v>
      </c>
    </row>
    <row r="92" spans="1:19">
      <c r="A92" s="88" t="str">
        <f t="shared" si="15"/>
        <v>SWB</v>
      </c>
      <c r="B92" s="88" t="s">
        <v>167</v>
      </c>
      <c r="C92" s="88" t="s">
        <v>83</v>
      </c>
      <c r="D92" s="121">
        <f t="shared" si="8"/>
        <v>71.842461881732504</v>
      </c>
      <c r="E92" s="122">
        <f t="shared" si="9"/>
        <v>78.863802575957095</v>
      </c>
      <c r="F92" s="123">
        <f t="shared" si="13"/>
        <v>13.752974297630676</v>
      </c>
      <c r="G92" s="123">
        <f t="shared" si="14"/>
        <v>6.1141949092157741</v>
      </c>
      <c r="H92" s="124">
        <f t="shared" si="10"/>
        <v>22.5785747993089</v>
      </c>
      <c r="I92" s="124">
        <f t="shared" si="11"/>
        <v>13.0228384421084</v>
      </c>
      <c r="J92" s="124">
        <f t="shared" si="12"/>
        <v>10.516150912811401</v>
      </c>
      <c r="K92" s="86"/>
      <c r="L92" s="88" t="s">
        <v>83</v>
      </c>
      <c r="M92" s="178">
        <v>0.718424618817325</v>
      </c>
      <c r="N92" s="178">
        <v>0.78863802575957098</v>
      </c>
      <c r="O92" s="178">
        <v>939.37900000000002</v>
      </c>
      <c r="P92" s="178">
        <v>452.23181310497802</v>
      </c>
      <c r="Q92" s="178">
        <v>0.22578574799308901</v>
      </c>
      <c r="R92" s="178">
        <v>0.130228384421084</v>
      </c>
      <c r="S92" s="178">
        <v>0.10516150912811401</v>
      </c>
    </row>
    <row r="93" spans="1:19">
      <c r="A93" s="88" t="str">
        <f t="shared" ref="A93" si="18">LEFT(C93,3)</f>
        <v>SWB</v>
      </c>
      <c r="B93" s="88" t="s">
        <v>197</v>
      </c>
      <c r="C93" s="88" t="s">
        <v>178</v>
      </c>
      <c r="D93" s="121">
        <f t="shared" si="8"/>
        <v>72.004260513250102</v>
      </c>
      <c r="E93" s="122">
        <f t="shared" si="9"/>
        <v>78.8933242792138</v>
      </c>
      <c r="F93" s="123">
        <f t="shared" si="13"/>
        <v>13.759390898549741</v>
      </c>
      <c r="G93" s="123">
        <f t="shared" si="14"/>
        <v>6.0973524636316299</v>
      </c>
      <c r="H93" s="124">
        <f t="shared" si="10"/>
        <v>22.5785747993089</v>
      </c>
      <c r="I93" s="124">
        <f t="shared" si="11"/>
        <v>13.0228384421084</v>
      </c>
      <c r="J93" s="124">
        <f t="shared" si="12"/>
        <v>10.516150912811401</v>
      </c>
      <c r="K93" s="86"/>
      <c r="L93" s="88" t="s">
        <v>83</v>
      </c>
      <c r="M93" s="178">
        <v>0.72004260513250096</v>
      </c>
      <c r="N93" s="178">
        <v>0.78893324279213795</v>
      </c>
      <c r="O93" s="178">
        <v>945.42600000000004</v>
      </c>
      <c r="P93" s="178">
        <v>444.67890665160502</v>
      </c>
      <c r="Q93" s="178">
        <v>0.22578574799308901</v>
      </c>
      <c r="R93" s="178">
        <v>0.130228384421084</v>
      </c>
      <c r="S93" s="178">
        <v>0.10516150912811401</v>
      </c>
    </row>
    <row r="94" spans="1:19">
      <c r="D94" s="10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98"/>
  <sheetViews>
    <sheetView showGridLines="0" zoomScale="80" zoomScaleNormal="80" workbookViewId="0">
      <pane xSplit="4" ySplit="4" topLeftCell="E5" activePane="bottomRight" state="frozen"/>
      <selection pane="topRight" activeCell="C1" sqref="C1"/>
      <selection pane="bottomLeft" activeCell="A5" sqref="A5"/>
      <selection pane="bottomRight"/>
    </sheetView>
  </sheetViews>
  <sheetFormatPr defaultColWidth="8.75" defaultRowHeight="12.75"/>
  <cols>
    <col min="1" max="2" width="8.75" style="2"/>
    <col min="3" max="3" width="5" style="2" customWidth="1"/>
    <col min="4" max="4" width="11" style="2" bestFit="1" customWidth="1"/>
    <col min="5" max="5" width="11.375" style="17" customWidth="1"/>
    <col min="6" max="6" width="9.25" style="2" customWidth="1"/>
    <col min="7" max="7" width="10.625" style="2" customWidth="1"/>
    <col min="8" max="16384" width="8.75" style="2"/>
  </cols>
  <sheetData>
    <row r="1" spans="1:16">
      <c r="A1" s="173">
        <f>COUNTA(A5:A92)</f>
        <v>88</v>
      </c>
      <c r="B1" s="10"/>
      <c r="C1" s="10"/>
      <c r="D1" s="115" t="s">
        <v>147</v>
      </c>
      <c r="E1" s="7" t="s">
        <v>250</v>
      </c>
      <c r="F1" s="7" t="s">
        <v>90</v>
      </c>
      <c r="G1" s="7" t="s">
        <v>249</v>
      </c>
    </row>
    <row r="2" spans="1:16">
      <c r="A2" s="10"/>
      <c r="B2" s="10"/>
      <c r="C2" s="10"/>
      <c r="D2" s="115" t="s">
        <v>263</v>
      </c>
      <c r="E2" s="172" t="s">
        <v>254</v>
      </c>
      <c r="F2" s="172" t="s">
        <v>255</v>
      </c>
      <c r="G2" s="172" t="s">
        <v>253</v>
      </c>
    </row>
    <row r="3" spans="1:16" ht="30" customHeight="1">
      <c r="A3" s="10"/>
      <c r="B3" s="10"/>
      <c r="C3" s="10"/>
      <c r="D3" s="148" t="s">
        <v>139</v>
      </c>
      <c r="E3" s="126" t="s">
        <v>92</v>
      </c>
      <c r="F3" s="149" t="s">
        <v>271</v>
      </c>
      <c r="G3" s="149" t="s">
        <v>93</v>
      </c>
    </row>
    <row r="4" spans="1:16">
      <c r="A4" s="115" t="s">
        <v>144</v>
      </c>
      <c r="B4" s="115" t="s">
        <v>244</v>
      </c>
      <c r="C4" s="115"/>
      <c r="D4" s="115" t="s">
        <v>86</v>
      </c>
      <c r="E4" s="115" t="s">
        <v>160</v>
      </c>
      <c r="F4" s="115" t="s">
        <v>160</v>
      </c>
      <c r="G4" s="115" t="s">
        <v>160</v>
      </c>
    </row>
    <row r="5" spans="1:16">
      <c r="A5" s="115" t="s">
        <v>102</v>
      </c>
      <c r="B5" s="115" t="s">
        <v>164</v>
      </c>
      <c r="C5" s="115">
        <f>_xlfn.NUMBERVALUE("20"&amp;RIGHT(B5, 2))</f>
        <v>2014</v>
      </c>
      <c r="D5" s="115" t="str">
        <f>A5&amp;RIGHT(B5,2)</f>
        <v>ANH14</v>
      </c>
      <c r="E5" s="150">
        <v>32.267002028397599</v>
      </c>
      <c r="F5" s="150">
        <v>40.481727518593601</v>
      </c>
      <c r="G5" s="150">
        <v>72.7487295469912</v>
      </c>
      <c r="I5" s="17"/>
      <c r="J5" s="17"/>
      <c r="K5" s="17"/>
      <c r="L5" s="17"/>
      <c r="M5" s="17"/>
      <c r="N5" s="17"/>
      <c r="O5" s="17"/>
      <c r="P5" s="17"/>
    </row>
    <row r="6" spans="1:16">
      <c r="A6" s="115" t="s">
        <v>102</v>
      </c>
      <c r="B6" s="115" t="s">
        <v>165</v>
      </c>
      <c r="C6" s="115">
        <f t="shared" ref="C6:C69" si="0">_xlfn.NUMBERVALUE("20"&amp;RIGHT(B6, 2))</f>
        <v>2015</v>
      </c>
      <c r="D6" s="115" t="str">
        <f t="shared" ref="D6:D69" si="1">A6&amp;RIGHT(B6,2)</f>
        <v>ANH15</v>
      </c>
      <c r="E6" s="150">
        <v>32.697228043787099</v>
      </c>
      <c r="F6" s="150">
        <v>40.245555778390603</v>
      </c>
      <c r="G6" s="150">
        <v>72.942783822177702</v>
      </c>
      <c r="I6" s="17"/>
      <c r="J6" s="17"/>
      <c r="K6" s="17"/>
      <c r="L6" s="17"/>
      <c r="M6" s="17"/>
      <c r="N6" s="17"/>
      <c r="O6" s="17"/>
      <c r="P6" s="17"/>
    </row>
    <row r="7" spans="1:16">
      <c r="A7" s="115" t="s">
        <v>102</v>
      </c>
      <c r="B7" s="115" t="s">
        <v>166</v>
      </c>
      <c r="C7" s="115">
        <f t="shared" si="0"/>
        <v>2016</v>
      </c>
      <c r="D7" s="115" t="str">
        <f t="shared" si="1"/>
        <v>ANH16</v>
      </c>
      <c r="E7" s="150">
        <v>32.4411691953675</v>
      </c>
      <c r="F7" s="150">
        <v>39.899861804331998</v>
      </c>
      <c r="G7" s="150">
        <v>72.341030999699498</v>
      </c>
      <c r="I7" s="17"/>
      <c r="J7" s="17"/>
      <c r="K7" s="17"/>
      <c r="L7" s="17"/>
      <c r="M7" s="17"/>
      <c r="N7" s="17"/>
      <c r="O7" s="17"/>
      <c r="P7" s="17"/>
    </row>
    <row r="8" spans="1:16">
      <c r="A8" s="115" t="s">
        <v>102</v>
      </c>
      <c r="B8" s="115" t="s">
        <v>167</v>
      </c>
      <c r="C8" s="115">
        <f t="shared" si="0"/>
        <v>2017</v>
      </c>
      <c r="D8" s="115" t="str">
        <f t="shared" si="1"/>
        <v>ANH17</v>
      </c>
      <c r="E8" s="150">
        <v>39.176100587904898</v>
      </c>
      <c r="F8" s="150">
        <v>36.751785075075198</v>
      </c>
      <c r="G8" s="150">
        <v>75.927885662980103</v>
      </c>
      <c r="I8" s="17"/>
      <c r="J8" s="17"/>
      <c r="K8" s="17"/>
      <c r="L8" s="17"/>
      <c r="M8" s="17"/>
      <c r="N8" s="17"/>
      <c r="O8" s="17"/>
      <c r="P8" s="17"/>
    </row>
    <row r="9" spans="1:16">
      <c r="A9" s="115" t="s">
        <v>102</v>
      </c>
      <c r="B9" s="115" t="s">
        <v>197</v>
      </c>
      <c r="C9" s="115">
        <f t="shared" si="0"/>
        <v>2018</v>
      </c>
      <c r="D9" s="115" t="str">
        <f t="shared" si="1"/>
        <v>ANH18</v>
      </c>
      <c r="E9" s="150">
        <v>43.271983776133503</v>
      </c>
      <c r="F9" s="150">
        <v>36.840906155775997</v>
      </c>
      <c r="G9" s="150">
        <v>80.112889931909507</v>
      </c>
      <c r="I9" s="17"/>
      <c r="J9" s="17"/>
      <c r="K9" s="17"/>
      <c r="L9" s="17"/>
      <c r="M9" s="17"/>
      <c r="N9" s="17"/>
      <c r="O9" s="17"/>
      <c r="P9" s="17"/>
    </row>
    <row r="10" spans="1:16">
      <c r="A10" s="115" t="s">
        <v>103</v>
      </c>
      <c r="B10" s="115" t="s">
        <v>164</v>
      </c>
      <c r="C10" s="115">
        <f t="shared" si="0"/>
        <v>2014</v>
      </c>
      <c r="D10" s="115" t="str">
        <f t="shared" si="1"/>
        <v>NES14</v>
      </c>
      <c r="E10" s="150">
        <v>30.255810615280598</v>
      </c>
      <c r="F10" s="150">
        <v>24.098782961460401</v>
      </c>
      <c r="G10" s="150">
        <v>54.354593576741003</v>
      </c>
      <c r="I10" s="17"/>
      <c r="J10" s="17"/>
      <c r="K10" s="17"/>
      <c r="L10" s="17"/>
      <c r="M10" s="17"/>
      <c r="N10" s="17"/>
      <c r="O10" s="17"/>
      <c r="P10" s="17"/>
    </row>
    <row r="11" spans="1:16">
      <c r="A11" s="115" t="s">
        <v>103</v>
      </c>
      <c r="B11" s="115" t="s">
        <v>165</v>
      </c>
      <c r="C11" s="115">
        <f t="shared" si="0"/>
        <v>2015</v>
      </c>
      <c r="D11" s="115" t="str">
        <f t="shared" si="1"/>
        <v>NES15</v>
      </c>
      <c r="E11" s="150">
        <v>29.914494125511801</v>
      </c>
      <c r="F11" s="150">
        <v>24.767460516420201</v>
      </c>
      <c r="G11" s="150">
        <v>54.681954641932002</v>
      </c>
      <c r="I11" s="17"/>
      <c r="J11" s="17"/>
      <c r="K11" s="17"/>
      <c r="L11" s="17"/>
      <c r="M11" s="17"/>
      <c r="N11" s="17"/>
      <c r="O11" s="17"/>
      <c r="P11" s="17"/>
    </row>
    <row r="12" spans="1:16">
      <c r="A12" s="115" t="s">
        <v>103</v>
      </c>
      <c r="B12" s="115" t="s">
        <v>166</v>
      </c>
      <c r="C12" s="115">
        <f t="shared" si="0"/>
        <v>2016</v>
      </c>
      <c r="D12" s="115" t="str">
        <f t="shared" si="1"/>
        <v>NES16</v>
      </c>
      <c r="E12" s="150">
        <v>20.4197385357737</v>
      </c>
      <c r="F12" s="150">
        <v>26.357279367720501</v>
      </c>
      <c r="G12" s="150">
        <v>46.777017903494198</v>
      </c>
    </row>
    <row r="13" spans="1:16">
      <c r="A13" s="115" t="s">
        <v>103</v>
      </c>
      <c r="B13" s="115" t="s">
        <v>167</v>
      </c>
      <c r="C13" s="115">
        <f t="shared" si="0"/>
        <v>2017</v>
      </c>
      <c r="D13" s="115" t="str">
        <f t="shared" si="1"/>
        <v>NES17</v>
      </c>
      <c r="E13" s="150">
        <v>28.856889388592499</v>
      </c>
      <c r="F13" s="150">
        <v>19.555956011489499</v>
      </c>
      <c r="G13" s="150">
        <v>48.412845400082098</v>
      </c>
    </row>
    <row r="14" spans="1:16">
      <c r="A14" s="115" t="s">
        <v>103</v>
      </c>
      <c r="B14" s="115" t="s">
        <v>197</v>
      </c>
      <c r="C14" s="115">
        <f t="shared" si="0"/>
        <v>2018</v>
      </c>
      <c r="D14" s="115" t="str">
        <f t="shared" si="1"/>
        <v>NES18</v>
      </c>
      <c r="E14" s="150">
        <v>33.080199999999998</v>
      </c>
      <c r="F14" s="150">
        <v>19.940000000000001</v>
      </c>
      <c r="G14" s="150">
        <v>53.020200000000003</v>
      </c>
    </row>
    <row r="15" spans="1:16">
      <c r="A15" s="115" t="s">
        <v>104</v>
      </c>
      <c r="B15" s="115" t="s">
        <v>164</v>
      </c>
      <c r="C15" s="115">
        <f t="shared" si="0"/>
        <v>2014</v>
      </c>
      <c r="D15" s="115" t="str">
        <f t="shared" si="1"/>
        <v>NWT14</v>
      </c>
      <c r="E15" s="150">
        <v>53.758379767853398</v>
      </c>
      <c r="F15" s="150">
        <v>80.540669371196699</v>
      </c>
      <c r="G15" s="150">
        <v>134.29904913905</v>
      </c>
    </row>
    <row r="16" spans="1:16">
      <c r="A16" s="115" t="s">
        <v>104</v>
      </c>
      <c r="B16" s="115" t="s">
        <v>165</v>
      </c>
      <c r="C16" s="115">
        <f t="shared" si="0"/>
        <v>2015</v>
      </c>
      <c r="D16" s="115" t="str">
        <f t="shared" si="1"/>
        <v>NWT15</v>
      </c>
      <c r="E16" s="150">
        <v>54.348501664012801</v>
      </c>
      <c r="F16" s="150">
        <v>89.203614439709199</v>
      </c>
      <c r="G16" s="150">
        <v>143.552116103722</v>
      </c>
    </row>
    <row r="17" spans="1:7">
      <c r="A17" s="115" t="s">
        <v>104</v>
      </c>
      <c r="B17" s="115" t="s">
        <v>166</v>
      </c>
      <c r="C17" s="115">
        <f t="shared" si="0"/>
        <v>2016</v>
      </c>
      <c r="D17" s="115" t="str">
        <f t="shared" si="1"/>
        <v>NWT16</v>
      </c>
      <c r="E17" s="150">
        <v>57.265016900461603</v>
      </c>
      <c r="F17" s="150">
        <v>74.024088906485204</v>
      </c>
      <c r="G17" s="150">
        <v>131.28910580694699</v>
      </c>
    </row>
    <row r="18" spans="1:7">
      <c r="A18" s="115" t="s">
        <v>104</v>
      </c>
      <c r="B18" s="115" t="s">
        <v>167</v>
      </c>
      <c r="C18" s="115">
        <f t="shared" si="0"/>
        <v>2017</v>
      </c>
      <c r="D18" s="115" t="str">
        <f t="shared" si="1"/>
        <v>NWT17</v>
      </c>
      <c r="E18" s="150">
        <v>57.690537928510601</v>
      </c>
      <c r="F18" s="150">
        <v>65.1766783923172</v>
      </c>
      <c r="G18" s="150">
        <v>122.86721632082801</v>
      </c>
    </row>
    <row r="19" spans="1:7">
      <c r="A19" s="115" t="s">
        <v>104</v>
      </c>
      <c r="B19" s="115" t="s">
        <v>197</v>
      </c>
      <c r="C19" s="115">
        <f t="shared" si="0"/>
        <v>2018</v>
      </c>
      <c r="D19" s="115" t="str">
        <f t="shared" si="1"/>
        <v>NWT18</v>
      </c>
      <c r="E19" s="150">
        <v>56.413079462847399</v>
      </c>
      <c r="F19" s="150">
        <v>61.895812892532902</v>
      </c>
      <c r="G19" s="150">
        <v>118.30889235538</v>
      </c>
    </row>
    <row r="20" spans="1:7">
      <c r="A20" s="115" t="s">
        <v>105</v>
      </c>
      <c r="B20" s="115" t="s">
        <v>164</v>
      </c>
      <c r="C20" s="115">
        <f t="shared" si="0"/>
        <v>2014</v>
      </c>
      <c r="D20" s="115" t="str">
        <f t="shared" si="1"/>
        <v>SRN14</v>
      </c>
      <c r="E20" s="150">
        <v>42.727776369168303</v>
      </c>
      <c r="F20" s="150">
        <v>36.148174442190701</v>
      </c>
      <c r="G20" s="150">
        <v>78.875950811359004</v>
      </c>
    </row>
    <row r="21" spans="1:7">
      <c r="A21" s="115" t="s">
        <v>105</v>
      </c>
      <c r="B21" s="115" t="s">
        <v>165</v>
      </c>
      <c r="C21" s="115">
        <f t="shared" si="0"/>
        <v>2015</v>
      </c>
      <c r="D21" s="115" t="str">
        <f t="shared" si="1"/>
        <v>SRN15</v>
      </c>
      <c r="E21" s="150">
        <v>41.305226873903202</v>
      </c>
      <c r="F21" s="150">
        <v>34.799849586362498</v>
      </c>
      <c r="G21" s="150">
        <v>76.105076460265707</v>
      </c>
    </row>
    <row r="22" spans="1:7">
      <c r="A22" s="115" t="s">
        <v>105</v>
      </c>
      <c r="B22" s="115" t="s">
        <v>166</v>
      </c>
      <c r="C22" s="115">
        <f t="shared" si="0"/>
        <v>2016</v>
      </c>
      <c r="D22" s="115" t="str">
        <f t="shared" si="1"/>
        <v>SRN16</v>
      </c>
      <c r="E22" s="150">
        <v>49.633837770382598</v>
      </c>
      <c r="F22" s="150">
        <v>39.522913643926699</v>
      </c>
      <c r="G22" s="150">
        <v>89.156751414309198</v>
      </c>
    </row>
    <row r="23" spans="1:7">
      <c r="A23" s="115" t="s">
        <v>105</v>
      </c>
      <c r="B23" s="115" t="s">
        <v>167</v>
      </c>
      <c r="C23" s="115">
        <f t="shared" si="0"/>
        <v>2017</v>
      </c>
      <c r="D23" s="115" t="str">
        <f t="shared" si="1"/>
        <v>SRN17</v>
      </c>
      <c r="E23" s="150">
        <v>50.262111776774702</v>
      </c>
      <c r="F23" s="150">
        <v>45.442400984817397</v>
      </c>
      <c r="G23" s="150">
        <v>95.704512761592099</v>
      </c>
    </row>
    <row r="24" spans="1:7">
      <c r="A24" s="115" t="s">
        <v>105</v>
      </c>
      <c r="B24" s="115" t="s">
        <v>197</v>
      </c>
      <c r="C24" s="115">
        <f t="shared" si="0"/>
        <v>2018</v>
      </c>
      <c r="D24" s="115" t="str">
        <f t="shared" si="1"/>
        <v>SRN18</v>
      </c>
      <c r="E24" s="150">
        <v>52.000999999999998</v>
      </c>
      <c r="F24" s="150">
        <v>34.033999999999999</v>
      </c>
      <c r="G24" s="150">
        <v>86.034999999999997</v>
      </c>
    </row>
    <row r="25" spans="1:7">
      <c r="A25" s="115" t="s">
        <v>106</v>
      </c>
      <c r="B25" s="115" t="s">
        <v>164</v>
      </c>
      <c r="C25" s="115">
        <f t="shared" si="0"/>
        <v>2014</v>
      </c>
      <c r="D25" s="115" t="str">
        <f t="shared" si="1"/>
        <v>SVT14</v>
      </c>
      <c r="E25" s="150">
        <v>67.576817609033597</v>
      </c>
      <c r="F25" s="150">
        <v>38.050709939148099</v>
      </c>
      <c r="G25" s="150">
        <v>105.627527548182</v>
      </c>
    </row>
    <row r="26" spans="1:7">
      <c r="A26" s="115" t="s">
        <v>106</v>
      </c>
      <c r="B26" s="115" t="s">
        <v>165</v>
      </c>
      <c r="C26" s="115">
        <f t="shared" si="0"/>
        <v>2015</v>
      </c>
      <c r="D26" s="115" t="str">
        <f t="shared" si="1"/>
        <v>SVT15</v>
      </c>
      <c r="E26" s="150">
        <v>69.845099519519195</v>
      </c>
      <c r="F26" s="150">
        <v>37.307946853848101</v>
      </c>
      <c r="G26" s="150">
        <v>107.153046373367</v>
      </c>
    </row>
    <row r="27" spans="1:7">
      <c r="A27" s="115" t="s">
        <v>106</v>
      </c>
      <c r="B27" s="115" t="s">
        <v>166</v>
      </c>
      <c r="C27" s="115">
        <f t="shared" si="0"/>
        <v>2016</v>
      </c>
      <c r="D27" s="115" t="str">
        <f t="shared" si="1"/>
        <v>SVT16</v>
      </c>
      <c r="E27" s="150">
        <v>71.201822458409794</v>
      </c>
      <c r="F27" s="150">
        <v>28.192602495840301</v>
      </c>
      <c r="G27" s="150">
        <v>99.394424954250098</v>
      </c>
    </row>
    <row r="28" spans="1:7">
      <c r="A28" s="115" t="s">
        <v>106</v>
      </c>
      <c r="B28" s="115" t="s">
        <v>167</v>
      </c>
      <c r="C28" s="115">
        <f t="shared" si="0"/>
        <v>2017</v>
      </c>
      <c r="D28" s="115" t="str">
        <f t="shared" si="1"/>
        <v>SVT17</v>
      </c>
      <c r="E28" s="150">
        <v>65.421029786630001</v>
      </c>
      <c r="F28" s="150">
        <v>28.617545999179299</v>
      </c>
      <c r="G28" s="150">
        <v>94.0385757858093</v>
      </c>
    </row>
    <row r="29" spans="1:7">
      <c r="A29" s="115" t="s">
        <v>106</v>
      </c>
      <c r="B29" s="115" t="s">
        <v>197</v>
      </c>
      <c r="C29" s="115">
        <f t="shared" si="0"/>
        <v>2018</v>
      </c>
      <c r="D29" s="115" t="str">
        <f t="shared" si="1"/>
        <v>SVT18</v>
      </c>
      <c r="E29" s="150">
        <v>58.982846581051497</v>
      </c>
      <c r="F29" s="150">
        <v>37.018000000000001</v>
      </c>
      <c r="G29" s="150">
        <v>96.000846581051505</v>
      </c>
    </row>
    <row r="30" spans="1:7">
      <c r="A30" s="115" t="s">
        <v>243</v>
      </c>
      <c r="B30" s="115" t="s">
        <v>164</v>
      </c>
      <c r="C30" s="115">
        <f t="shared" si="0"/>
        <v>2014</v>
      </c>
      <c r="D30" s="115" t="str">
        <f t="shared" si="1"/>
        <v>SWT14</v>
      </c>
      <c r="E30" s="150">
        <v>14.520159556795001</v>
      </c>
      <c r="F30" s="150">
        <v>17.756997971602399</v>
      </c>
      <c r="G30" s="150">
        <v>32.277157528397403</v>
      </c>
    </row>
    <row r="31" spans="1:7">
      <c r="A31" s="115" t="s">
        <v>243</v>
      </c>
      <c r="B31" s="115" t="s">
        <v>165</v>
      </c>
      <c r="C31" s="115">
        <f t="shared" si="0"/>
        <v>2015</v>
      </c>
      <c r="D31" s="115" t="str">
        <f t="shared" si="1"/>
        <v>SWT15</v>
      </c>
      <c r="E31" s="150">
        <v>15.3251098751565</v>
      </c>
      <c r="F31" s="150">
        <v>16.849188434862501</v>
      </c>
      <c r="G31" s="150">
        <v>32.174298310019097</v>
      </c>
    </row>
    <row r="32" spans="1:7">
      <c r="A32" s="115" t="s">
        <v>243</v>
      </c>
      <c r="B32" s="115" t="s">
        <v>166</v>
      </c>
      <c r="C32" s="115">
        <f t="shared" si="0"/>
        <v>2016</v>
      </c>
      <c r="D32" s="115" t="str">
        <f t="shared" si="1"/>
        <v>SWT16</v>
      </c>
      <c r="E32" s="150">
        <v>17.391463883194501</v>
      </c>
      <c r="F32" s="150">
        <v>15.695966389351099</v>
      </c>
      <c r="G32" s="150">
        <v>33.087430272545603</v>
      </c>
    </row>
    <row r="33" spans="1:7">
      <c r="A33" s="115" t="s">
        <v>107</v>
      </c>
      <c r="B33" s="115" t="s">
        <v>164</v>
      </c>
      <c r="C33" s="115">
        <f t="shared" si="0"/>
        <v>2014</v>
      </c>
      <c r="D33" s="115" t="str">
        <f t="shared" si="1"/>
        <v>TMS14</v>
      </c>
      <c r="E33" s="150">
        <v>81.354352806714303</v>
      </c>
      <c r="F33" s="150">
        <v>78.321044624746406</v>
      </c>
      <c r="G33" s="150">
        <v>159.67539743146099</v>
      </c>
    </row>
    <row r="34" spans="1:7">
      <c r="A34" s="115" t="s">
        <v>107</v>
      </c>
      <c r="B34" s="115" t="s">
        <v>165</v>
      </c>
      <c r="C34" s="115">
        <f t="shared" si="0"/>
        <v>2015</v>
      </c>
      <c r="D34" s="115" t="str">
        <f t="shared" si="1"/>
        <v>TMS15</v>
      </c>
      <c r="E34" s="150">
        <v>89.214932932986102</v>
      </c>
      <c r="F34" s="150">
        <v>86.006835464193202</v>
      </c>
      <c r="G34" s="150">
        <v>175.22176839717901</v>
      </c>
    </row>
    <row r="35" spans="1:7">
      <c r="A35" s="115" t="s">
        <v>107</v>
      </c>
      <c r="B35" s="115" t="s">
        <v>166</v>
      </c>
      <c r="C35" s="115">
        <f t="shared" si="0"/>
        <v>2016</v>
      </c>
      <c r="D35" s="115" t="str">
        <f t="shared" si="1"/>
        <v>TMS16</v>
      </c>
      <c r="E35" s="150">
        <v>91.685574362417199</v>
      </c>
      <c r="F35" s="150">
        <v>79.531770377774805</v>
      </c>
      <c r="G35" s="150">
        <v>171.217344740192</v>
      </c>
    </row>
    <row r="36" spans="1:7">
      <c r="A36" s="115" t="s">
        <v>107</v>
      </c>
      <c r="B36" s="115" t="s">
        <v>167</v>
      </c>
      <c r="C36" s="115">
        <f t="shared" si="0"/>
        <v>2017</v>
      </c>
      <c r="D36" s="115" t="str">
        <f t="shared" si="1"/>
        <v>TMS17</v>
      </c>
      <c r="E36" s="150">
        <v>101.728977464837</v>
      </c>
      <c r="F36" s="150">
        <v>68.656246532622106</v>
      </c>
      <c r="G36" s="150">
        <v>170.38522399745901</v>
      </c>
    </row>
    <row r="37" spans="1:7">
      <c r="A37" s="115" t="s">
        <v>107</v>
      </c>
      <c r="B37" s="115" t="s">
        <v>197</v>
      </c>
      <c r="C37" s="115">
        <f t="shared" si="0"/>
        <v>2018</v>
      </c>
      <c r="D37" s="115" t="str">
        <f t="shared" si="1"/>
        <v>TMS18</v>
      </c>
      <c r="E37" s="150">
        <v>108.47340047829201</v>
      </c>
      <c r="F37" s="150">
        <v>64.543058146327994</v>
      </c>
      <c r="G37" s="150">
        <v>173.01645862461999</v>
      </c>
    </row>
    <row r="38" spans="1:7">
      <c r="A38" s="115" t="s">
        <v>140</v>
      </c>
      <c r="B38" s="115" t="s">
        <v>164</v>
      </c>
      <c r="C38" s="115">
        <f t="shared" si="0"/>
        <v>2014</v>
      </c>
      <c r="D38" s="115" t="str">
        <f t="shared" si="1"/>
        <v>WSH14</v>
      </c>
      <c r="E38" s="150">
        <v>26.531068897903999</v>
      </c>
      <c r="F38" s="150">
        <v>34.281575726842398</v>
      </c>
      <c r="G38" s="150">
        <v>60.812644624746397</v>
      </c>
    </row>
    <row r="39" spans="1:7">
      <c r="A39" s="115" t="s">
        <v>140</v>
      </c>
      <c r="B39" s="115" t="s">
        <v>165</v>
      </c>
      <c r="C39" s="115">
        <f t="shared" si="0"/>
        <v>2015</v>
      </c>
      <c r="D39" s="115" t="str">
        <f t="shared" si="1"/>
        <v>WSH15</v>
      </c>
      <c r="E39" s="150">
        <v>30.5321130776302</v>
      </c>
      <c r="F39" s="150">
        <v>35.540783320798901</v>
      </c>
      <c r="G39" s="150">
        <v>66.072896398428995</v>
      </c>
    </row>
    <row r="40" spans="1:7">
      <c r="A40" s="115" t="s">
        <v>140</v>
      </c>
      <c r="B40" s="115" t="s">
        <v>166</v>
      </c>
      <c r="C40" s="115">
        <f t="shared" si="0"/>
        <v>2016</v>
      </c>
      <c r="D40" s="115" t="str">
        <f t="shared" si="1"/>
        <v>WSH16</v>
      </c>
      <c r="E40" s="150">
        <v>30.276797104825299</v>
      </c>
      <c r="F40" s="150">
        <v>34.753570549084799</v>
      </c>
      <c r="G40" s="150">
        <v>65.030367653910105</v>
      </c>
    </row>
    <row r="41" spans="1:7">
      <c r="A41" s="115" t="s">
        <v>140</v>
      </c>
      <c r="B41" s="115" t="s">
        <v>167</v>
      </c>
      <c r="C41" s="115">
        <f t="shared" si="0"/>
        <v>2017</v>
      </c>
      <c r="D41" s="115" t="str">
        <f t="shared" si="1"/>
        <v>WSH17</v>
      </c>
      <c r="E41" s="150">
        <v>27.2853311350021</v>
      </c>
      <c r="F41" s="150">
        <v>32.277488223225298</v>
      </c>
      <c r="G41" s="150">
        <v>59.562819358227301</v>
      </c>
    </row>
    <row r="42" spans="1:7">
      <c r="A42" s="115" t="s">
        <v>140</v>
      </c>
      <c r="B42" s="115" t="s">
        <v>197</v>
      </c>
      <c r="C42" s="115">
        <f t="shared" si="0"/>
        <v>2018</v>
      </c>
      <c r="D42" s="115" t="str">
        <f t="shared" si="1"/>
        <v>WSH18</v>
      </c>
      <c r="E42" s="150">
        <v>27.7422</v>
      </c>
      <c r="F42" s="150">
        <v>29.073</v>
      </c>
      <c r="G42" s="150">
        <v>56.815199999999997</v>
      </c>
    </row>
    <row r="43" spans="1:7">
      <c r="A43" s="115" t="s">
        <v>108</v>
      </c>
      <c r="B43" s="115" t="s">
        <v>164</v>
      </c>
      <c r="C43" s="115">
        <f t="shared" si="0"/>
        <v>2014</v>
      </c>
      <c r="D43" s="115" t="str">
        <f t="shared" si="1"/>
        <v>WSX14</v>
      </c>
      <c r="E43" s="150">
        <v>12.5637102434077</v>
      </c>
      <c r="F43" s="150">
        <v>15.3259803921569</v>
      </c>
      <c r="G43" s="150">
        <v>27.889690635564602</v>
      </c>
    </row>
    <row r="44" spans="1:7">
      <c r="A44" s="115" t="s">
        <v>108</v>
      </c>
      <c r="B44" s="115" t="s">
        <v>165</v>
      </c>
      <c r="C44" s="115">
        <f t="shared" si="0"/>
        <v>2015</v>
      </c>
      <c r="D44" s="115" t="str">
        <f t="shared" si="1"/>
        <v>WSX15</v>
      </c>
      <c r="E44" s="150">
        <v>14.5120597977772</v>
      </c>
      <c r="F44" s="150">
        <v>14.839575499289699</v>
      </c>
      <c r="G44" s="150">
        <v>29.351635297066899</v>
      </c>
    </row>
    <row r="45" spans="1:7">
      <c r="A45" s="115" t="s">
        <v>108</v>
      </c>
      <c r="B45" s="115" t="s">
        <v>166</v>
      </c>
      <c r="C45" s="115">
        <f t="shared" si="0"/>
        <v>2016</v>
      </c>
      <c r="D45" s="115" t="str">
        <f t="shared" si="1"/>
        <v>WSX16</v>
      </c>
      <c r="E45" s="150">
        <v>14.5428940168343</v>
      </c>
      <c r="F45" s="150">
        <v>13.799726124773001</v>
      </c>
      <c r="G45" s="150">
        <v>28.342620141607402</v>
      </c>
    </row>
    <row r="46" spans="1:7">
      <c r="A46" s="115" t="s">
        <v>108</v>
      </c>
      <c r="B46" s="115" t="s">
        <v>167</v>
      </c>
      <c r="C46" s="115">
        <f t="shared" si="0"/>
        <v>2017</v>
      </c>
      <c r="D46" s="115" t="str">
        <f t="shared" si="1"/>
        <v>WSX17</v>
      </c>
      <c r="E46" s="150">
        <v>15.136929011986</v>
      </c>
      <c r="F46" s="150">
        <v>13.149404579464001</v>
      </c>
      <c r="G46" s="150">
        <v>28.286333591449999</v>
      </c>
    </row>
    <row r="47" spans="1:7">
      <c r="A47" s="115" t="s">
        <v>108</v>
      </c>
      <c r="B47" s="115" t="s">
        <v>197</v>
      </c>
      <c r="C47" s="115">
        <f t="shared" si="0"/>
        <v>2018</v>
      </c>
      <c r="D47" s="115" t="str">
        <f t="shared" si="1"/>
        <v>WSX18</v>
      </c>
      <c r="E47" s="150">
        <v>16.928599999999999</v>
      </c>
      <c r="F47" s="150">
        <v>13.13</v>
      </c>
      <c r="G47" s="150">
        <v>30.058599999999998</v>
      </c>
    </row>
    <row r="48" spans="1:7">
      <c r="A48" s="115" t="s">
        <v>109</v>
      </c>
      <c r="B48" s="115" t="s">
        <v>164</v>
      </c>
      <c r="C48" s="115">
        <f t="shared" si="0"/>
        <v>2014</v>
      </c>
      <c r="D48" s="115" t="str">
        <f t="shared" si="1"/>
        <v>YKY14</v>
      </c>
      <c r="E48" s="150">
        <v>36.2758557133198</v>
      </c>
      <c r="F48" s="150">
        <v>21.033586883029098</v>
      </c>
      <c r="G48" s="150">
        <v>57.309442596348902</v>
      </c>
    </row>
    <row r="49" spans="1:7">
      <c r="A49" s="115" t="s">
        <v>109</v>
      </c>
      <c r="B49" s="115" t="s">
        <v>165</v>
      </c>
      <c r="C49" s="115">
        <f t="shared" si="0"/>
        <v>2015</v>
      </c>
      <c r="D49" s="115" t="str">
        <f t="shared" si="1"/>
        <v>YKY15</v>
      </c>
      <c r="E49" s="150">
        <v>35.657618851842599</v>
      </c>
      <c r="F49" s="150">
        <v>22.886387565806</v>
      </c>
      <c r="G49" s="150">
        <v>58.544006417648497</v>
      </c>
    </row>
    <row r="50" spans="1:7">
      <c r="A50" s="115" t="s">
        <v>109</v>
      </c>
      <c r="B50" s="115" t="s">
        <v>166</v>
      </c>
      <c r="C50" s="115">
        <f t="shared" si="0"/>
        <v>2016</v>
      </c>
      <c r="D50" s="115" t="str">
        <f t="shared" si="1"/>
        <v>YKY16</v>
      </c>
      <c r="E50" s="150">
        <v>35.975275724492803</v>
      </c>
      <c r="F50" s="150">
        <v>22.063413976705501</v>
      </c>
      <c r="G50" s="150">
        <v>58.038689701198301</v>
      </c>
    </row>
    <row r="51" spans="1:7">
      <c r="A51" s="115" t="s">
        <v>109</v>
      </c>
      <c r="B51" s="115" t="s">
        <v>167</v>
      </c>
      <c r="C51" s="115">
        <f t="shared" si="0"/>
        <v>2017</v>
      </c>
      <c r="D51" s="115" t="str">
        <f t="shared" si="1"/>
        <v>YKY17</v>
      </c>
      <c r="E51" s="150">
        <v>34.071332031185797</v>
      </c>
      <c r="F51" s="150">
        <v>22.824861222814899</v>
      </c>
      <c r="G51" s="150">
        <v>56.8961932540007</v>
      </c>
    </row>
    <row r="52" spans="1:7">
      <c r="A52" s="115" t="s">
        <v>109</v>
      </c>
      <c r="B52" s="115" t="s">
        <v>197</v>
      </c>
      <c r="C52" s="115">
        <f t="shared" si="0"/>
        <v>2018</v>
      </c>
      <c r="D52" s="115" t="str">
        <f t="shared" si="1"/>
        <v>YKY18</v>
      </c>
      <c r="E52" s="150">
        <v>33.599800000000002</v>
      </c>
      <c r="F52" s="150">
        <v>23.956</v>
      </c>
      <c r="G52" s="150">
        <v>57.555799999999998</v>
      </c>
    </row>
    <row r="53" spans="1:7">
      <c r="A53" s="115" t="s">
        <v>110</v>
      </c>
      <c r="B53" s="115" t="s">
        <v>164</v>
      </c>
      <c r="C53" s="115">
        <f t="shared" si="0"/>
        <v>2014</v>
      </c>
      <c r="D53" s="115" t="str">
        <f t="shared" si="1"/>
        <v>AFW14</v>
      </c>
      <c r="E53" s="150">
        <v>20.125791276728201</v>
      </c>
      <c r="F53" s="150">
        <v>8.6871884719404999</v>
      </c>
      <c r="G53" s="150">
        <v>28.812979748668699</v>
      </c>
    </row>
    <row r="54" spans="1:7">
      <c r="A54" s="115" t="s">
        <v>110</v>
      </c>
      <c r="B54" s="115" t="s">
        <v>165</v>
      </c>
      <c r="C54" s="115">
        <f t="shared" si="0"/>
        <v>2015</v>
      </c>
      <c r="D54" s="115" t="str">
        <f t="shared" si="1"/>
        <v>AFW15</v>
      </c>
      <c r="E54" s="150">
        <v>22.2072462928259</v>
      </c>
      <c r="F54" s="150">
        <v>9.3928242667335198</v>
      </c>
      <c r="G54" s="150">
        <v>31.600070559559502</v>
      </c>
    </row>
    <row r="55" spans="1:7">
      <c r="A55" s="115" t="s">
        <v>110</v>
      </c>
      <c r="B55" s="115" t="s">
        <v>166</v>
      </c>
      <c r="C55" s="115">
        <f t="shared" si="0"/>
        <v>2016</v>
      </c>
      <c r="D55" s="115" t="str">
        <f t="shared" si="1"/>
        <v>AFW16</v>
      </c>
      <c r="E55" s="150">
        <v>23.9823973776966</v>
      </c>
      <c r="F55" s="150">
        <v>10.4209730449251</v>
      </c>
      <c r="G55" s="150">
        <v>34.403370422621698</v>
      </c>
    </row>
    <row r="56" spans="1:7">
      <c r="A56" s="115" t="s">
        <v>110</v>
      </c>
      <c r="B56" s="115" t="s">
        <v>167</v>
      </c>
      <c r="C56" s="115">
        <f t="shared" si="0"/>
        <v>2017</v>
      </c>
      <c r="D56" s="115" t="str">
        <f t="shared" si="1"/>
        <v>AFW17</v>
      </c>
      <c r="E56" s="150">
        <v>22.247162280365</v>
      </c>
      <c r="F56" s="150">
        <v>10.3209139105457</v>
      </c>
      <c r="G56" s="150">
        <v>32.568076190910801</v>
      </c>
    </row>
    <row r="57" spans="1:7">
      <c r="A57" s="115" t="s">
        <v>110</v>
      </c>
      <c r="B57" s="115" t="s">
        <v>197</v>
      </c>
      <c r="C57" s="115">
        <f t="shared" si="0"/>
        <v>2018</v>
      </c>
      <c r="D57" s="115" t="str">
        <f t="shared" si="1"/>
        <v>AFW18</v>
      </c>
      <c r="E57" s="150">
        <v>20.2031292488604</v>
      </c>
      <c r="F57" s="150">
        <v>10.667999999999999</v>
      </c>
      <c r="G57" s="150">
        <v>30.871129248860399</v>
      </c>
    </row>
    <row r="58" spans="1:7">
      <c r="A58" s="115" t="s">
        <v>111</v>
      </c>
      <c r="B58" s="115" t="s">
        <v>164</v>
      </c>
      <c r="C58" s="115">
        <f t="shared" si="0"/>
        <v>2014</v>
      </c>
      <c r="D58" s="115" t="str">
        <f t="shared" si="1"/>
        <v>BRL14</v>
      </c>
      <c r="E58" s="150">
        <v>5.3186436781609201</v>
      </c>
      <c r="F58" s="150">
        <v>4.3335530764029704</v>
      </c>
      <c r="G58" s="150">
        <v>9.6521967545638905</v>
      </c>
    </row>
    <row r="59" spans="1:7">
      <c r="A59" s="115" t="s">
        <v>111</v>
      </c>
      <c r="B59" s="115" t="s">
        <v>165</v>
      </c>
      <c r="C59" s="115">
        <f t="shared" si="0"/>
        <v>2015</v>
      </c>
      <c r="D59" s="115" t="str">
        <f t="shared" si="1"/>
        <v>BRL15</v>
      </c>
      <c r="E59" s="150">
        <v>5.5721560959304801</v>
      </c>
      <c r="F59" s="150">
        <v>4.0756580596640797</v>
      </c>
      <c r="G59" s="150">
        <v>9.6478141555945491</v>
      </c>
    </row>
    <row r="60" spans="1:7">
      <c r="A60" s="115" t="s">
        <v>111</v>
      </c>
      <c r="B60" s="115" t="s">
        <v>166</v>
      </c>
      <c r="C60" s="115">
        <f t="shared" si="0"/>
        <v>2016</v>
      </c>
      <c r="D60" s="115" t="str">
        <f t="shared" si="1"/>
        <v>BRL16</v>
      </c>
      <c r="E60" s="150">
        <v>6.6121748074770803</v>
      </c>
      <c r="F60" s="150">
        <v>2.9475455906821999</v>
      </c>
      <c r="G60" s="150">
        <v>9.5597203981592802</v>
      </c>
    </row>
    <row r="61" spans="1:7">
      <c r="A61" s="115" t="s">
        <v>111</v>
      </c>
      <c r="B61" s="115" t="s">
        <v>167</v>
      </c>
      <c r="C61" s="115">
        <f t="shared" si="0"/>
        <v>2017</v>
      </c>
      <c r="D61" s="115" t="str">
        <f t="shared" si="1"/>
        <v>BRL17</v>
      </c>
      <c r="E61" s="150">
        <v>5.7635622925114696</v>
      </c>
      <c r="F61" s="150">
        <v>3.34690734509643</v>
      </c>
      <c r="G61" s="150">
        <v>9.1104696376079009</v>
      </c>
    </row>
    <row r="62" spans="1:7">
      <c r="A62" s="115" t="s">
        <v>111</v>
      </c>
      <c r="B62" s="115" t="s">
        <v>197</v>
      </c>
      <c r="C62" s="115">
        <f t="shared" si="0"/>
        <v>2018</v>
      </c>
      <c r="D62" s="115" t="str">
        <f t="shared" si="1"/>
        <v>BRL18</v>
      </c>
      <c r="E62" s="150">
        <v>6.5810000000000004</v>
      </c>
      <c r="F62" s="150">
        <v>3.468</v>
      </c>
      <c r="G62" s="150">
        <v>10.048999999999999</v>
      </c>
    </row>
    <row r="63" spans="1:7">
      <c r="A63" s="115" t="s">
        <v>112</v>
      </c>
      <c r="B63" s="115" t="s">
        <v>164</v>
      </c>
      <c r="C63" s="115">
        <f t="shared" si="0"/>
        <v>2014</v>
      </c>
      <c r="D63" s="115" t="str">
        <f t="shared" si="1"/>
        <v>DVW14</v>
      </c>
      <c r="E63" s="150">
        <v>2.02519441133169</v>
      </c>
      <c r="F63" s="150">
        <v>0.63206457065584798</v>
      </c>
      <c r="G63" s="150">
        <v>2.6572589819875398</v>
      </c>
    </row>
    <row r="64" spans="1:7">
      <c r="A64" s="115" t="s">
        <v>112</v>
      </c>
      <c r="B64" s="115" t="s">
        <v>165</v>
      </c>
      <c r="C64" s="115">
        <f t="shared" si="0"/>
        <v>2015</v>
      </c>
      <c r="D64" s="115" t="str">
        <f t="shared" si="1"/>
        <v>DVW15</v>
      </c>
      <c r="E64" s="150">
        <v>2.3973734666062101</v>
      </c>
      <c r="F64" s="150">
        <v>1.2561387147990299</v>
      </c>
      <c r="G64" s="150">
        <v>3.6535121814052398</v>
      </c>
    </row>
    <row r="65" spans="1:7">
      <c r="A65" s="115" t="s">
        <v>112</v>
      </c>
      <c r="B65" s="115" t="s">
        <v>166</v>
      </c>
      <c r="C65" s="115">
        <f t="shared" si="0"/>
        <v>2016</v>
      </c>
      <c r="D65" s="115" t="str">
        <f t="shared" si="1"/>
        <v>DVW16</v>
      </c>
      <c r="E65" s="150">
        <v>1.89357470977193</v>
      </c>
      <c r="F65" s="150">
        <v>0.69858564637828002</v>
      </c>
      <c r="G65" s="150">
        <v>2.59216035615021</v>
      </c>
    </row>
    <row r="66" spans="1:7">
      <c r="A66" s="115" t="s">
        <v>112</v>
      </c>
      <c r="B66" s="115" t="s">
        <v>167</v>
      </c>
      <c r="C66" s="115">
        <f t="shared" si="0"/>
        <v>2017</v>
      </c>
      <c r="D66" s="115" t="str">
        <f t="shared" si="1"/>
        <v>DVW17</v>
      </c>
      <c r="E66" s="150">
        <v>1.5251965756977099</v>
      </c>
      <c r="F66" s="150">
        <v>0.44440689372178899</v>
      </c>
      <c r="G66" s="150">
        <v>1.9696034694194899</v>
      </c>
    </row>
    <row r="67" spans="1:7">
      <c r="A67" s="115" t="s">
        <v>112</v>
      </c>
      <c r="B67" s="115" t="s">
        <v>197</v>
      </c>
      <c r="C67" s="115">
        <f t="shared" si="0"/>
        <v>2018</v>
      </c>
      <c r="D67" s="115" t="str">
        <f t="shared" si="1"/>
        <v>DVW18</v>
      </c>
      <c r="E67" s="150">
        <v>1.5699085875970999</v>
      </c>
      <c r="F67" s="150">
        <v>0.75600000000000001</v>
      </c>
      <c r="G67" s="150">
        <v>2.3259085875971</v>
      </c>
    </row>
    <row r="68" spans="1:7">
      <c r="A68" s="115" t="s">
        <v>113</v>
      </c>
      <c r="B68" s="115" t="s">
        <v>164</v>
      </c>
      <c r="C68" s="115">
        <f t="shared" si="0"/>
        <v>2014</v>
      </c>
      <c r="D68" s="115" t="str">
        <f t="shared" si="1"/>
        <v>PRT14</v>
      </c>
      <c r="E68" s="150">
        <v>3.7224163962136601</v>
      </c>
      <c r="F68" s="150">
        <v>1.0442805949966201</v>
      </c>
      <c r="G68" s="150">
        <v>4.7666969912102797</v>
      </c>
    </row>
    <row r="69" spans="1:7">
      <c r="A69" s="115" t="s">
        <v>113</v>
      </c>
      <c r="B69" s="115" t="s">
        <v>165</v>
      </c>
      <c r="C69" s="115">
        <f t="shared" si="0"/>
        <v>2015</v>
      </c>
      <c r="D69" s="115" t="str">
        <f t="shared" si="1"/>
        <v>PRT15</v>
      </c>
      <c r="E69" s="150">
        <v>3.5173974095429101</v>
      </c>
      <c r="F69" s="150">
        <v>1.53934469791928</v>
      </c>
      <c r="G69" s="150">
        <v>5.0567421074621901</v>
      </c>
    </row>
    <row r="70" spans="1:7">
      <c r="A70" s="115" t="s">
        <v>113</v>
      </c>
      <c r="B70" s="115" t="s">
        <v>166</v>
      </c>
      <c r="C70" s="115">
        <f t="shared" ref="C70:C92" si="2">_xlfn.NUMBERVALUE("20"&amp;RIGHT(B70, 2))</f>
        <v>2016</v>
      </c>
      <c r="D70" s="115" t="str">
        <f t="shared" ref="D70:D92" si="3">A70&amp;RIGHT(B70,2)</f>
        <v>PRT16</v>
      </c>
      <c r="E70" s="150">
        <v>3.7422280199667202</v>
      </c>
      <c r="F70" s="150">
        <v>1.2724490848585699</v>
      </c>
      <c r="G70" s="150">
        <v>5.0146771048252896</v>
      </c>
    </row>
    <row r="71" spans="1:7">
      <c r="A71" s="115" t="s">
        <v>113</v>
      </c>
      <c r="B71" s="115" t="s">
        <v>167</v>
      </c>
      <c r="C71" s="115">
        <f t="shared" si="2"/>
        <v>2017</v>
      </c>
      <c r="D71" s="115" t="str">
        <f t="shared" si="3"/>
        <v>PRT17</v>
      </c>
      <c r="E71" s="150">
        <v>3.72234393106277</v>
      </c>
      <c r="F71" s="150">
        <v>0.72870414443988496</v>
      </c>
      <c r="G71" s="150">
        <v>4.4510480755026602</v>
      </c>
    </row>
    <row r="72" spans="1:7">
      <c r="A72" s="115" t="s">
        <v>113</v>
      </c>
      <c r="B72" s="115" t="s">
        <v>197</v>
      </c>
      <c r="C72" s="115">
        <f t="shared" si="2"/>
        <v>2018</v>
      </c>
      <c r="D72" s="115" t="str">
        <f t="shared" si="3"/>
        <v>PRT18</v>
      </c>
      <c r="E72" s="150">
        <v>3.7437999999999998</v>
      </c>
      <c r="F72" s="150">
        <v>1.099</v>
      </c>
      <c r="G72" s="150">
        <v>4.8428000000000004</v>
      </c>
    </row>
    <row r="73" spans="1:7">
      <c r="A73" s="115" t="s">
        <v>200</v>
      </c>
      <c r="B73" s="115" t="s">
        <v>164</v>
      </c>
      <c r="C73" s="115">
        <f t="shared" si="2"/>
        <v>2014</v>
      </c>
      <c r="D73" s="115" t="str">
        <f t="shared" si="3"/>
        <v>BWH14</v>
      </c>
      <c r="E73" s="150">
        <v>3.4591532108407899</v>
      </c>
      <c r="F73" s="150">
        <v>0.80752062204191999</v>
      </c>
      <c r="G73" s="150">
        <v>4.2666738328827103</v>
      </c>
    </row>
    <row r="74" spans="1:7">
      <c r="A74" s="115" t="s">
        <v>200</v>
      </c>
      <c r="B74" s="115" t="s">
        <v>165</v>
      </c>
      <c r="C74" s="115">
        <f t="shared" si="2"/>
        <v>2015</v>
      </c>
      <c r="D74" s="115" t="str">
        <f t="shared" si="3"/>
        <v>BWH15</v>
      </c>
      <c r="E74" s="150">
        <v>3.5047787073341898</v>
      </c>
      <c r="F74" s="150">
        <v>0.888284448901145</v>
      </c>
      <c r="G74" s="150">
        <v>4.3930631562353302</v>
      </c>
    </row>
    <row r="75" spans="1:7">
      <c r="A75" s="115" t="s">
        <v>200</v>
      </c>
      <c r="B75" s="115" t="s">
        <v>166</v>
      </c>
      <c r="C75" s="115">
        <f t="shared" si="2"/>
        <v>2016</v>
      </c>
      <c r="D75" s="115" t="str">
        <f t="shared" si="3"/>
        <v>BWH16</v>
      </c>
      <c r="E75" s="150">
        <v>3.9762474867444402</v>
      </c>
      <c r="F75" s="150">
        <v>0.77200099833610603</v>
      </c>
      <c r="G75" s="150">
        <v>4.7482484850805502</v>
      </c>
    </row>
    <row r="76" spans="1:7">
      <c r="A76" s="115" t="s">
        <v>114</v>
      </c>
      <c r="B76" s="115" t="s">
        <v>164</v>
      </c>
      <c r="C76" s="115">
        <f t="shared" si="2"/>
        <v>2014</v>
      </c>
      <c r="D76" s="115" t="str">
        <f t="shared" si="3"/>
        <v>SES14</v>
      </c>
      <c r="E76" s="150">
        <v>4.9400391142664004</v>
      </c>
      <c r="F76" s="150">
        <v>1.2503886071670001</v>
      </c>
      <c r="G76" s="150">
        <v>6.1904277214333998</v>
      </c>
    </row>
    <row r="77" spans="1:7">
      <c r="A77" s="115" t="s">
        <v>114</v>
      </c>
      <c r="B77" s="115" t="s">
        <v>165</v>
      </c>
      <c r="C77" s="115">
        <f t="shared" si="2"/>
        <v>2015</v>
      </c>
      <c r="D77" s="115" t="str">
        <f t="shared" si="3"/>
        <v>SES15</v>
      </c>
      <c r="E77" s="150">
        <v>4.9658235815158402</v>
      </c>
      <c r="F77" s="150">
        <v>1.1547697835714901</v>
      </c>
      <c r="G77" s="150">
        <v>6.1205933650873297</v>
      </c>
    </row>
    <row r="78" spans="1:7">
      <c r="A78" s="115" t="s">
        <v>114</v>
      </c>
      <c r="B78" s="115" t="s">
        <v>166</v>
      </c>
      <c r="C78" s="115">
        <f t="shared" si="2"/>
        <v>2016</v>
      </c>
      <c r="D78" s="115" t="str">
        <f t="shared" si="3"/>
        <v>SES16</v>
      </c>
      <c r="E78" s="150">
        <v>5.4724674542429304</v>
      </c>
      <c r="F78" s="150">
        <v>1.2016996672213001</v>
      </c>
      <c r="G78" s="150">
        <v>6.6741671214642304</v>
      </c>
    </row>
    <row r="79" spans="1:7">
      <c r="A79" s="115" t="s">
        <v>114</v>
      </c>
      <c r="B79" s="115" t="s">
        <v>167</v>
      </c>
      <c r="C79" s="115">
        <f t="shared" si="2"/>
        <v>2017</v>
      </c>
      <c r="D79" s="115" t="str">
        <f t="shared" si="3"/>
        <v>SES17</v>
      </c>
      <c r="E79" s="150">
        <v>5.3870736807550301</v>
      </c>
      <c r="F79" s="150">
        <v>1.30858842839557</v>
      </c>
      <c r="G79" s="150">
        <v>6.6956621091505903</v>
      </c>
    </row>
    <row r="80" spans="1:7">
      <c r="A80" s="115" t="s">
        <v>114</v>
      </c>
      <c r="B80" s="115" t="s">
        <v>197</v>
      </c>
      <c r="C80" s="115">
        <f t="shared" si="2"/>
        <v>2018</v>
      </c>
      <c r="D80" s="115" t="str">
        <f t="shared" si="3"/>
        <v>SES18</v>
      </c>
      <c r="E80" s="150">
        <v>6.0018000000000002</v>
      </c>
      <c r="F80" s="150">
        <v>1.4770000000000001</v>
      </c>
      <c r="G80" s="150">
        <v>7.4787999999999997</v>
      </c>
    </row>
    <row r="81" spans="1:8">
      <c r="A81" s="115" t="s">
        <v>115</v>
      </c>
      <c r="B81" s="115" t="s">
        <v>164</v>
      </c>
      <c r="C81" s="115">
        <f t="shared" si="2"/>
        <v>2014</v>
      </c>
      <c r="D81" s="115" t="str">
        <f t="shared" si="3"/>
        <v>SEW14</v>
      </c>
      <c r="E81" s="150">
        <v>12.364155409060199</v>
      </c>
      <c r="F81" s="150">
        <v>5.5374352603110202</v>
      </c>
      <c r="G81" s="150">
        <v>17.901590669371199</v>
      </c>
    </row>
    <row r="82" spans="1:8">
      <c r="A82" s="115" t="s">
        <v>115</v>
      </c>
      <c r="B82" s="115" t="s">
        <v>165</v>
      </c>
      <c r="C82" s="115">
        <f t="shared" si="2"/>
        <v>2015</v>
      </c>
      <c r="D82" s="115" t="str">
        <f t="shared" si="3"/>
        <v>SEW15</v>
      </c>
      <c r="E82" s="150">
        <v>12.0470182000501</v>
      </c>
      <c r="F82" s="150">
        <v>3.7527405364753101</v>
      </c>
      <c r="G82" s="150">
        <v>15.7997587365254</v>
      </c>
    </row>
    <row r="83" spans="1:8">
      <c r="A83" s="115" t="s">
        <v>115</v>
      </c>
      <c r="B83" s="115" t="s">
        <v>166</v>
      </c>
      <c r="C83" s="115">
        <f t="shared" si="2"/>
        <v>2016</v>
      </c>
      <c r="D83" s="115" t="str">
        <f t="shared" si="3"/>
        <v>SEW16</v>
      </c>
      <c r="E83" s="150">
        <v>14.049793910149701</v>
      </c>
      <c r="F83" s="150">
        <v>4.7381301164725498</v>
      </c>
      <c r="G83" s="150">
        <v>18.787924026622299</v>
      </c>
    </row>
    <row r="84" spans="1:8">
      <c r="A84" s="115" t="s">
        <v>115</v>
      </c>
      <c r="B84" s="115" t="s">
        <v>167</v>
      </c>
      <c r="C84" s="115">
        <f t="shared" si="2"/>
        <v>2017</v>
      </c>
      <c r="D84" s="115" t="str">
        <f t="shared" si="3"/>
        <v>SEW17</v>
      </c>
      <c r="E84" s="150">
        <v>14.9556775379565</v>
      </c>
      <c r="F84" s="150">
        <v>1.73041575707837</v>
      </c>
      <c r="G84" s="150">
        <v>16.686093295034901</v>
      </c>
    </row>
    <row r="85" spans="1:8">
      <c r="A85" s="115" t="s">
        <v>115</v>
      </c>
      <c r="B85" s="115" t="s">
        <v>197</v>
      </c>
      <c r="C85" s="115">
        <f t="shared" si="2"/>
        <v>2018</v>
      </c>
      <c r="D85" s="115" t="str">
        <f t="shared" si="3"/>
        <v>SEW18</v>
      </c>
      <c r="E85" s="150">
        <v>13.8208</v>
      </c>
      <c r="F85" s="150">
        <v>1.6719999999999999</v>
      </c>
      <c r="G85" s="150">
        <v>15.492800000000001</v>
      </c>
    </row>
    <row r="86" spans="1:8">
      <c r="A86" s="115" t="s">
        <v>116</v>
      </c>
      <c r="B86" s="115" t="s">
        <v>164</v>
      </c>
      <c r="C86" s="115">
        <f t="shared" si="2"/>
        <v>2014</v>
      </c>
      <c r="D86" s="115" t="str">
        <f t="shared" si="3"/>
        <v>SSC14</v>
      </c>
      <c r="E86" s="150">
        <v>11.2871809343793</v>
      </c>
      <c r="F86" s="150">
        <v>4.4889268086544902</v>
      </c>
      <c r="G86" s="150">
        <v>15.776107743033799</v>
      </c>
    </row>
    <row r="87" spans="1:8">
      <c r="A87" s="115" t="s">
        <v>116</v>
      </c>
      <c r="B87" s="115" t="s">
        <v>165</v>
      </c>
      <c r="C87" s="115">
        <f t="shared" si="2"/>
        <v>2015</v>
      </c>
      <c r="D87" s="115" t="str">
        <f t="shared" si="3"/>
        <v>SSC15</v>
      </c>
      <c r="E87" s="150">
        <v>11.5224790520244</v>
      </c>
      <c r="F87" s="150">
        <v>4.9702127517339401</v>
      </c>
      <c r="G87" s="150">
        <v>16.492691803758301</v>
      </c>
    </row>
    <row r="88" spans="1:8">
      <c r="A88" s="115" t="s">
        <v>116</v>
      </c>
      <c r="B88" s="115" t="s">
        <v>166</v>
      </c>
      <c r="C88" s="115">
        <f t="shared" si="2"/>
        <v>2016</v>
      </c>
      <c r="D88" s="115" t="str">
        <f t="shared" si="3"/>
        <v>SSC16</v>
      </c>
      <c r="E88" s="150">
        <v>10.5759339244128</v>
      </c>
      <c r="F88" s="150">
        <v>3.1818931484811199</v>
      </c>
      <c r="G88" s="150">
        <v>13.7578270728939</v>
      </c>
    </row>
    <row r="89" spans="1:8">
      <c r="A89" s="115" t="s">
        <v>116</v>
      </c>
      <c r="B89" s="115" t="s">
        <v>167</v>
      </c>
      <c r="C89" s="115">
        <f t="shared" si="2"/>
        <v>2017</v>
      </c>
      <c r="D89" s="115" t="str">
        <f t="shared" si="3"/>
        <v>SSC17</v>
      </c>
      <c r="E89" s="150">
        <v>9.6611342462137308</v>
      </c>
      <c r="F89" s="150">
        <v>3.9165400150914702</v>
      </c>
      <c r="G89" s="150">
        <v>13.5776742613052</v>
      </c>
    </row>
    <row r="90" spans="1:8">
      <c r="A90" s="115" t="s">
        <v>116</v>
      </c>
      <c r="B90" s="115" t="s">
        <v>197</v>
      </c>
      <c r="C90" s="115">
        <f t="shared" si="2"/>
        <v>2018</v>
      </c>
      <c r="D90" s="115" t="str">
        <f t="shared" si="3"/>
        <v>SSC18</v>
      </c>
      <c r="E90" s="150">
        <v>8.9398017686875004</v>
      </c>
      <c r="F90" s="150">
        <v>3.8114124120320199</v>
      </c>
      <c r="G90" s="150">
        <v>12.751214180719501</v>
      </c>
    </row>
    <row r="91" spans="1:8">
      <c r="A91" s="115" t="s">
        <v>117</v>
      </c>
      <c r="B91" s="115" t="s">
        <v>167</v>
      </c>
      <c r="C91" s="115">
        <f t="shared" si="2"/>
        <v>2017</v>
      </c>
      <c r="D91" s="115" t="str">
        <f t="shared" si="3"/>
        <v>SWB17</v>
      </c>
      <c r="E91" s="150">
        <v>18.4916374230611</v>
      </c>
      <c r="F91" s="150">
        <v>14.433473779236699</v>
      </c>
      <c r="G91" s="150">
        <v>32.925111202297799</v>
      </c>
    </row>
    <row r="92" spans="1:8">
      <c r="A92" s="115" t="s">
        <v>117</v>
      </c>
      <c r="B92" s="115" t="s">
        <v>197</v>
      </c>
      <c r="C92" s="115">
        <f t="shared" si="2"/>
        <v>2018</v>
      </c>
      <c r="D92" s="115" t="str">
        <f t="shared" si="3"/>
        <v>SWB18</v>
      </c>
      <c r="E92" s="150">
        <v>18.657</v>
      </c>
      <c r="F92" s="150">
        <v>13.593999999999999</v>
      </c>
      <c r="G92" s="150">
        <v>32.250999999999998</v>
      </c>
    </row>
    <row r="94" spans="1:8">
      <c r="E94" s="151"/>
      <c r="F94" s="151"/>
      <c r="G94" s="151"/>
    </row>
    <row r="95" spans="1:8">
      <c r="D95" s="2" t="s">
        <v>232</v>
      </c>
      <c r="E95" s="152">
        <f>SUM(E$5:E$92)</f>
        <v>2442.6919502319492</v>
      </c>
      <c r="F95" s="152">
        <f>SUM(F$5:F$92)</f>
        <v>1967.0307563972451</v>
      </c>
      <c r="G95" s="152">
        <f>SUM(G$5:G$92)</f>
        <v>4409.7227066291935</v>
      </c>
      <c r="H95" s="151"/>
    </row>
    <row r="96" spans="1:8">
      <c r="D96" s="2" t="s">
        <v>233</v>
      </c>
      <c r="E96" s="152" t="e">
        <f>SUM(#REF!)/1000000</f>
        <v>#REF!</v>
      </c>
      <c r="F96" s="152" t="e">
        <f>SUM(#REF!)/1000000</f>
        <v>#REF!</v>
      </c>
      <c r="G96" s="152" t="e">
        <f>SUM(#REF!)/1000000</f>
        <v>#REF!</v>
      </c>
    </row>
    <row r="97" spans="5:7">
      <c r="E97" s="77" t="e">
        <f>IF(SUM(E5:E92)-(SUM(#REF!)/1000000)&lt;1,"OK","error")</f>
        <v>#REF!</v>
      </c>
      <c r="F97" s="77" t="e">
        <f>IF(SUM(F5:F92)-(SUM(#REF!)/1000000)&lt;1,"OK","error")</f>
        <v>#REF!</v>
      </c>
      <c r="G97" s="77" t="e">
        <f>IF(SUM(G5:G92)-(SUM(#REF!)/1000000)&lt;0,"OK","error")</f>
        <v>#REF!</v>
      </c>
    </row>
    <row r="98" spans="5:7">
      <c r="E98" s="153"/>
      <c r="F98" s="153"/>
      <c r="G98" s="153"/>
    </row>
  </sheetData>
  <conditionalFormatting sqref="E97:G97">
    <cfRule type="expression" dxfId="1" priority="1">
      <formula>E97="error"</formula>
    </cfRule>
    <cfRule type="expression" dxfId="0" priority="2">
      <formula>E97="OK"</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
  <sheetViews>
    <sheetView showGridLines="0" workbookViewId="0"/>
  </sheetViews>
  <sheetFormatPr defaultRowHeight="14.25"/>
  <sheetData>
    <row r="1" spans="1:1">
      <c r="A1"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98"/>
  <sheetViews>
    <sheetView showGridLines="0" zoomScale="80" zoomScaleNormal="80" workbookViewId="0">
      <pane xSplit="3" ySplit="4" topLeftCell="D5" activePane="bottomRight" state="frozen"/>
      <selection pane="topRight" activeCell="B1" sqref="B1"/>
      <selection pane="bottomLeft" activeCell="A7" sqref="A7"/>
      <selection pane="bottomRight"/>
    </sheetView>
  </sheetViews>
  <sheetFormatPr defaultColWidth="8.75" defaultRowHeight="12.75"/>
  <cols>
    <col min="1" max="2" width="8.75" style="17"/>
    <col min="3" max="3" width="9.25" style="17" bestFit="1" customWidth="1"/>
    <col min="4" max="4" width="7.125" style="17" bestFit="1" customWidth="1"/>
    <col min="5" max="11" width="9.25" style="17" customWidth="1"/>
    <col min="12" max="12" width="3.25" style="17" customWidth="1"/>
    <col min="13" max="19" width="8.375" style="17" customWidth="1"/>
    <col min="20" max="16384" width="8.75" style="17"/>
  </cols>
  <sheetData>
    <row r="1" spans="1:19">
      <c r="C1" s="115" t="s">
        <v>220</v>
      </c>
      <c r="D1" s="145">
        <f>COUNTA(C5:C92)</f>
        <v>88</v>
      </c>
    </row>
    <row r="2" spans="1:19">
      <c r="E2" s="139" t="s">
        <v>231</v>
      </c>
      <c r="F2" s="141"/>
      <c r="G2" s="142"/>
      <c r="H2" s="141"/>
      <c r="I2" s="141"/>
      <c r="J2" s="141"/>
      <c r="K2" s="141"/>
      <c r="M2" s="139" t="s">
        <v>162</v>
      </c>
      <c r="N2" s="141"/>
      <c r="O2" s="141"/>
      <c r="P2" s="141"/>
      <c r="Q2" s="141"/>
      <c r="R2" s="141"/>
      <c r="S2" s="141"/>
    </row>
    <row r="3" spans="1:19">
      <c r="C3" s="115" t="s">
        <v>138</v>
      </c>
      <c r="D3" s="130" t="s">
        <v>221</v>
      </c>
      <c r="E3" s="130" t="s">
        <v>222</v>
      </c>
      <c r="F3" s="131" t="s">
        <v>234</v>
      </c>
      <c r="G3" s="131" t="s">
        <v>223</v>
      </c>
      <c r="H3" s="132" t="s">
        <v>224</v>
      </c>
      <c r="I3" s="132" t="s">
        <v>225</v>
      </c>
      <c r="J3" s="132" t="s">
        <v>226</v>
      </c>
      <c r="K3" s="179" t="s">
        <v>84</v>
      </c>
      <c r="M3" s="130" t="s">
        <v>208</v>
      </c>
      <c r="N3" s="130" t="s">
        <v>210</v>
      </c>
      <c r="O3" s="131" t="s">
        <v>212</v>
      </c>
      <c r="P3" s="131" t="s">
        <v>213</v>
      </c>
      <c r="Q3" s="132" t="s">
        <v>214</v>
      </c>
      <c r="R3" s="132" t="s">
        <v>215</v>
      </c>
      <c r="S3" s="132" t="s">
        <v>216</v>
      </c>
    </row>
    <row r="4" spans="1:19" ht="25.5">
      <c r="A4" s="115" t="s">
        <v>144</v>
      </c>
      <c r="B4" s="115" t="s">
        <v>244</v>
      </c>
      <c r="C4" s="115" t="s">
        <v>86</v>
      </c>
      <c r="D4" s="9" t="s">
        <v>230</v>
      </c>
      <c r="E4" s="9" t="s">
        <v>230</v>
      </c>
      <c r="F4" s="9" t="s">
        <v>230</v>
      </c>
      <c r="G4" s="9" t="s">
        <v>230</v>
      </c>
      <c r="H4" s="9" t="s">
        <v>230</v>
      </c>
      <c r="I4" s="9" t="s">
        <v>230</v>
      </c>
      <c r="J4" s="9" t="s">
        <v>230</v>
      </c>
      <c r="K4" s="3" t="s">
        <v>87</v>
      </c>
      <c r="M4" s="9" t="s">
        <v>160</v>
      </c>
      <c r="N4" s="9" t="s">
        <v>160</v>
      </c>
      <c r="O4" s="9" t="s">
        <v>160</v>
      </c>
      <c r="P4" s="9" t="s">
        <v>160</v>
      </c>
      <c r="Q4" s="9" t="s">
        <v>160</v>
      </c>
      <c r="R4" s="9" t="s">
        <v>160</v>
      </c>
      <c r="S4" s="9" t="s">
        <v>160</v>
      </c>
    </row>
    <row r="5" spans="1:19">
      <c r="A5" s="115" t="s">
        <v>102</v>
      </c>
      <c r="B5" s="115">
        <v>2014</v>
      </c>
      <c r="C5" s="115" t="str">
        <f>A5&amp;RIGHT(B5,2)</f>
        <v>ANH14</v>
      </c>
      <c r="D5" s="147">
        <f>EXP(Coeffs!$D$13+(Coeffs!$D$6*Drivers!$D6)+(Coeffs!$D$7*Drivers!$E6))</f>
        <v>19.22584176805945</v>
      </c>
      <c r="E5" s="147">
        <f>EXP(Coeffs!E$13+(Coeffs!E$6*Drivers!$D6)+(Coeffs!E$7*Drivers!$E6)+(Coeffs!E$8*Drivers!$F6))</f>
        <v>18.63993977429498</v>
      </c>
      <c r="F5" s="147">
        <f xml:space="preserve"> EXP(Coeffs!F$13 + Coeffs!F$9*Drivers!$G6 + Coeffs!F$10*Drivers!$H6)</f>
        <v>14.84933218448338</v>
      </c>
      <c r="G5" s="147">
        <f xml:space="preserve"> EXP( Coeffs!G$13 + Coeffs!G$9*Drivers!$G6 + Coeffs!G$11*Drivers!$I6 + Coeffs!G$12*Drivers!$J6)</f>
        <v>13.433070130645547</v>
      </c>
      <c r="H5" s="147">
        <f xml:space="preserve"> EXP( Coeffs!H$13 + Coeffs!H$7*Drivers!$E6 + Coeffs!H$9*Drivers!$G6 + Coeffs!H$10*Drivers!$H6 )</f>
        <v>34.271665772120635</v>
      </c>
      <c r="I5" s="147">
        <f xml:space="preserve"> EXP( Coeffs!I$13 + Coeffs!I$7*Drivers!$E6 + Coeffs!I$8*Drivers!$F6 + Coeffs!I$9*Drivers!$G6 + Coeffs!I$10*Drivers!$H6 )</f>
        <v>33.459495068844426</v>
      </c>
      <c r="J5" s="147">
        <f xml:space="preserve"> EXP( Coeffs!J$13 + Coeffs!J$7*Drivers!$E6 + Coeffs!J$8*Drivers!$F6 + Coeffs!J$9*Drivers!$G6 + Coeffs!J$11*Drivers!$I6 + Coeffs!$J$12*Drivers!$J6)</f>
        <v>29.268682505514985</v>
      </c>
      <c r="K5" s="180">
        <f>INDEX(Drivers!$C$2:$S$93, MATCH('Modelled costs'!$C5, Drivers!$C$2:$C$93, 0), MATCH('Modelled costs'!K$3, Drivers!$C$2:$S$2, 0))</f>
        <v>2715.663</v>
      </c>
      <c r="M5" s="146">
        <f xml:space="preserve"> D5 *$K5 * 1000 / 1000000</f>
        <v>52.210907133373624</v>
      </c>
      <c r="N5" s="146">
        <f t="shared" ref="N5:N68" si="0" xml:space="preserve"> E5 *$K5 * 1000 / 1000000</f>
        <v>50.619794767281228</v>
      </c>
      <c r="O5" s="146">
        <f t="shared" ref="O5:O68" si="1" xml:space="preserve"> F5 *$K5 * 1000 / 1000000</f>
        <v>40.325781988110691</v>
      </c>
      <c r="P5" s="146">
        <f t="shared" ref="P5:P68" si="2" xml:space="preserve"> G5 *$K5 * 1000 / 1000000</f>
        <v>36.479691530199275</v>
      </c>
      <c r="Q5" s="146">
        <f t="shared" ref="Q5:Q68" si="3" xml:space="preserve"> H5 *$K5 * 1000 / 1000000</f>
        <v>93.070294685714444</v>
      </c>
      <c r="R5" s="146">
        <f t="shared" ref="R5:R68" si="4" xml:space="preserve"> I5 *$K5 * 1000 / 1000000</f>
        <v>90.864712757143252</v>
      </c>
      <c r="S5" s="146">
        <f t="shared" ref="S5:S68" si="5" xml:space="preserve"> J5 *$K5 * 1000 / 1000000</f>
        <v>79.483878138974333</v>
      </c>
    </row>
    <row r="6" spans="1:19">
      <c r="A6" s="115" t="s">
        <v>102</v>
      </c>
      <c r="B6" s="115">
        <v>2015</v>
      </c>
      <c r="C6" s="115" t="str">
        <f t="shared" ref="C6:C69" si="6">A6&amp;RIGHT(B6,2)</f>
        <v>ANH15</v>
      </c>
      <c r="D6" s="147">
        <f>EXP(Coeffs!$D$13+(Coeffs!$D$6*Drivers!$D7)+(Coeffs!$D$7*Drivers!$E7))</f>
        <v>19.428542120523478</v>
      </c>
      <c r="E6" s="147">
        <f>EXP(Coeffs!E$13+(Coeffs!E$6*Drivers!$D7)+(Coeffs!E$7*Drivers!$E7)+(Coeffs!E$8*Drivers!$F7))</f>
        <v>18.82653219042745</v>
      </c>
      <c r="F6" s="147">
        <f xml:space="preserve"> EXP(Coeffs!F$13 + Coeffs!F$9*Drivers!$G7 + Coeffs!F$10*Drivers!$H7)</f>
        <v>15.173311383061908</v>
      </c>
      <c r="G6" s="147">
        <f xml:space="preserve"> EXP( Coeffs!G$13 + Coeffs!G$9*Drivers!$G7 + Coeffs!G$11*Drivers!$I7 + Coeffs!G$12*Drivers!$J7)</f>
        <v>13.663509402305323</v>
      </c>
      <c r="H6" s="147">
        <f xml:space="preserve"> EXP( Coeffs!H$13 + Coeffs!H$7*Drivers!$E7 + Coeffs!H$9*Drivers!$G7 + Coeffs!H$10*Drivers!$H7 )</f>
        <v>34.725113692271862</v>
      </c>
      <c r="I6" s="147">
        <f xml:space="preserve"> EXP( Coeffs!I$13 + Coeffs!I$7*Drivers!$E7 + Coeffs!I$8*Drivers!$F7 + Coeffs!I$9*Drivers!$G7 + Coeffs!I$10*Drivers!$H7 )</f>
        <v>33.992970512829352</v>
      </c>
      <c r="J6" s="147">
        <f xml:space="preserve"> EXP( Coeffs!J$13 + Coeffs!J$7*Drivers!$E7 + Coeffs!J$8*Drivers!$F7 + Coeffs!J$9*Drivers!$G7 + Coeffs!J$11*Drivers!$I7 + Coeffs!$J$12*Drivers!$J7)</f>
        <v>29.657433509796679</v>
      </c>
      <c r="K6" s="180">
        <f>INDEX(Drivers!$C$2:$S$93, MATCH('Modelled costs'!$C6, Drivers!$C$2:$C$93, 0), MATCH('Modelled costs'!K$3, Drivers!$C$2:$S$2, 0))</f>
        <v>2735.3609999999999</v>
      </c>
      <c r="M6" s="146">
        <f t="shared" ref="M6:M69" si="7" xml:space="preserve"> D6 *$K6 * 1000 / 1000000</f>
        <v>53.144076403337216</v>
      </c>
      <c r="N6" s="146">
        <f t="shared" si="0"/>
        <v>51.497361918939816</v>
      </c>
      <c r="O6" s="146">
        <f t="shared" si="1"/>
        <v>41.504484198083603</v>
      </c>
      <c r="P6" s="146">
        <f t="shared" si="2"/>
        <v>37.374630742199287</v>
      </c>
      <c r="Q6" s="146">
        <f t="shared" si="3"/>
        <v>94.985721714406452</v>
      </c>
      <c r="R6" s="146">
        <f t="shared" si="4"/>
        <v>92.983045814943409</v>
      </c>
      <c r="S6" s="146">
        <f t="shared" si="5"/>
        <v>81.123786982790946</v>
      </c>
    </row>
    <row r="7" spans="1:19">
      <c r="A7" s="115" t="s">
        <v>102</v>
      </c>
      <c r="B7" s="115">
        <v>2016</v>
      </c>
      <c r="C7" s="115" t="str">
        <f t="shared" si="6"/>
        <v>ANH16</v>
      </c>
      <c r="D7" s="147">
        <f>EXP(Coeffs!$D$13+(Coeffs!$D$6*Drivers!$D8)+(Coeffs!$D$7*Drivers!$E8))</f>
        <v>19.572145633112253</v>
      </c>
      <c r="E7" s="147">
        <f>EXP(Coeffs!E$13+(Coeffs!E$6*Drivers!$D8)+(Coeffs!E$7*Drivers!$E8)+(Coeffs!E$8*Drivers!$F8))</f>
        <v>18.962612066382583</v>
      </c>
      <c r="F7" s="147">
        <f xml:space="preserve"> EXP(Coeffs!F$13 + Coeffs!F$9*Drivers!$G8 + Coeffs!F$10*Drivers!$H8)</f>
        <v>13.395762389316037</v>
      </c>
      <c r="G7" s="147">
        <f xml:space="preserve"> EXP( Coeffs!G$13 + Coeffs!G$9*Drivers!$G8 + Coeffs!G$11*Drivers!$I8 + Coeffs!G$12*Drivers!$J8)</f>
        <v>12.291403518337043</v>
      </c>
      <c r="H7" s="147">
        <f xml:space="preserve"> EXP( Coeffs!H$13 + Coeffs!H$7*Drivers!$E8 + Coeffs!H$9*Drivers!$G8 + Coeffs!H$10*Drivers!$H8 )</f>
        <v>33.157706951261154</v>
      </c>
      <c r="I7" s="147">
        <f xml:space="preserve"> EXP( Coeffs!I$13 + Coeffs!I$7*Drivers!$E8 + Coeffs!I$8*Drivers!$F8 + Coeffs!I$9*Drivers!$G8 + Coeffs!I$10*Drivers!$H8 )</f>
        <v>32.242992452871611</v>
      </c>
      <c r="J7" s="147">
        <f xml:space="preserve"> EXP( Coeffs!J$13 + Coeffs!J$7*Drivers!$E8 + Coeffs!J$8*Drivers!$F8 + Coeffs!J$9*Drivers!$G8 + Coeffs!J$11*Drivers!$I8 + Coeffs!$J$12*Drivers!$J8)</f>
        <v>28.152796456037223</v>
      </c>
      <c r="K7" s="180">
        <f>INDEX(Drivers!$C$2:$S$93, MATCH('Modelled costs'!$C7, Drivers!$C$2:$C$93, 0), MATCH('Modelled costs'!K$3, Drivers!$C$2:$S$2, 0))</f>
        <v>2730.6835473329602</v>
      </c>
      <c r="M7" s="146">
        <f t="shared" si="7"/>
        <v>53.445336066344275</v>
      </c>
      <c r="N7" s="146">
        <f t="shared" si="0"/>
        <v>51.78089278412839</v>
      </c>
      <c r="O7" s="146">
        <f t="shared" si="1"/>
        <v>36.579587960486961</v>
      </c>
      <c r="P7" s="146">
        <f t="shared" si="2"/>
        <v>33.563933361153424</v>
      </c>
      <c r="Q7" s="146">
        <f t="shared" si="3"/>
        <v>90.54320483909656</v>
      </c>
      <c r="R7" s="146">
        <f t="shared" si="4"/>
        <v>88.045409007837307</v>
      </c>
      <c r="S7" s="146">
        <f t="shared" si="5"/>
        <v>76.876378093914511</v>
      </c>
    </row>
    <row r="8" spans="1:19">
      <c r="A8" s="115" t="s">
        <v>102</v>
      </c>
      <c r="B8" s="115">
        <v>2017</v>
      </c>
      <c r="C8" s="115" t="str">
        <f t="shared" si="6"/>
        <v>ANH17</v>
      </c>
      <c r="D8" s="147">
        <f>EXP(Coeffs!$D$13+(Coeffs!$D$6*Drivers!$D9)+(Coeffs!$D$7*Drivers!$E9))</f>
        <v>19.73183612777315</v>
      </c>
      <c r="E8" s="147">
        <f>EXP(Coeffs!E$13+(Coeffs!E$6*Drivers!$D9)+(Coeffs!E$7*Drivers!$E9)+(Coeffs!E$8*Drivers!$F9))</f>
        <v>19.106150208660914</v>
      </c>
      <c r="F8" s="147">
        <f xml:space="preserve"> EXP(Coeffs!F$13 + Coeffs!F$9*Drivers!$G9 + Coeffs!F$10*Drivers!$H9)</f>
        <v>12.954600368890683</v>
      </c>
      <c r="G8" s="147">
        <f xml:space="preserve"> EXP( Coeffs!G$13 + Coeffs!G$9*Drivers!$G9 + Coeffs!G$11*Drivers!$I9 + Coeffs!G$12*Drivers!$J9)</f>
        <v>12.514062059960011</v>
      </c>
      <c r="H8" s="147">
        <f xml:space="preserve"> EXP( Coeffs!H$13 + Coeffs!H$7*Drivers!$E9 + Coeffs!H$9*Drivers!$G9 + Coeffs!H$10*Drivers!$H9 )</f>
        <v>32.960034639468113</v>
      </c>
      <c r="I8" s="147">
        <f xml:space="preserve"> EXP( Coeffs!I$13 + Coeffs!I$7*Drivers!$E9 + Coeffs!I$8*Drivers!$F9 + Coeffs!I$9*Drivers!$G9 + Coeffs!I$10*Drivers!$H9 )</f>
        <v>31.847786293988172</v>
      </c>
      <c r="J8" s="147">
        <f xml:space="preserve"> EXP( Coeffs!J$13 + Coeffs!J$7*Drivers!$E9 + Coeffs!J$8*Drivers!$F9 + Coeffs!J$9*Drivers!$G9 + Coeffs!J$11*Drivers!$I9 + Coeffs!$J$12*Drivers!$J9)</f>
        <v>28.493234492434926</v>
      </c>
      <c r="K8" s="180">
        <f>INDEX(Drivers!$C$2:$S$93, MATCH('Modelled costs'!$C8, Drivers!$C$2:$C$93, 0), MATCH('Modelled costs'!K$3, Drivers!$C$2:$S$2, 0))</f>
        <v>2758.2917859726599</v>
      </c>
      <c r="M8" s="146">
        <f t="shared" si="7"/>
        <v>54.426161513395257</v>
      </c>
      <c r="N8" s="146">
        <f t="shared" si="0"/>
        <v>52.700337182109223</v>
      </c>
      <c r="O8" s="146">
        <f t="shared" si="1"/>
        <v>35.732567788069559</v>
      </c>
      <c r="P8" s="146">
        <f t="shared" si="2"/>
        <v>34.517434589139803</v>
      </c>
      <c r="Q8" s="146">
        <f t="shared" si="3"/>
        <v>90.913392811419229</v>
      </c>
      <c r="R8" s="146">
        <f t="shared" si="4"/>
        <v>87.845487336120229</v>
      </c>
      <c r="S8" s="146">
        <f t="shared" si="5"/>
        <v>78.592654656276125</v>
      </c>
    </row>
    <row r="9" spans="1:19">
      <c r="A9" s="115" t="s">
        <v>102</v>
      </c>
      <c r="B9" s="115">
        <v>2018</v>
      </c>
      <c r="C9" s="115" t="str">
        <f t="shared" si="6"/>
        <v>ANH18</v>
      </c>
      <c r="D9" s="147">
        <f>EXP(Coeffs!$D$13+(Coeffs!$D$6*Drivers!$D10)+(Coeffs!$D$7*Drivers!$E10))</f>
        <v>19.873253167742437</v>
      </c>
      <c r="E9" s="147">
        <f>EXP(Coeffs!E$13+(Coeffs!E$6*Drivers!$D10)+(Coeffs!E$7*Drivers!$E10)+(Coeffs!E$8*Drivers!$F10))</f>
        <v>19.233795360537304</v>
      </c>
      <c r="F9" s="147">
        <f xml:space="preserve"> EXP(Coeffs!F$13 + Coeffs!F$9*Drivers!$G10 + Coeffs!F$10*Drivers!$H10)</f>
        <v>12.942514368176058</v>
      </c>
      <c r="G9" s="147">
        <f xml:space="preserve"> EXP( Coeffs!G$13 + Coeffs!G$9*Drivers!$G10 + Coeffs!G$11*Drivers!$I10 + Coeffs!G$12*Drivers!$J10)</f>
        <v>12.5025174584752</v>
      </c>
      <c r="H9" s="147">
        <f xml:space="preserve"> EXP( Coeffs!H$13 + Coeffs!H$7*Drivers!$E10 + Coeffs!H$9*Drivers!$G10 + Coeffs!H$10*Drivers!$H10 )</f>
        <v>33.054452033902351</v>
      </c>
      <c r="I9" s="147">
        <f xml:space="preserve"> EXP( Coeffs!I$13 + Coeffs!I$7*Drivers!$E10 + Coeffs!I$8*Drivers!$F10 + Coeffs!I$9*Drivers!$G10 + Coeffs!I$10*Drivers!$H10 )</f>
        <v>31.963190681939366</v>
      </c>
      <c r="J9" s="147">
        <f xml:space="preserve"> EXP( Coeffs!J$13 + Coeffs!J$7*Drivers!$E10 + Coeffs!J$8*Drivers!$F10 + Coeffs!J$9*Drivers!$G10 + Coeffs!J$11*Drivers!$I10 + Coeffs!$J$12*Drivers!$J10)</f>
        <v>28.563139540547905</v>
      </c>
      <c r="K9" s="180">
        <f>INDEX(Drivers!$C$2:$S$93, MATCH('Modelled costs'!$C9, Drivers!$C$2:$C$93, 0), MATCH('Modelled costs'!K$3, Drivers!$C$2:$S$2, 0))</f>
        <v>2773.3249999999998</v>
      </c>
      <c r="M9" s="146">
        <f t="shared" si="7"/>
        <v>55.114989841429292</v>
      </c>
      <c r="N9" s="146">
        <f t="shared" si="0"/>
        <v>53.341565518262108</v>
      </c>
      <c r="O9" s="146">
        <f t="shared" si="1"/>
        <v>35.893798660121867</v>
      </c>
      <c r="P9" s="146">
        <f t="shared" si="2"/>
        <v>34.673544230525735</v>
      </c>
      <c r="Q9" s="146">
        <f t="shared" si="3"/>
        <v>91.670738186922236</v>
      </c>
      <c r="R9" s="146">
        <f t="shared" si="4"/>
        <v>88.644315797989492</v>
      </c>
      <c r="S9" s="146">
        <f t="shared" si="5"/>
        <v>79.214868966290013</v>
      </c>
    </row>
    <row r="10" spans="1:19">
      <c r="A10" s="115" t="s">
        <v>103</v>
      </c>
      <c r="B10" s="115">
        <v>2014</v>
      </c>
      <c r="C10" s="115" t="str">
        <f t="shared" si="6"/>
        <v>NES14</v>
      </c>
      <c r="D10" s="147">
        <f>EXP(Coeffs!$D$13+(Coeffs!$D$6*Drivers!$D11)+(Coeffs!$D$7*Drivers!$E11))</f>
        <v>16.043225850974249</v>
      </c>
      <c r="E10" s="147">
        <f>EXP(Coeffs!E$13+(Coeffs!E$6*Drivers!$D11)+(Coeffs!E$7*Drivers!$E11)+(Coeffs!E$8*Drivers!$F11))</f>
        <v>15.850301911315634</v>
      </c>
      <c r="F10" s="147">
        <f xml:space="preserve"> EXP(Coeffs!F$13 + Coeffs!F$9*Drivers!$G11 + Coeffs!F$10*Drivers!$H11)</f>
        <v>16.183694127206238</v>
      </c>
      <c r="G10" s="147">
        <f xml:space="preserve"> EXP( Coeffs!G$13 + Coeffs!G$9*Drivers!$G11 + Coeffs!G$11*Drivers!$I11 + Coeffs!G$12*Drivers!$J11)</f>
        <v>15.028086289642129</v>
      </c>
      <c r="H10" s="147">
        <f xml:space="preserve"> EXP( Coeffs!H$13 + Coeffs!H$7*Drivers!$E11 + Coeffs!H$9*Drivers!$G11 + Coeffs!H$10*Drivers!$H11 )</f>
        <v>32.169626800300044</v>
      </c>
      <c r="I10" s="147">
        <f xml:space="preserve"> EXP( Coeffs!I$13 + Coeffs!I$7*Drivers!$E11 + Coeffs!I$8*Drivers!$F11 + Coeffs!I$9*Drivers!$G11 + Coeffs!I$10*Drivers!$H11 )</f>
        <v>32.261754587028079</v>
      </c>
      <c r="J10" s="147">
        <f xml:space="preserve"> EXP( Coeffs!J$13 + Coeffs!J$7*Drivers!$E11 + Coeffs!J$8*Drivers!$F11 + Coeffs!J$9*Drivers!$G11 + Coeffs!J$11*Drivers!$I11 + Coeffs!$J$12*Drivers!$J11)</f>
        <v>32.218364523358844</v>
      </c>
      <c r="K10" s="180">
        <f>INDEX(Drivers!$C$2:$S$93, MATCH('Modelled costs'!$C10, Drivers!$C$2:$C$93, 0), MATCH('Modelled costs'!K$3, Drivers!$C$2:$S$2, 0))</f>
        <v>1843.8420000000001</v>
      </c>
      <c r="M10" s="146">
        <f t="shared" si="7"/>
        <v>29.581173639512066</v>
      </c>
      <c r="N10" s="146">
        <f t="shared" si="0"/>
        <v>29.225452376764039</v>
      </c>
      <c r="O10" s="146">
        <f t="shared" si="1"/>
        <v>29.840174946896202</v>
      </c>
      <c r="P10" s="146">
        <f t="shared" si="2"/>
        <v>27.709416680466322</v>
      </c>
      <c r="Q10" s="146">
        <f t="shared" si="3"/>
        <v>59.315709018718842</v>
      </c>
      <c r="R10" s="146">
        <f t="shared" si="4"/>
        <v>59.48557810125503</v>
      </c>
      <c r="S10" s="146">
        <f t="shared" si="5"/>
        <v>59.405573679479019</v>
      </c>
    </row>
    <row r="11" spans="1:19">
      <c r="A11" s="115" t="s">
        <v>103</v>
      </c>
      <c r="B11" s="115">
        <v>2015</v>
      </c>
      <c r="C11" s="115" t="str">
        <f t="shared" si="6"/>
        <v>NES15</v>
      </c>
      <c r="D11" s="147">
        <f>EXP(Coeffs!$D$13+(Coeffs!$D$6*Drivers!$D12)+(Coeffs!$D$7*Drivers!$E12))</f>
        <v>16.19856846932824</v>
      </c>
      <c r="E11" s="147">
        <f>EXP(Coeffs!E$13+(Coeffs!E$6*Drivers!$D12)+(Coeffs!E$7*Drivers!$E12)+(Coeffs!E$8*Drivers!$F12))</f>
        <v>15.995415093565075</v>
      </c>
      <c r="F11" s="147">
        <f xml:space="preserve"> EXP(Coeffs!F$13 + Coeffs!F$9*Drivers!$G12 + Coeffs!F$10*Drivers!$H12)</f>
        <v>16.937253550087362</v>
      </c>
      <c r="G11" s="147">
        <f xml:space="preserve"> EXP( Coeffs!G$13 + Coeffs!G$9*Drivers!$G12 + Coeffs!G$11*Drivers!$I12 + Coeffs!G$12*Drivers!$J12)</f>
        <v>15.448810638392263</v>
      </c>
      <c r="H11" s="147">
        <f xml:space="preserve"> EXP( Coeffs!H$13 + Coeffs!H$7*Drivers!$E12 + Coeffs!H$9*Drivers!$G12 + Coeffs!H$10*Drivers!$H12 )</f>
        <v>32.871569174872974</v>
      </c>
      <c r="I11" s="147">
        <f xml:space="preserve"> EXP( Coeffs!I$13 + Coeffs!I$7*Drivers!$E12 + Coeffs!I$8*Drivers!$F12 + Coeffs!I$9*Drivers!$G12 + Coeffs!I$10*Drivers!$H12 )</f>
        <v>33.140290505320301</v>
      </c>
      <c r="J11" s="147">
        <f xml:space="preserve"> EXP( Coeffs!J$13 + Coeffs!J$7*Drivers!$E12 + Coeffs!J$8*Drivers!$F12 + Coeffs!J$9*Drivers!$G12 + Coeffs!J$11*Drivers!$I12 + Coeffs!$J$12*Drivers!$J12)</f>
        <v>32.832574449901699</v>
      </c>
      <c r="K11" s="180">
        <f>INDEX(Drivers!$C$2:$S$93, MATCH('Modelled costs'!$C11, Drivers!$C$2:$C$93, 0), MATCH('Modelled costs'!K$3, Drivers!$C$2:$S$2, 0))</f>
        <v>1852.55</v>
      </c>
      <c r="M11" s="146">
        <f t="shared" si="7"/>
        <v>30.008658017854032</v>
      </c>
      <c r="N11" s="146">
        <f t="shared" si="0"/>
        <v>29.632306231583978</v>
      </c>
      <c r="O11" s="146">
        <f t="shared" si="1"/>
        <v>31.377109064214341</v>
      </c>
      <c r="P11" s="146">
        <f t="shared" si="2"/>
        <v>28.619694148153588</v>
      </c>
      <c r="Q11" s="146">
        <f t="shared" si="3"/>
        <v>60.896225474910928</v>
      </c>
      <c r="R11" s="146">
        <f t="shared" si="4"/>
        <v>61.394045175631121</v>
      </c>
      <c r="S11" s="146">
        <f t="shared" si="5"/>
        <v>60.823985797165392</v>
      </c>
    </row>
    <row r="12" spans="1:19">
      <c r="A12" s="115" t="s">
        <v>103</v>
      </c>
      <c r="B12" s="115">
        <v>2016</v>
      </c>
      <c r="C12" s="115" t="str">
        <f t="shared" si="6"/>
        <v>NES16</v>
      </c>
      <c r="D12" s="147">
        <f>EXP(Coeffs!$D$13+(Coeffs!$D$6*Drivers!$D13)+(Coeffs!$D$7*Drivers!$E13))</f>
        <v>16.33773009682557</v>
      </c>
      <c r="E12" s="147">
        <f>EXP(Coeffs!E$13+(Coeffs!E$6*Drivers!$D13)+(Coeffs!E$7*Drivers!$E13)+(Coeffs!E$8*Drivers!$F13))</f>
        <v>16.124693728804068</v>
      </c>
      <c r="F12" s="147">
        <f xml:space="preserve"> EXP(Coeffs!F$13 + Coeffs!F$9*Drivers!$G13 + Coeffs!F$10*Drivers!$H13)</f>
        <v>16.514938094021073</v>
      </c>
      <c r="G12" s="147">
        <f xml:space="preserve"> EXP( Coeffs!G$13 + Coeffs!G$9*Drivers!$G13 + Coeffs!G$11*Drivers!$I13 + Coeffs!G$12*Drivers!$J13)</f>
        <v>15.201238343097437</v>
      </c>
      <c r="H12" s="147">
        <f xml:space="preserve"> EXP( Coeffs!H$13 + Coeffs!H$7*Drivers!$E13 + Coeffs!H$9*Drivers!$G13 + Coeffs!H$10*Drivers!$H13 )</f>
        <v>32.684309589415911</v>
      </c>
      <c r="I12" s="147">
        <f xml:space="preserve"> EXP( Coeffs!I$13 + Coeffs!I$7*Drivers!$E13 + Coeffs!I$8*Drivers!$F13 + Coeffs!I$9*Drivers!$G13 + Coeffs!I$10*Drivers!$H13 )</f>
        <v>32.916790024426781</v>
      </c>
      <c r="J12" s="147">
        <f xml:space="preserve"> EXP( Coeffs!J$13 + Coeffs!J$7*Drivers!$E13 + Coeffs!J$8*Drivers!$F13 + Coeffs!J$9*Drivers!$G13 + Coeffs!J$11*Drivers!$I13 + Coeffs!$J$12*Drivers!$J13)</f>
        <v>32.677588795634712</v>
      </c>
      <c r="K12" s="180">
        <f>INDEX(Drivers!$C$2:$S$93, MATCH('Modelled costs'!$C12, Drivers!$C$2:$C$93, 0), MATCH('Modelled costs'!K$3, Drivers!$C$2:$S$2, 0))</f>
        <v>1860.663</v>
      </c>
      <c r="M12" s="146">
        <f t="shared" si="7"/>
        <v>30.399009895149756</v>
      </c>
      <c r="N12" s="146">
        <f t="shared" si="0"/>
        <v>30.002621007517767</v>
      </c>
      <c r="O12" s="146">
        <f t="shared" si="1"/>
        <v>30.72873425883553</v>
      </c>
      <c r="P12" s="146">
        <f t="shared" si="2"/>
        <v>28.284381739182706</v>
      </c>
      <c r="Q12" s="146">
        <f t="shared" si="3"/>
        <v>60.814485533571379</v>
      </c>
      <c r="R12" s="146">
        <f t="shared" si="4"/>
        <v>61.247053277220012</v>
      </c>
      <c r="S12" s="146">
        <f t="shared" si="5"/>
        <v>60.801980401252067</v>
      </c>
    </row>
    <row r="13" spans="1:19">
      <c r="A13" s="115" t="s">
        <v>103</v>
      </c>
      <c r="B13" s="115">
        <v>2017</v>
      </c>
      <c r="C13" s="115" t="str">
        <f t="shared" si="6"/>
        <v>NES17</v>
      </c>
      <c r="D13" s="147">
        <f>EXP(Coeffs!$D$13+(Coeffs!$D$6*Drivers!$D14)+(Coeffs!$D$7*Drivers!$E14))</f>
        <v>16.482709952394121</v>
      </c>
      <c r="E13" s="147">
        <f>EXP(Coeffs!E$13+(Coeffs!E$6*Drivers!$D14)+(Coeffs!E$7*Drivers!$E14)+(Coeffs!E$8*Drivers!$F14))</f>
        <v>16.259487125568544</v>
      </c>
      <c r="F13" s="147">
        <f xml:space="preserve"> EXP(Coeffs!F$13 + Coeffs!F$9*Drivers!$G14 + Coeffs!F$10*Drivers!$H14)</f>
        <v>15.964027590101239</v>
      </c>
      <c r="G13" s="147">
        <f xml:space="preserve"> EXP( Coeffs!G$13 + Coeffs!G$9*Drivers!$G14 + Coeffs!G$11*Drivers!$I14 + Coeffs!G$12*Drivers!$J14)</f>
        <v>15.15199117891656</v>
      </c>
      <c r="H13" s="147">
        <f xml:space="preserve"> EXP( Coeffs!H$13 + Coeffs!H$7*Drivers!$E14 + Coeffs!H$9*Drivers!$G14 + Coeffs!H$10*Drivers!$H14 )</f>
        <v>32.443633293936472</v>
      </c>
      <c r="I13" s="147">
        <f xml:space="preserve"> EXP( Coeffs!I$13 + Coeffs!I$7*Drivers!$E14 + Coeffs!I$8*Drivers!$F14 + Coeffs!I$9*Drivers!$G14 + Coeffs!I$10*Drivers!$H14 )</f>
        <v>32.553484056065614</v>
      </c>
      <c r="J13" s="147">
        <f xml:space="preserve"> EXP( Coeffs!J$13 + Coeffs!J$7*Drivers!$E14 + Coeffs!J$8*Drivers!$F14 + Coeffs!J$9*Drivers!$G14 + Coeffs!J$11*Drivers!$I14 + Coeffs!$J$12*Drivers!$J14)</f>
        <v>32.74552210685507</v>
      </c>
      <c r="K13" s="180">
        <f>INDEX(Drivers!$C$2:$S$93, MATCH('Modelled costs'!$C13, Drivers!$C$2:$C$93, 0), MATCH('Modelled costs'!K$3, Drivers!$C$2:$S$2, 0))</f>
        <v>1869.08</v>
      </c>
      <c r="M13" s="146">
        <f t="shared" si="7"/>
        <v>30.807503517820802</v>
      </c>
      <c r="N13" s="146">
        <f t="shared" si="0"/>
        <v>30.390282196657655</v>
      </c>
      <c r="O13" s="146">
        <f t="shared" si="1"/>
        <v>29.838044688106425</v>
      </c>
      <c r="P13" s="146">
        <f t="shared" si="2"/>
        <v>28.320283672689364</v>
      </c>
      <c r="Q13" s="146">
        <f t="shared" si="3"/>
        <v>60.639746117030775</v>
      </c>
      <c r="R13" s="146">
        <f t="shared" si="4"/>
        <v>60.845065979511112</v>
      </c>
      <c r="S13" s="146">
        <f t="shared" si="5"/>
        <v>61.204000459480675</v>
      </c>
    </row>
    <row r="14" spans="1:19">
      <c r="A14" s="115" t="s">
        <v>103</v>
      </c>
      <c r="B14" s="115">
        <v>2018</v>
      </c>
      <c r="C14" s="115" t="str">
        <f t="shared" si="6"/>
        <v>NES18</v>
      </c>
      <c r="D14" s="147">
        <f>EXP(Coeffs!$D$13+(Coeffs!$D$6*Drivers!$D15)+(Coeffs!$D$7*Drivers!$E15))</f>
        <v>16.640629677999598</v>
      </c>
      <c r="E14" s="147">
        <f>EXP(Coeffs!E$13+(Coeffs!E$6*Drivers!$D15)+(Coeffs!E$7*Drivers!$E15)+(Coeffs!E$8*Drivers!$F15))</f>
        <v>16.406956332468532</v>
      </c>
      <c r="F14" s="147">
        <f xml:space="preserve"> EXP(Coeffs!F$13 + Coeffs!F$9*Drivers!$G15 + Coeffs!F$10*Drivers!$H15)</f>
        <v>16.053869388865511</v>
      </c>
      <c r="G14" s="147">
        <f xml:space="preserve"> EXP( Coeffs!G$13 + Coeffs!G$9*Drivers!$G15 + Coeffs!G$11*Drivers!$I15 + Coeffs!G$12*Drivers!$J15)</f>
        <v>15.236307535010239</v>
      </c>
      <c r="H14" s="147">
        <f xml:space="preserve"> EXP( Coeffs!H$13 + Coeffs!H$7*Drivers!$E15 + Coeffs!H$9*Drivers!$G15 + Coeffs!H$10*Drivers!$H15 )</f>
        <v>32.658403434997197</v>
      </c>
      <c r="I14" s="147">
        <f xml:space="preserve"> EXP( Coeffs!I$13 + Coeffs!I$7*Drivers!$E15 + Coeffs!I$8*Drivers!$F15 + Coeffs!I$9*Drivers!$G15 + Coeffs!I$10*Drivers!$H15 )</f>
        <v>32.817428740110557</v>
      </c>
      <c r="J14" s="147">
        <f xml:space="preserve"> EXP( Coeffs!J$13 + Coeffs!J$7*Drivers!$E15 + Coeffs!J$8*Drivers!$F15 + Coeffs!J$9*Drivers!$G15 + Coeffs!J$11*Drivers!$I15 + Coeffs!$J$12*Drivers!$J15)</f>
        <v>32.979203628259974</v>
      </c>
      <c r="K14" s="180">
        <f>INDEX(Drivers!$C$2:$S$93, MATCH('Modelled costs'!$C14, Drivers!$C$2:$C$93, 0), MATCH('Modelled costs'!K$3, Drivers!$C$2:$S$2, 0))</f>
        <v>1878.492</v>
      </c>
      <c r="M14" s="146">
        <f t="shared" si="7"/>
        <v>31.259289725084823</v>
      </c>
      <c r="N14" s="146">
        <f t="shared" si="0"/>
        <v>30.82033621489148</v>
      </c>
      <c r="O14" s="146">
        <f t="shared" si="1"/>
        <v>30.157065216028752</v>
      </c>
      <c r="P14" s="146">
        <f t="shared" si="2"/>
        <v>28.621281814056452</v>
      </c>
      <c r="Q14" s="146">
        <f t="shared" si="3"/>
        <v>61.348549585414752</v>
      </c>
      <c r="R14" s="146">
        <f t="shared" si="4"/>
        <v>61.647277348867767</v>
      </c>
      <c r="S14" s="146">
        <f t="shared" si="5"/>
        <v>61.951170182057339</v>
      </c>
    </row>
    <row r="15" spans="1:19">
      <c r="A15" s="115" t="s">
        <v>104</v>
      </c>
      <c r="B15" s="115">
        <v>2014</v>
      </c>
      <c r="C15" s="115" t="str">
        <f t="shared" si="6"/>
        <v>NWT14</v>
      </c>
      <c r="D15" s="147">
        <f>EXP(Coeffs!$D$13+(Coeffs!$D$6*Drivers!$D16)+(Coeffs!$D$7*Drivers!$E16))</f>
        <v>16.787710485048024</v>
      </c>
      <c r="E15" s="147">
        <f>EXP(Coeffs!E$13+(Coeffs!E$6*Drivers!$D16)+(Coeffs!E$7*Drivers!$E16)+(Coeffs!E$8*Drivers!$F16))</f>
        <v>16.83936817808161</v>
      </c>
      <c r="F15" s="147">
        <f xml:space="preserve"> EXP(Coeffs!F$13 + Coeffs!F$9*Drivers!$G16 + Coeffs!F$10*Drivers!$H16)</f>
        <v>22.671584247913575</v>
      </c>
      <c r="G15" s="147">
        <f xml:space="preserve"> EXP( Coeffs!G$13 + Coeffs!G$9*Drivers!$G16 + Coeffs!G$11*Drivers!$I16 + Coeffs!G$12*Drivers!$J16)</f>
        <v>21.86838052477691</v>
      </c>
      <c r="H15" s="147">
        <f xml:space="preserve"> EXP( Coeffs!H$13 + Coeffs!H$7*Drivers!$E16 + Coeffs!H$9*Drivers!$G16 + Coeffs!H$10*Drivers!$H16 )</f>
        <v>36.57127298150337</v>
      </c>
      <c r="I15" s="147">
        <f xml:space="preserve"> EXP( Coeffs!I$13 + Coeffs!I$7*Drivers!$E16 + Coeffs!I$8*Drivers!$F16 + Coeffs!I$9*Drivers!$G16 + Coeffs!I$10*Drivers!$H16 )</f>
        <v>36.186146006202051</v>
      </c>
      <c r="J15" s="147">
        <f xml:space="preserve"> EXP( Coeffs!J$13 + Coeffs!J$7*Drivers!$E16 + Coeffs!J$8*Drivers!$F16 + Coeffs!J$9*Drivers!$G16 + Coeffs!J$11*Drivers!$I16 + Coeffs!$J$12*Drivers!$J16)</f>
        <v>38.439454006254259</v>
      </c>
      <c r="K15" s="180">
        <f>INDEX(Drivers!$C$2:$S$93, MATCH('Modelled costs'!$C15, Drivers!$C$2:$C$93, 0), MATCH('Modelled costs'!K$3, Drivers!$C$2:$S$2, 0))</f>
        <v>2912.2440000000001</v>
      </c>
      <c r="M15" s="146">
        <f t="shared" si="7"/>
        <v>48.889909133818193</v>
      </c>
      <c r="N15" s="146">
        <f t="shared" si="0"/>
        <v>49.040348940409103</v>
      </c>
      <c r="O15" s="146">
        <f t="shared" si="1"/>
        <v>66.025185196480834</v>
      </c>
      <c r="P15" s="146">
        <f t="shared" si="2"/>
        <v>63.686059972998407</v>
      </c>
      <c r="Q15" s="146">
        <f t="shared" si="3"/>
        <v>106.5044703127453</v>
      </c>
      <c r="R15" s="146">
        <f t="shared" si="4"/>
        <v>105.38288658968588</v>
      </c>
      <c r="S15" s="146">
        <f t="shared" si="5"/>
        <v>111.94506929298994</v>
      </c>
    </row>
    <row r="16" spans="1:19">
      <c r="A16" s="115" t="s">
        <v>104</v>
      </c>
      <c r="B16" s="115">
        <v>2015</v>
      </c>
      <c r="C16" s="115" t="str">
        <f t="shared" si="6"/>
        <v>NWT15</v>
      </c>
      <c r="D16" s="147">
        <f>EXP(Coeffs!$D$13+(Coeffs!$D$6*Drivers!$D17)+(Coeffs!$D$7*Drivers!$E17))</f>
        <v>16.944132926137105</v>
      </c>
      <c r="E16" s="147">
        <f>EXP(Coeffs!E$13+(Coeffs!E$6*Drivers!$D17)+(Coeffs!E$7*Drivers!$E17)+(Coeffs!E$8*Drivers!$F17))</f>
        <v>16.991607829742026</v>
      </c>
      <c r="F16" s="147">
        <f xml:space="preserve"> EXP(Coeffs!F$13 + Coeffs!F$9*Drivers!$G17 + Coeffs!F$10*Drivers!$H17)</f>
        <v>23.943346849700031</v>
      </c>
      <c r="G16" s="147">
        <f xml:space="preserve"> EXP( Coeffs!G$13 + Coeffs!G$9*Drivers!$G17 + Coeffs!G$11*Drivers!$I17 + Coeffs!G$12*Drivers!$J17)</f>
        <v>22.419543560265453</v>
      </c>
      <c r="H16" s="147">
        <f xml:space="preserve"> EXP( Coeffs!H$13 + Coeffs!H$7*Drivers!$E17 + Coeffs!H$9*Drivers!$G17 + Coeffs!H$10*Drivers!$H17 )</f>
        <v>37.462700731338906</v>
      </c>
      <c r="I16" s="147">
        <f xml:space="preserve"> EXP( Coeffs!I$13 + Coeffs!I$7*Drivers!$E17 + Coeffs!I$8*Drivers!$F17 + Coeffs!I$9*Drivers!$G17 + Coeffs!I$10*Drivers!$H17 )</f>
        <v>37.337879012541677</v>
      </c>
      <c r="J16" s="147">
        <f xml:space="preserve"> EXP( Coeffs!J$13 + Coeffs!J$7*Drivers!$E17 + Coeffs!J$8*Drivers!$F17 + Coeffs!J$9*Drivers!$G17 + Coeffs!J$11*Drivers!$I17 + Coeffs!$J$12*Drivers!$J17)</f>
        <v>39.144975169357508</v>
      </c>
      <c r="K16" s="180">
        <f>INDEX(Drivers!$C$2:$S$93, MATCH('Modelled costs'!$C16, Drivers!$C$2:$C$93, 0), MATCH('Modelled costs'!K$3, Drivers!$C$2:$S$2, 0))</f>
        <v>2913.2959999999998</v>
      </c>
      <c r="M16" s="146">
        <f t="shared" si="7"/>
        <v>49.363274677183519</v>
      </c>
      <c r="N16" s="146">
        <f t="shared" si="0"/>
        <v>49.501583123956124</v>
      </c>
      <c r="O16" s="146">
        <f t="shared" si="1"/>
        <v>69.754056603843694</v>
      </c>
      <c r="P16" s="146">
        <f t="shared" si="2"/>
        <v>65.314766575947104</v>
      </c>
      <c r="Q16" s="146">
        <f t="shared" si="3"/>
        <v>109.1399361898067</v>
      </c>
      <c r="R16" s="146">
        <f t="shared" si="4"/>
        <v>108.77629357572162</v>
      </c>
      <c r="S16" s="146">
        <f t="shared" si="5"/>
        <v>114.04089958098854</v>
      </c>
    </row>
    <row r="17" spans="1:19">
      <c r="A17" s="115" t="s">
        <v>104</v>
      </c>
      <c r="B17" s="115">
        <v>2016</v>
      </c>
      <c r="C17" s="115" t="str">
        <f t="shared" si="6"/>
        <v>NWT16</v>
      </c>
      <c r="D17" s="147">
        <f>EXP(Coeffs!$D$13+(Coeffs!$D$6*Drivers!$D18)+(Coeffs!$D$7*Drivers!$E18))</f>
        <v>17.071084404234213</v>
      </c>
      <c r="E17" s="147">
        <f>EXP(Coeffs!E$13+(Coeffs!E$6*Drivers!$D18)+(Coeffs!E$7*Drivers!$E18)+(Coeffs!E$8*Drivers!$F18))</f>
        <v>17.111914884907257</v>
      </c>
      <c r="F17" s="147">
        <f xml:space="preserve"> EXP(Coeffs!F$13 + Coeffs!F$9*Drivers!$G18 + Coeffs!F$10*Drivers!$H18)</f>
        <v>22.687272747166542</v>
      </c>
      <c r="G17" s="147">
        <f xml:space="preserve"> EXP( Coeffs!G$13 + Coeffs!G$9*Drivers!$G18 + Coeffs!G$11*Drivers!$I18 + Coeffs!G$12*Drivers!$J18)</f>
        <v>21.230276301964405</v>
      </c>
      <c r="H17" s="147">
        <f xml:space="preserve"> EXP( Coeffs!H$13 + Coeffs!H$7*Drivers!$E18 + Coeffs!H$9*Drivers!$G18 + Coeffs!H$10*Drivers!$H18 )</f>
        <v>36.763439000861148</v>
      </c>
      <c r="I17" s="147">
        <f xml:space="preserve"> EXP( Coeffs!I$13 + Coeffs!I$7*Drivers!$E18 + Coeffs!I$8*Drivers!$F18 + Coeffs!I$9*Drivers!$G18 + Coeffs!I$10*Drivers!$H18 )</f>
        <v>36.58687850940494</v>
      </c>
      <c r="J17" s="147">
        <f xml:space="preserve"> EXP( Coeffs!J$13 + Coeffs!J$7*Drivers!$E18 + Coeffs!J$8*Drivers!$F18 + Coeffs!J$9*Drivers!$G18 + Coeffs!J$11*Drivers!$I18 + Coeffs!$J$12*Drivers!$J18)</f>
        <v>38.173258901338372</v>
      </c>
      <c r="K17" s="180">
        <f>INDEX(Drivers!$C$2:$S$93, MATCH('Modelled costs'!$C17, Drivers!$C$2:$C$93, 0), MATCH('Modelled costs'!K$3, Drivers!$C$2:$S$2, 0))</f>
        <v>2925.0529999999999</v>
      </c>
      <c r="M17" s="146">
        <f t="shared" si="7"/>
        <v>49.933826649858489</v>
      </c>
      <c r="N17" s="146">
        <f t="shared" si="0"/>
        <v>50.053257969842626</v>
      </c>
      <c r="O17" s="146">
        <f t="shared" si="1"/>
        <v>66.361475210917732</v>
      </c>
      <c r="P17" s="146">
        <f t="shared" si="2"/>
        <v>62.09968338788989</v>
      </c>
      <c r="Q17" s="146">
        <f t="shared" si="3"/>
        <v>107.53500753978591</v>
      </c>
      <c r="R17" s="146">
        <f t="shared" si="4"/>
        <v>107.01855874457046</v>
      </c>
      <c r="S17" s="146">
        <f t="shared" si="5"/>
        <v>111.65880546913651</v>
      </c>
    </row>
    <row r="18" spans="1:19">
      <c r="A18" s="115" t="s">
        <v>104</v>
      </c>
      <c r="B18" s="115">
        <v>2017</v>
      </c>
      <c r="C18" s="115" t="str">
        <f t="shared" si="6"/>
        <v>NWT17</v>
      </c>
      <c r="D18" s="147">
        <f>EXP(Coeffs!$D$13+(Coeffs!$D$6*Drivers!$D19)+(Coeffs!$D$7*Drivers!$E19))</f>
        <v>17.218146249469761</v>
      </c>
      <c r="E18" s="147">
        <f>EXP(Coeffs!E$13+(Coeffs!E$6*Drivers!$D19)+(Coeffs!E$7*Drivers!$E19)+(Coeffs!E$8*Drivers!$F19))</f>
        <v>17.227312780009331</v>
      </c>
      <c r="F18" s="147">
        <f xml:space="preserve"> EXP(Coeffs!F$13 + Coeffs!F$9*Drivers!$G19 + Coeffs!F$10*Drivers!$H19)</f>
        <v>21.890967730221323</v>
      </c>
      <c r="G18" s="147">
        <f xml:space="preserve"> EXP( Coeffs!G$13 + Coeffs!G$9*Drivers!$G19 + Coeffs!G$11*Drivers!$I19 + Coeffs!G$12*Drivers!$J19)</f>
        <v>20.726252697680515</v>
      </c>
      <c r="H18" s="147">
        <f xml:space="preserve"> EXP( Coeffs!H$13 + Coeffs!H$7*Drivers!$E19 + Coeffs!H$9*Drivers!$G19 + Coeffs!H$10*Drivers!$H19 )</f>
        <v>36.427264918059024</v>
      </c>
      <c r="I18" s="147">
        <f xml:space="preserve"> EXP( Coeffs!I$13 + Coeffs!I$7*Drivers!$E19 + Coeffs!I$8*Drivers!$F19 + Coeffs!I$9*Drivers!$G19 + Coeffs!I$10*Drivers!$H19 )</f>
        <v>36.169177773778394</v>
      </c>
      <c r="J18" s="147">
        <f xml:space="preserve"> EXP( Coeffs!J$13 + Coeffs!J$7*Drivers!$E19 + Coeffs!J$8*Drivers!$F19 + Coeffs!J$9*Drivers!$G19 + Coeffs!J$11*Drivers!$I19 + Coeffs!$J$12*Drivers!$J19)</f>
        <v>37.810453080193653</v>
      </c>
      <c r="K18" s="180">
        <f>INDEX(Drivers!$C$2:$S$93, MATCH('Modelled costs'!$C18, Drivers!$C$2:$C$93, 0), MATCH('Modelled costs'!K$3, Drivers!$C$2:$S$2, 0))</f>
        <v>2971.9520000000002</v>
      </c>
      <c r="M18" s="146">
        <f t="shared" si="7"/>
        <v>51.171504182404163</v>
      </c>
      <c r="N18" s="146">
        <f t="shared" si="0"/>
        <v>51.198746671174298</v>
      </c>
      <c r="O18" s="146">
        <f t="shared" si="1"/>
        <v>65.058905327766723</v>
      </c>
      <c r="P18" s="146">
        <f t="shared" si="2"/>
        <v>61.597428157377003</v>
      </c>
      <c r="Q18" s="146">
        <f t="shared" si="3"/>
        <v>108.26008282775537</v>
      </c>
      <c r="R18" s="146">
        <f t="shared" si="4"/>
        <v>107.49306022313625</v>
      </c>
      <c r="S18" s="146">
        <f t="shared" si="5"/>
        <v>112.3708516525877</v>
      </c>
    </row>
    <row r="19" spans="1:19">
      <c r="A19" s="115" t="s">
        <v>104</v>
      </c>
      <c r="B19" s="115">
        <v>2018</v>
      </c>
      <c r="C19" s="115" t="str">
        <f t="shared" si="6"/>
        <v>NWT18</v>
      </c>
      <c r="D19" s="147">
        <f>EXP(Coeffs!$D$13+(Coeffs!$D$6*Drivers!$D20)+(Coeffs!$D$7*Drivers!$E20))</f>
        <v>17.366501519068308</v>
      </c>
      <c r="E19" s="147">
        <f>EXP(Coeffs!E$13+(Coeffs!E$6*Drivers!$D20)+(Coeffs!E$7*Drivers!$E20)+(Coeffs!E$8*Drivers!$F20))</f>
        <v>17.367186673442333</v>
      </c>
      <c r="F19" s="147">
        <f xml:space="preserve"> EXP(Coeffs!F$13 + Coeffs!F$9*Drivers!$G20 + Coeffs!F$10*Drivers!$H20)</f>
        <v>21.644056231790767</v>
      </c>
      <c r="G19" s="147">
        <f xml:space="preserve"> EXP( Coeffs!G$13 + Coeffs!G$9*Drivers!$G20 + Coeffs!G$11*Drivers!$I20 + Coeffs!G$12*Drivers!$J20)</f>
        <v>20.49507581841981</v>
      </c>
      <c r="H19" s="147">
        <f xml:space="preserve"> EXP( Coeffs!H$13 + Coeffs!H$7*Drivers!$E20 + Coeffs!H$9*Drivers!$G20 + Coeffs!H$10*Drivers!$H20 )</f>
        <v>36.404899094084243</v>
      </c>
      <c r="I19" s="147">
        <f xml:space="preserve"> EXP( Coeffs!I$13 + Coeffs!I$7*Drivers!$E20 + Coeffs!I$8*Drivers!$F20 + Coeffs!I$9*Drivers!$G20 + Coeffs!I$10*Drivers!$H20 )</f>
        <v>36.175263578944808</v>
      </c>
      <c r="J19" s="147">
        <f xml:space="preserve"> EXP( Coeffs!J$13 + Coeffs!J$7*Drivers!$E20 + Coeffs!J$8*Drivers!$F20 + Coeffs!J$9*Drivers!$G20 + Coeffs!J$11*Drivers!$I20 + Coeffs!$J$12*Drivers!$J20)</f>
        <v>37.75045434192846</v>
      </c>
      <c r="K19" s="180">
        <f>INDEX(Drivers!$C$2:$S$93, MATCH('Modelled costs'!$C19, Drivers!$C$2:$C$93, 0), MATCH('Modelled costs'!K$3, Drivers!$C$2:$S$2, 0))</f>
        <v>2975.34396153847</v>
      </c>
      <c r="M19" s="146">
        <f t="shared" si="7"/>
        <v>51.671315427808551</v>
      </c>
      <c r="N19" s="146">
        <f t="shared" si="0"/>
        <v>51.673353997738033</v>
      </c>
      <c r="O19" s="146">
        <f t="shared" si="1"/>
        <v>64.398512012457758</v>
      </c>
      <c r="P19" s="146">
        <f t="shared" si="2"/>
        <v>60.979900077608505</v>
      </c>
      <c r="Q19" s="146">
        <f t="shared" si="3"/>
        <v>108.31709669000087</v>
      </c>
      <c r="R19" s="146">
        <f t="shared" si="4"/>
        <v>107.63385204667598</v>
      </c>
      <c r="S19" s="146">
        <f t="shared" si="5"/>
        <v>112.32058637159055</v>
      </c>
    </row>
    <row r="20" spans="1:19">
      <c r="A20" s="115" t="s">
        <v>105</v>
      </c>
      <c r="B20" s="115">
        <v>2014</v>
      </c>
      <c r="C20" s="115" t="str">
        <f t="shared" si="6"/>
        <v>SRN14</v>
      </c>
      <c r="D20" s="147">
        <f>EXP(Coeffs!$D$13+(Coeffs!$D$6*Drivers!$D21)+(Coeffs!$D$7*Drivers!$E21))</f>
        <v>17.886748971106353</v>
      </c>
      <c r="E20" s="147">
        <f>EXP(Coeffs!E$13+(Coeffs!E$6*Drivers!$D21)+(Coeffs!E$7*Drivers!$E21)+(Coeffs!E$8*Drivers!$F21))</f>
        <v>17.473198778222081</v>
      </c>
      <c r="F20" s="147">
        <f xml:space="preserve"> EXP(Coeffs!F$13 + Coeffs!F$9*Drivers!$G21 + Coeffs!F$10*Drivers!$H21)</f>
        <v>14.105238451804917</v>
      </c>
      <c r="G20" s="147">
        <f xml:space="preserve"> EXP( Coeffs!G$13 + Coeffs!G$9*Drivers!$G21 + Coeffs!G$11*Drivers!$I21 + Coeffs!G$12*Drivers!$J21)</f>
        <v>13.556874065300704</v>
      </c>
      <c r="H20" s="147">
        <f xml:space="preserve"> EXP( Coeffs!H$13 + Coeffs!H$7*Drivers!$E21 + Coeffs!H$9*Drivers!$G21 + Coeffs!H$10*Drivers!$H21 )</f>
        <v>32.878647678359663</v>
      </c>
      <c r="I20" s="147">
        <f xml:space="preserve"> EXP( Coeffs!I$13 + Coeffs!I$7*Drivers!$E21 + Coeffs!I$8*Drivers!$F21 + Coeffs!I$9*Drivers!$G21 + Coeffs!I$10*Drivers!$H21 )</f>
        <v>32.401517812760005</v>
      </c>
      <c r="J20" s="147">
        <f xml:space="preserve"> EXP( Coeffs!J$13 + Coeffs!J$7*Drivers!$E21 + Coeffs!J$8*Drivers!$F21 + Coeffs!J$9*Drivers!$G21 + Coeffs!J$11*Drivers!$I21 + Coeffs!$J$12*Drivers!$J21)</f>
        <v>30.911109561008086</v>
      </c>
      <c r="K20" s="180">
        <f>INDEX(Drivers!$C$2:$S$93, MATCH('Modelled costs'!$C20, Drivers!$C$2:$C$93, 0), MATCH('Modelled costs'!K$3, Drivers!$C$2:$S$2, 0))</f>
        <v>1858.6344999999999</v>
      </c>
      <c r="M20" s="146">
        <f t="shared" si="7"/>
        <v>33.244928730537772</v>
      </c>
      <c r="N20" s="146">
        <f t="shared" si="0"/>
        <v>32.476290074561405</v>
      </c>
      <c r="O20" s="146">
        <f t="shared" si="1"/>
        <v>26.216482817251205</v>
      </c>
      <c r="P20" s="146">
        <f t="shared" si="2"/>
        <v>25.197273849923139</v>
      </c>
      <c r="Q20" s="146">
        <f t="shared" si="3"/>
        <v>61.109388888344171</v>
      </c>
      <c r="R20" s="146">
        <f t="shared" si="4"/>
        <v>60.222578859160279</v>
      </c>
      <c r="S20" s="146">
        <f t="shared" si="5"/>
        <v>57.45245466336948</v>
      </c>
    </row>
    <row r="21" spans="1:19">
      <c r="A21" s="115" t="s">
        <v>105</v>
      </c>
      <c r="B21" s="115">
        <v>2015</v>
      </c>
      <c r="C21" s="115" t="str">
        <f t="shared" si="6"/>
        <v>SRN15</v>
      </c>
      <c r="D21" s="147">
        <f>EXP(Coeffs!$D$13+(Coeffs!$D$6*Drivers!$D22)+(Coeffs!$D$7*Drivers!$E22))</f>
        <v>18.539825171066099</v>
      </c>
      <c r="E21" s="147">
        <f>EXP(Coeffs!E$13+(Coeffs!E$6*Drivers!$D22)+(Coeffs!E$7*Drivers!$E22)+(Coeffs!E$8*Drivers!$F22))</f>
        <v>18.085470758481559</v>
      </c>
      <c r="F21" s="147">
        <f xml:space="preserve"> EXP(Coeffs!F$13 + Coeffs!F$9*Drivers!$G22 + Coeffs!F$10*Drivers!$H22)</f>
        <v>14.413574694319943</v>
      </c>
      <c r="G21" s="147">
        <f xml:space="preserve"> EXP( Coeffs!G$13 + Coeffs!G$9*Drivers!$G22 + Coeffs!G$11*Drivers!$I22 + Coeffs!G$12*Drivers!$J22)</f>
        <v>14.022280256945375</v>
      </c>
      <c r="H21" s="147">
        <f xml:space="preserve"> EXP( Coeffs!H$13 + Coeffs!H$7*Drivers!$E22 + Coeffs!H$9*Drivers!$G22 + Coeffs!H$10*Drivers!$H22 )</f>
        <v>33.750377121942314</v>
      </c>
      <c r="I21" s="147">
        <f xml:space="preserve"> EXP( Coeffs!I$13 + Coeffs!I$7*Drivers!$E22 + Coeffs!I$8*Drivers!$F22 + Coeffs!I$9*Drivers!$G22 + Coeffs!I$10*Drivers!$H22 )</f>
        <v>33.436352320197734</v>
      </c>
      <c r="J21" s="147">
        <f xml:space="preserve"> EXP( Coeffs!J$13 + Coeffs!J$7*Drivers!$E22 + Coeffs!J$8*Drivers!$F22 + Coeffs!J$9*Drivers!$G22 + Coeffs!J$11*Drivers!$I22 + Coeffs!$J$12*Drivers!$J22)</f>
        <v>32.031287544344003</v>
      </c>
      <c r="K21" s="180">
        <f>INDEX(Drivers!$C$2:$S$93, MATCH('Modelled costs'!$C21, Drivers!$C$2:$C$93, 0), MATCH('Modelled costs'!K$3, Drivers!$C$2:$S$2, 0))</f>
        <v>1866.5440000000001</v>
      </c>
      <c r="M21" s="146">
        <f t="shared" si="7"/>
        <v>34.605399434102402</v>
      </c>
      <c r="N21" s="146">
        <f t="shared" si="0"/>
        <v>33.757326931419207</v>
      </c>
      <c r="O21" s="146">
        <f t="shared" si="1"/>
        <v>26.903571364234725</v>
      </c>
      <c r="P21" s="146">
        <f t="shared" si="2"/>
        <v>26.173203079919851</v>
      </c>
      <c r="Q21" s="146">
        <f t="shared" si="3"/>
        <v>62.996563914698704</v>
      </c>
      <c r="R21" s="146">
        <f t="shared" si="4"/>
        <v>62.410422805151157</v>
      </c>
      <c r="S21" s="146">
        <f t="shared" si="5"/>
        <v>59.787807578170039</v>
      </c>
    </row>
    <row r="22" spans="1:19">
      <c r="A22" s="115" t="s">
        <v>105</v>
      </c>
      <c r="B22" s="115">
        <v>2016</v>
      </c>
      <c r="C22" s="115" t="str">
        <f t="shared" si="6"/>
        <v>SRN16</v>
      </c>
      <c r="D22" s="147">
        <f>EXP(Coeffs!$D$13+(Coeffs!$D$6*Drivers!$D23)+(Coeffs!$D$7*Drivers!$E23))</f>
        <v>18.982081069306279</v>
      </c>
      <c r="E22" s="147">
        <f>EXP(Coeffs!E$13+(Coeffs!E$6*Drivers!$D23)+(Coeffs!E$7*Drivers!$E23)+(Coeffs!E$8*Drivers!$F23))</f>
        <v>18.493605616886693</v>
      </c>
      <c r="F22" s="147">
        <f xml:space="preserve"> EXP(Coeffs!F$13 + Coeffs!F$9*Drivers!$G23 + Coeffs!F$10*Drivers!$H23)</f>
        <v>12.889516093439472</v>
      </c>
      <c r="G22" s="147">
        <f xml:space="preserve"> EXP( Coeffs!G$13 + Coeffs!G$9*Drivers!$G23 + Coeffs!G$11*Drivers!$I23 + Coeffs!G$12*Drivers!$J23)</f>
        <v>12.822400115147431</v>
      </c>
      <c r="H22" s="147">
        <f xml:space="preserve"> EXP( Coeffs!H$13 + Coeffs!H$7*Drivers!$E23 + Coeffs!H$9*Drivers!$G23 + Coeffs!H$10*Drivers!$H23 )</f>
        <v>32.647948053358832</v>
      </c>
      <c r="I22" s="147">
        <f xml:space="preserve"> EXP( Coeffs!I$13 + Coeffs!I$7*Drivers!$E23 + Coeffs!I$8*Drivers!$F23 + Coeffs!I$9*Drivers!$G23 + Coeffs!I$10*Drivers!$H23 )</f>
        <v>32.202562726787626</v>
      </c>
      <c r="J22" s="147">
        <f xml:space="preserve"> EXP( Coeffs!J$13 + Coeffs!J$7*Drivers!$E23 + Coeffs!J$8*Drivers!$F23 + Coeffs!J$9*Drivers!$G23 + Coeffs!J$11*Drivers!$I23 + Coeffs!$J$12*Drivers!$J23)</f>
        <v>30.890790888188516</v>
      </c>
      <c r="K22" s="180">
        <f>INDEX(Drivers!$C$2:$S$93, MATCH('Modelled costs'!$C22, Drivers!$C$2:$C$93, 0), MATCH('Modelled costs'!K$3, Drivers!$C$2:$S$2, 0))</f>
        <v>1881.846</v>
      </c>
      <c r="M22" s="146">
        <f t="shared" si="7"/>
        <v>35.721353331949743</v>
      </c>
      <c r="N22" s="146">
        <f t="shared" si="0"/>
        <v>34.802117755715756</v>
      </c>
      <c r="O22" s="146">
        <f t="shared" si="1"/>
        <v>24.256084302374699</v>
      </c>
      <c r="P22" s="146">
        <f t="shared" si="2"/>
        <v>24.129782367089735</v>
      </c>
      <c r="Q22" s="146">
        <f t="shared" si="3"/>
        <v>61.43841045242111</v>
      </c>
      <c r="R22" s="146">
        <f t="shared" si="4"/>
        <v>60.600263857154381</v>
      </c>
      <c r="S22" s="146">
        <f t="shared" si="5"/>
        <v>58.131711269774001</v>
      </c>
    </row>
    <row r="23" spans="1:19">
      <c r="A23" s="115" t="s">
        <v>105</v>
      </c>
      <c r="B23" s="115">
        <v>2017</v>
      </c>
      <c r="C23" s="115" t="str">
        <f t="shared" si="6"/>
        <v>SRN17</v>
      </c>
      <c r="D23" s="147">
        <f>EXP(Coeffs!$D$13+(Coeffs!$D$6*Drivers!$D24)+(Coeffs!$D$7*Drivers!$E24))</f>
        <v>19.24075560896501</v>
      </c>
      <c r="E23" s="147">
        <f>EXP(Coeffs!E$13+(Coeffs!E$6*Drivers!$D24)+(Coeffs!E$7*Drivers!$E24)+(Coeffs!E$8*Drivers!$F24))</f>
        <v>18.73188643237501</v>
      </c>
      <c r="F23" s="147">
        <f xml:space="preserve"> EXP(Coeffs!F$13 + Coeffs!F$9*Drivers!$G24 + Coeffs!F$10*Drivers!$H24)</f>
        <v>11.820594537199353</v>
      </c>
      <c r="G23" s="147">
        <f xml:space="preserve"> EXP( Coeffs!G$13 + Coeffs!G$9*Drivers!$G24 + Coeffs!G$11*Drivers!$I24 + Coeffs!G$12*Drivers!$J24)</f>
        <v>12.401392179667113</v>
      </c>
      <c r="H23" s="147">
        <f xml:space="preserve"> EXP( Coeffs!H$13 + Coeffs!H$7*Drivers!$E24 + Coeffs!H$9*Drivers!$G24 + Coeffs!H$10*Drivers!$H24 )</f>
        <v>31.840115884878948</v>
      </c>
      <c r="I23" s="147">
        <f xml:space="preserve"> EXP( Coeffs!I$13 + Coeffs!I$7*Drivers!$E24 + Coeffs!I$8*Drivers!$F24 + Coeffs!I$9*Drivers!$G24 + Coeffs!I$10*Drivers!$H24 )</f>
        <v>31.155640258788193</v>
      </c>
      <c r="J23" s="147">
        <f xml:space="preserve"> EXP( Coeffs!J$13 + Coeffs!J$7*Drivers!$E24 + Coeffs!J$8*Drivers!$F24 + Coeffs!J$9*Drivers!$G24 + Coeffs!J$11*Drivers!$I24 + Coeffs!$J$12*Drivers!$J24)</f>
        <v>30.5263678191492</v>
      </c>
      <c r="K23" s="180">
        <f>INDEX(Drivers!$C$2:$S$93, MATCH('Modelled costs'!$C23, Drivers!$C$2:$C$93, 0), MATCH('Modelled costs'!K$3, Drivers!$C$2:$S$2, 0))</f>
        <v>1895.2260000000001</v>
      </c>
      <c r="M23" s="146">
        <f t="shared" si="7"/>
        <v>36.465580289756318</v>
      </c>
      <c r="N23" s="146">
        <f t="shared" si="0"/>
        <v>35.501158195684368</v>
      </c>
      <c r="O23" s="146">
        <f t="shared" si="1"/>
        <v>22.402698102358183</v>
      </c>
      <c r="P23" s="146">
        <f t="shared" si="2"/>
        <v>23.503440895101782</v>
      </c>
      <c r="Q23" s="146">
        <f t="shared" si="3"/>
        <v>60.344215468035586</v>
      </c>
      <c r="R23" s="146">
        <f t="shared" si="4"/>
        <v>59.046979465102112</v>
      </c>
      <c r="S23" s="146">
        <f t="shared" si="5"/>
        <v>57.854365976414869</v>
      </c>
    </row>
    <row r="24" spans="1:19">
      <c r="A24" s="115" t="s">
        <v>105</v>
      </c>
      <c r="B24" s="115">
        <v>2018</v>
      </c>
      <c r="C24" s="115" t="str">
        <f t="shared" si="6"/>
        <v>SRN18</v>
      </c>
      <c r="D24" s="147">
        <f>EXP(Coeffs!$D$13+(Coeffs!$D$6*Drivers!$D25)+(Coeffs!$D$7*Drivers!$E25))</f>
        <v>19.432708340774081</v>
      </c>
      <c r="E24" s="147">
        <f>EXP(Coeffs!E$13+(Coeffs!E$6*Drivers!$D25)+(Coeffs!E$7*Drivers!$E25)+(Coeffs!E$8*Drivers!$F25))</f>
        <v>18.907418879233187</v>
      </c>
      <c r="F24" s="147">
        <f xml:space="preserve"> EXP(Coeffs!F$13 + Coeffs!F$9*Drivers!$G25 + Coeffs!F$10*Drivers!$H25)</f>
        <v>11.691619725558098</v>
      </c>
      <c r="G24" s="147">
        <f xml:space="preserve"> EXP( Coeffs!G$13 + Coeffs!G$9*Drivers!$G25 + Coeffs!G$11*Drivers!$I25 + Coeffs!G$12*Drivers!$J25)</f>
        <v>12.267584087968396</v>
      </c>
      <c r="H24" s="147">
        <f xml:space="preserve"> EXP( Coeffs!H$13 + Coeffs!H$7*Drivers!$E25 + Coeffs!H$9*Drivers!$G25 + Coeffs!H$10*Drivers!$H25 )</f>
        <v>31.841886838285838</v>
      </c>
      <c r="I24" s="147">
        <f xml:space="preserve"> EXP( Coeffs!I$13 + Coeffs!I$7*Drivers!$E25 + Coeffs!I$8*Drivers!$F25 + Coeffs!I$9*Drivers!$G25 + Coeffs!I$10*Drivers!$H25 )</f>
        <v>31.180364964910645</v>
      </c>
      <c r="J24" s="147">
        <f xml:space="preserve"> EXP( Coeffs!J$13 + Coeffs!J$7*Drivers!$E25 + Coeffs!J$8*Drivers!$F25 + Coeffs!J$9*Drivers!$G25 + Coeffs!J$11*Drivers!$I25 + Coeffs!$J$12*Drivers!$J25)</f>
        <v>30.486364969034586</v>
      </c>
      <c r="K24" s="180">
        <f>INDEX(Drivers!$C$2:$S$93, MATCH('Modelled costs'!$C24, Drivers!$C$2:$C$93, 0), MATCH('Modelled costs'!K$3, Drivers!$C$2:$S$2, 0))</f>
        <v>1904.932</v>
      </c>
      <c r="M24" s="146">
        <f t="shared" si="7"/>
        <v>37.017987965007457</v>
      </c>
      <c r="N24" s="146">
        <f t="shared" si="0"/>
        <v>36.017347260455438</v>
      </c>
      <c r="O24" s="146">
        <f t="shared" si="1"/>
        <v>22.271740547046839</v>
      </c>
      <c r="P24" s="146">
        <f t="shared" si="2"/>
        <v>23.368913491861818</v>
      </c>
      <c r="Q24" s="146">
        <f t="shared" si="3"/>
        <v>60.656629178629515</v>
      </c>
      <c r="R24" s="146">
        <f t="shared" si="4"/>
        <v>59.396474993337165</v>
      </c>
      <c r="S24" s="146">
        <f t="shared" si="5"/>
        <v>58.07445219319299</v>
      </c>
    </row>
    <row r="25" spans="1:19">
      <c r="A25" s="115" t="s">
        <v>106</v>
      </c>
      <c r="B25" s="115">
        <v>2014</v>
      </c>
      <c r="C25" s="115" t="str">
        <f t="shared" si="6"/>
        <v>SVT14</v>
      </c>
      <c r="D25" s="147">
        <f>EXP(Coeffs!$D$13+(Coeffs!$D$6*Drivers!$D26)+(Coeffs!$D$7*Drivers!$E26))</f>
        <v>16.360348423204893</v>
      </c>
      <c r="E25" s="147">
        <f>EXP(Coeffs!E$13+(Coeffs!E$6*Drivers!$D26)+(Coeffs!E$7*Drivers!$E26)+(Coeffs!E$8*Drivers!$F26))</f>
        <v>15.877789053568291</v>
      </c>
      <c r="F25" s="147">
        <f xml:space="preserve"> EXP(Coeffs!F$13 + Coeffs!F$9*Drivers!$G26 + Coeffs!F$10*Drivers!$H26)</f>
        <v>13.575597480532942</v>
      </c>
      <c r="G25" s="147">
        <f xml:space="preserve"> EXP( Coeffs!G$13 + Coeffs!G$9*Drivers!$G26 + Coeffs!G$11*Drivers!$I26 + Coeffs!G$12*Drivers!$J26)</f>
        <v>13.590147285222853</v>
      </c>
      <c r="H25" s="147">
        <f xml:space="preserve"> EXP( Coeffs!H$13 + Coeffs!H$7*Drivers!$E26 + Coeffs!H$9*Drivers!$G26 + Coeffs!H$10*Drivers!$H26 )</f>
        <v>30.123411571434303</v>
      </c>
      <c r="I25" s="147">
        <f xml:space="preserve"> EXP( Coeffs!I$13 + Coeffs!I$7*Drivers!$E26 + Coeffs!I$8*Drivers!$F26 + Coeffs!I$9*Drivers!$G26 + Coeffs!I$10*Drivers!$H26 )</f>
        <v>28.184227391505928</v>
      </c>
      <c r="J25" s="147">
        <f xml:space="preserve"> EXP( Coeffs!J$13 + Coeffs!J$7*Drivers!$E26 + Coeffs!J$8*Drivers!$F26 + Coeffs!J$9*Drivers!$G26 + Coeffs!J$11*Drivers!$I26 + Coeffs!$J$12*Drivers!$J26)</f>
        <v>27.964685766914627</v>
      </c>
      <c r="K25" s="180">
        <f>INDEX(Drivers!$C$2:$S$93, MATCH('Modelled costs'!$C25, Drivers!$C$2:$C$93, 0), MATCH('Modelled costs'!K$3, Drivers!$C$2:$S$2, 0))</f>
        <v>3848.9540000000002</v>
      </c>
      <c r="M25" s="146">
        <f t="shared" si="7"/>
        <v>62.970228504888169</v>
      </c>
      <c r="N25" s="146">
        <f t="shared" si="0"/>
        <v>61.112879688887894</v>
      </c>
      <c r="O25" s="146">
        <f t="shared" si="1"/>
        <v>52.251850225087189</v>
      </c>
      <c r="P25" s="146">
        <f t="shared" si="2"/>
        <v>52.307851754047647</v>
      </c>
      <c r="Q25" s="146">
        <f t="shared" si="3"/>
        <v>115.94362546151837</v>
      </c>
      <c r="R25" s="146">
        <f t="shared" si="4"/>
        <v>108.47979475544632</v>
      </c>
      <c r="S25" s="146">
        <f t="shared" si="5"/>
        <v>107.63478914130913</v>
      </c>
    </row>
    <row r="26" spans="1:19">
      <c r="A26" s="115" t="s">
        <v>106</v>
      </c>
      <c r="B26" s="115">
        <v>2015</v>
      </c>
      <c r="C26" s="115" t="str">
        <f t="shared" si="6"/>
        <v>SVT15</v>
      </c>
      <c r="D26" s="147">
        <f>EXP(Coeffs!$D$13+(Coeffs!$D$6*Drivers!$D27)+(Coeffs!$D$7*Drivers!$E27))</f>
        <v>16.491003971775271</v>
      </c>
      <c r="E26" s="147">
        <f>EXP(Coeffs!E$13+(Coeffs!E$6*Drivers!$D27)+(Coeffs!E$7*Drivers!$E27)+(Coeffs!E$8*Drivers!$F27))</f>
        <v>15.997475716856554</v>
      </c>
      <c r="F26" s="147">
        <f xml:space="preserve"> EXP(Coeffs!F$13 + Coeffs!F$9*Drivers!$G27 + Coeffs!F$10*Drivers!$H27)</f>
        <v>14.005439078538437</v>
      </c>
      <c r="G26" s="147">
        <f xml:space="preserve"> EXP( Coeffs!G$13 + Coeffs!G$9*Drivers!$G27 + Coeffs!G$11*Drivers!$I27 + Coeffs!G$12*Drivers!$J27)</f>
        <v>13.816910945936351</v>
      </c>
      <c r="H26" s="147">
        <f xml:space="preserve"> EXP( Coeffs!H$13 + Coeffs!H$7*Drivers!$E27 + Coeffs!H$9*Drivers!$G27 + Coeffs!H$10*Drivers!$H27 )</f>
        <v>30.58367078500909</v>
      </c>
      <c r="I26" s="147">
        <f xml:space="preserve"> EXP( Coeffs!I$13 + Coeffs!I$7*Drivers!$E27 + Coeffs!I$8*Drivers!$F27 + Coeffs!I$9*Drivers!$G27 + Coeffs!I$10*Drivers!$H27 )</f>
        <v>28.730678182343564</v>
      </c>
      <c r="J26" s="147">
        <f xml:space="preserve"> EXP( Coeffs!J$13 + Coeffs!J$7*Drivers!$E27 + Coeffs!J$8*Drivers!$F27 + Coeffs!J$9*Drivers!$G27 + Coeffs!J$11*Drivers!$I27 + Coeffs!$J$12*Drivers!$J27)</f>
        <v>28.312534651610026</v>
      </c>
      <c r="K26" s="180">
        <f>INDEX(Drivers!$C$2:$S$93, MATCH('Modelled costs'!$C26, Drivers!$C$2:$C$93, 0), MATCH('Modelled costs'!K$3, Drivers!$C$2:$S$2, 0))</f>
        <v>3866.2939999999999</v>
      </c>
      <c r="M26" s="146">
        <f t="shared" si="7"/>
        <v>63.759069710050895</v>
      </c>
      <c r="N26" s="146">
        <f t="shared" si="0"/>
        <v>61.850944379228189</v>
      </c>
      <c r="O26" s="146">
        <f t="shared" si="1"/>
        <v>54.149145076718682</v>
      </c>
      <c r="P26" s="146">
        <f t="shared" si="2"/>
        <v>53.420239888808034</v>
      </c>
      <c r="Q26" s="146">
        <f t="shared" si="3"/>
        <v>118.24546285405594</v>
      </c>
      <c r="R26" s="146">
        <f t="shared" si="4"/>
        <v>111.08124867232581</v>
      </c>
      <c r="S26" s="146">
        <f t="shared" si="5"/>
        <v>109.46458284831193</v>
      </c>
    </row>
    <row r="27" spans="1:19">
      <c r="A27" s="115" t="s">
        <v>106</v>
      </c>
      <c r="B27" s="115">
        <v>2016</v>
      </c>
      <c r="C27" s="115" t="str">
        <f t="shared" si="6"/>
        <v>SVT16</v>
      </c>
      <c r="D27" s="147">
        <f>EXP(Coeffs!$D$13+(Coeffs!$D$6*Drivers!$D28)+(Coeffs!$D$7*Drivers!$E28))</f>
        <v>16.771770092801944</v>
      </c>
      <c r="E27" s="147">
        <f>EXP(Coeffs!E$13+(Coeffs!E$6*Drivers!$D28)+(Coeffs!E$7*Drivers!$E28)+(Coeffs!E$8*Drivers!$F28))</f>
        <v>16.253134532803116</v>
      </c>
      <c r="F27" s="147">
        <f xml:space="preserve"> EXP(Coeffs!F$13 + Coeffs!F$9*Drivers!$G28 + Coeffs!F$10*Drivers!$H28)</f>
        <v>12.806267197028799</v>
      </c>
      <c r="G27" s="147">
        <f xml:space="preserve"> EXP( Coeffs!G$13 + Coeffs!G$9*Drivers!$G28 + Coeffs!G$11*Drivers!$I28 + Coeffs!G$12*Drivers!$J28)</f>
        <v>12.81438958033165</v>
      </c>
      <c r="H27" s="147">
        <f xml:space="preserve"> EXP( Coeffs!H$13 + Coeffs!H$7*Drivers!$E28 + Coeffs!H$9*Drivers!$G28 + Coeffs!H$10*Drivers!$H28 )</f>
        <v>29.728965319897856</v>
      </c>
      <c r="I27" s="147">
        <f xml:space="preserve"> EXP( Coeffs!I$13 + Coeffs!I$7*Drivers!$E28 + Coeffs!I$8*Drivers!$F28 + Coeffs!I$9*Drivers!$G28 + Coeffs!I$10*Drivers!$H28 )</f>
        <v>27.805269109744497</v>
      </c>
      <c r="J27" s="147">
        <f xml:space="preserve"> EXP( Coeffs!J$13 + Coeffs!J$7*Drivers!$E28 + Coeffs!J$8*Drivers!$F28 + Coeffs!J$9*Drivers!$G28 + Coeffs!J$11*Drivers!$I28 + Coeffs!$J$12*Drivers!$J28)</f>
        <v>27.3687076276113</v>
      </c>
      <c r="K27" s="180">
        <f>INDEX(Drivers!$C$2:$S$93, MATCH('Modelled costs'!$C27, Drivers!$C$2:$C$93, 0), MATCH('Modelled costs'!K$3, Drivers!$C$2:$S$2, 0))</f>
        <v>3948.2460000000001</v>
      </c>
      <c r="M27" s="146">
        <f t="shared" si="7"/>
        <v>66.219074181824908</v>
      </c>
      <c r="N27" s="146">
        <f t="shared" si="0"/>
        <v>64.171373406601774</v>
      </c>
      <c r="O27" s="146">
        <f t="shared" si="1"/>
        <v>50.562293235600166</v>
      </c>
      <c r="P27" s="146">
        <f t="shared" si="2"/>
        <v>50.594362402986114</v>
      </c>
      <c r="Q27" s="146">
        <f t="shared" si="3"/>
        <v>117.37726840842544</v>
      </c>
      <c r="R27" s="146">
        <f t="shared" si="4"/>
        <v>109.78204254147226</v>
      </c>
      <c r="S27" s="146">
        <f t="shared" si="5"/>
        <v>108.05839041588581</v>
      </c>
    </row>
    <row r="28" spans="1:19">
      <c r="A28" s="115" t="s">
        <v>106</v>
      </c>
      <c r="B28" s="115">
        <v>2017</v>
      </c>
      <c r="C28" s="115" t="str">
        <f t="shared" si="6"/>
        <v>SVT17</v>
      </c>
      <c r="D28" s="147">
        <f>EXP(Coeffs!$D$13+(Coeffs!$D$6*Drivers!$D29)+(Coeffs!$D$7*Drivers!$E29))</f>
        <v>16.703491596156567</v>
      </c>
      <c r="E28" s="147">
        <f>EXP(Coeffs!E$13+(Coeffs!E$6*Drivers!$D29)+(Coeffs!E$7*Drivers!$E29)+(Coeffs!E$8*Drivers!$F29))</f>
        <v>16.155278332647065</v>
      </c>
      <c r="F28" s="147">
        <f xml:space="preserve"> EXP(Coeffs!F$13 + Coeffs!F$9*Drivers!$G29 + Coeffs!F$10*Drivers!$H29)</f>
        <v>12.280031132508153</v>
      </c>
      <c r="G28" s="147">
        <f xml:space="preserve"> EXP( Coeffs!G$13 + Coeffs!G$9*Drivers!$G29 + Coeffs!G$11*Drivers!$I29 + Coeffs!G$12*Drivers!$J29)</f>
        <v>12.750285808327749</v>
      </c>
      <c r="H28" s="147">
        <f xml:space="preserve"> EXP( Coeffs!H$13 + Coeffs!H$7*Drivers!$E29 + Coeffs!H$9*Drivers!$G29 + Coeffs!H$10*Drivers!$H29 )</f>
        <v>29.293180513598418</v>
      </c>
      <c r="I28" s="147">
        <f xml:space="preserve"> EXP( Coeffs!I$13 + Coeffs!I$7*Drivers!$E29 + Coeffs!I$8*Drivers!$F29 + Coeffs!I$9*Drivers!$G29 + Coeffs!I$10*Drivers!$H29 )</f>
        <v>27.219470770475226</v>
      </c>
      <c r="J28" s="147">
        <f xml:space="preserve"> EXP( Coeffs!J$13 + Coeffs!J$7*Drivers!$E29 + Coeffs!J$8*Drivers!$F29 + Coeffs!J$9*Drivers!$G29 + Coeffs!J$11*Drivers!$I29 + Coeffs!$J$12*Drivers!$J29)</f>
        <v>27.252120829903006</v>
      </c>
      <c r="K28" s="180">
        <f>INDEX(Drivers!$C$2:$S$93, MATCH('Modelled costs'!$C28, Drivers!$C$2:$C$93, 0), MATCH('Modelled costs'!K$3, Drivers!$C$2:$S$2, 0))</f>
        <v>3979.8119999999999</v>
      </c>
      <c r="M28" s="146">
        <f t="shared" si="7"/>
        <v>66.476756296283057</v>
      </c>
      <c r="N28" s="146">
        <f t="shared" si="0"/>
        <v>64.294970571608772</v>
      </c>
      <c r="O28" s="146">
        <f t="shared" si="1"/>
        <v>48.872215261529533</v>
      </c>
      <c r="P28" s="146">
        <f t="shared" si="2"/>
        <v>50.743740463412479</v>
      </c>
      <c r="Q28" s="146">
        <f t="shared" si="3"/>
        <v>116.58135132618516</v>
      </c>
      <c r="R28" s="146">
        <f t="shared" si="4"/>
        <v>108.32837640598655</v>
      </c>
      <c r="S28" s="146">
        <f t="shared" si="5"/>
        <v>108.45831750429794</v>
      </c>
    </row>
    <row r="29" spans="1:19">
      <c r="A29" s="115" t="s">
        <v>106</v>
      </c>
      <c r="B29" s="115">
        <v>2018</v>
      </c>
      <c r="C29" s="115" t="str">
        <f t="shared" si="6"/>
        <v>SVT18</v>
      </c>
      <c r="D29" s="147">
        <f>EXP(Coeffs!$D$13+(Coeffs!$D$6*Drivers!$D30)+(Coeffs!$D$7*Drivers!$E30))</f>
        <v>16.832475319552639</v>
      </c>
      <c r="E29" s="147">
        <f>EXP(Coeffs!E$13+(Coeffs!E$6*Drivers!$D30)+(Coeffs!E$7*Drivers!$E30)+(Coeffs!E$8*Drivers!$F30))</f>
        <v>16.269417457964476</v>
      </c>
      <c r="F29" s="147">
        <f xml:space="preserve"> EXP(Coeffs!F$13 + Coeffs!F$9*Drivers!$G30 + Coeffs!F$10*Drivers!$H30)</f>
        <v>12.003931235578401</v>
      </c>
      <c r="G29" s="147">
        <f xml:space="preserve"> EXP( Coeffs!G$13 + Coeffs!G$9*Drivers!$G30 + Coeffs!G$11*Drivers!$I30 + Coeffs!G$12*Drivers!$J30)</f>
        <v>12.466780334634153</v>
      </c>
      <c r="H29" s="147">
        <f xml:space="preserve"> EXP( Coeffs!H$13 + Coeffs!H$7*Drivers!$E30 + Coeffs!H$9*Drivers!$G30 + Coeffs!H$10*Drivers!$H30 )</f>
        <v>29.122223324063054</v>
      </c>
      <c r="I29" s="147">
        <f xml:space="preserve"> EXP( Coeffs!I$13 + Coeffs!I$7*Drivers!$E30 + Coeffs!I$8*Drivers!$F30 + Coeffs!I$9*Drivers!$G30 + Coeffs!I$10*Drivers!$H30 )</f>
        <v>27.046263655832071</v>
      </c>
      <c r="J29" s="147">
        <f xml:space="preserve"> EXP( Coeffs!J$13 + Coeffs!J$7*Drivers!$E30 + Coeffs!J$8*Drivers!$F30 + Coeffs!J$9*Drivers!$G30 + Coeffs!J$11*Drivers!$I30 + Coeffs!$J$12*Drivers!$J30)</f>
        <v>26.999687547522996</v>
      </c>
      <c r="K29" s="180">
        <f>INDEX(Drivers!$C$2:$S$93, MATCH('Modelled costs'!$C29, Drivers!$C$2:$C$93, 0), MATCH('Modelled costs'!K$3, Drivers!$C$2:$S$2, 0))</f>
        <v>4019.8679999999999</v>
      </c>
      <c r="M29" s="146">
        <f t="shared" si="7"/>
        <v>67.66432889785942</v>
      </c>
      <c r="N29" s="146">
        <f t="shared" si="0"/>
        <v>65.400910617912743</v>
      </c>
      <c r="O29" s="146">
        <f t="shared" si="1"/>
        <v>48.254219048102073</v>
      </c>
      <c r="P29" s="146">
        <f t="shared" si="2"/>
        <v>50.114811330225123</v>
      </c>
      <c r="Q29" s="146">
        <f t="shared" si="3"/>
        <v>117.0674936292547</v>
      </c>
      <c r="R29" s="146">
        <f t="shared" si="4"/>
        <v>108.72240978964236</v>
      </c>
      <c r="S29" s="146">
        <f t="shared" si="5"/>
        <v>108.53517998228617</v>
      </c>
    </row>
    <row r="30" spans="1:19">
      <c r="A30" s="115" t="s">
        <v>243</v>
      </c>
      <c r="B30" s="115">
        <v>2014</v>
      </c>
      <c r="C30" s="115" t="str">
        <f t="shared" si="6"/>
        <v>SWT14</v>
      </c>
      <c r="D30" s="147">
        <f>EXP(Coeffs!$D$13+(Coeffs!$D$6*Drivers!$D31)+(Coeffs!$D$7*Drivers!$E31))</f>
        <v>20.676772647460641</v>
      </c>
      <c r="E30" s="147">
        <f>EXP(Coeffs!E$13+(Coeffs!E$6*Drivers!$D31)+(Coeffs!E$7*Drivers!$E31)+(Coeffs!E$8*Drivers!$F31))</f>
        <v>21.91413878442534</v>
      </c>
      <c r="F30" s="147">
        <f xml:space="preserve"> EXP(Coeffs!F$13 + Coeffs!F$9*Drivers!$G31 + Coeffs!F$10*Drivers!$H31)</f>
        <v>20.874869519303491</v>
      </c>
      <c r="G30" s="147">
        <f xml:space="preserve"> EXP( Coeffs!G$13 + Coeffs!G$9*Drivers!$G31 + Coeffs!G$11*Drivers!$I31 + Coeffs!G$12*Drivers!$J31)</f>
        <v>21.85104853544415</v>
      </c>
      <c r="H30" s="147">
        <f xml:space="preserve"> EXP( Coeffs!H$13 + Coeffs!H$7*Drivers!$E31 + Coeffs!H$9*Drivers!$G31 + Coeffs!H$10*Drivers!$H31 )</f>
        <v>40.351948637197168</v>
      </c>
      <c r="I30" s="147">
        <f xml:space="preserve"> EXP( Coeffs!I$13 + Coeffs!I$7*Drivers!$E31 + Coeffs!I$8*Drivers!$F31 + Coeffs!I$9*Drivers!$G31 + Coeffs!I$10*Drivers!$H31 )</f>
        <v>42.951254453123511</v>
      </c>
      <c r="J30" s="147">
        <f xml:space="preserve"> EXP( Coeffs!J$13 + Coeffs!J$7*Drivers!$E31 + Coeffs!J$8*Drivers!$F31 + Coeffs!J$9*Drivers!$G31 + Coeffs!J$11*Drivers!$I31 + Coeffs!$J$12*Drivers!$J31)</f>
        <v>43.951390027705941</v>
      </c>
      <c r="K30" s="180">
        <f>INDEX(Drivers!$C$2:$S$93, MATCH('Modelled costs'!$C30, Drivers!$C$2:$C$93, 0), MATCH('Modelled costs'!K$3, Drivers!$C$2:$S$2, 0))</f>
        <v>715.63400000000001</v>
      </c>
      <c r="M30" s="146">
        <f t="shared" si="7"/>
        <v>14.797001516792848</v>
      </c>
      <c r="N30" s="146">
        <f t="shared" si="0"/>
        <v>15.682502794853445</v>
      </c>
      <c r="O30" s="146">
        <f t="shared" si="1"/>
        <v>14.938766373577236</v>
      </c>
      <c r="P30" s="146">
        <f t="shared" si="2"/>
        <v>15.637353267614039</v>
      </c>
      <c r="Q30" s="146">
        <f t="shared" si="3"/>
        <v>28.877226411031959</v>
      </c>
      <c r="R30" s="146">
        <f t="shared" si="4"/>
        <v>30.737378029306591</v>
      </c>
      <c r="S30" s="146">
        <f t="shared" si="5"/>
        <v>31.453109051087317</v>
      </c>
    </row>
    <row r="31" spans="1:19">
      <c r="A31" s="115" t="s">
        <v>243</v>
      </c>
      <c r="B31" s="115">
        <v>2015</v>
      </c>
      <c r="C31" s="115" t="str">
        <f t="shared" si="6"/>
        <v>SWT15</v>
      </c>
      <c r="D31" s="147">
        <f>EXP(Coeffs!$D$13+(Coeffs!$D$6*Drivers!$D32)+(Coeffs!$D$7*Drivers!$E32))</f>
        <v>20.834808899267557</v>
      </c>
      <c r="E31" s="147">
        <f>EXP(Coeffs!E$13+(Coeffs!E$6*Drivers!$D32)+(Coeffs!E$7*Drivers!$E32)+(Coeffs!E$8*Drivers!$F32))</f>
        <v>22.073217598233093</v>
      </c>
      <c r="F31" s="147">
        <f xml:space="preserve"> EXP(Coeffs!F$13 + Coeffs!F$9*Drivers!$G32 + Coeffs!F$10*Drivers!$H32)</f>
        <v>20.871316453155796</v>
      </c>
      <c r="G31" s="147">
        <f xml:space="preserve"> EXP( Coeffs!G$13 + Coeffs!G$9*Drivers!$G32 + Coeffs!G$11*Drivers!$I32 + Coeffs!G$12*Drivers!$J32)</f>
        <v>21.922543769680765</v>
      </c>
      <c r="H31" s="147">
        <f xml:space="preserve"> EXP( Coeffs!H$13 + Coeffs!H$7*Drivers!$E32 + Coeffs!H$9*Drivers!$G32 + Coeffs!H$10*Drivers!$H32 )</f>
        <v>40.496672651321497</v>
      </c>
      <c r="I31" s="147">
        <f xml:space="preserve"> EXP( Coeffs!I$13 + Coeffs!I$7*Drivers!$E32 + Coeffs!I$8*Drivers!$F32 + Coeffs!I$9*Drivers!$G32 + Coeffs!I$10*Drivers!$H32 )</f>
        <v>43.121059293240393</v>
      </c>
      <c r="J31" s="147">
        <f xml:space="preserve"> EXP( Coeffs!J$13 + Coeffs!J$7*Drivers!$E32 + Coeffs!J$8*Drivers!$F32 + Coeffs!J$9*Drivers!$G32 + Coeffs!J$11*Drivers!$I32 + Coeffs!$J$12*Drivers!$J32)</f>
        <v>44.148247091004272</v>
      </c>
      <c r="K31" s="180">
        <f>INDEX(Drivers!$C$2:$S$93, MATCH('Modelled costs'!$C31, Drivers!$C$2:$C$93, 0), MATCH('Modelled costs'!K$3, Drivers!$C$2:$S$2, 0))</f>
        <v>720.17700000000002</v>
      </c>
      <c r="M31" s="146">
        <f t="shared" si="7"/>
        <v>15.00475016864781</v>
      </c>
      <c r="N31" s="146">
        <f t="shared" si="0"/>
        <v>15.896623630242715</v>
      </c>
      <c r="O31" s="146">
        <f t="shared" si="1"/>
        <v>15.031042069284382</v>
      </c>
      <c r="P31" s="146">
        <f t="shared" si="2"/>
        <v>15.788111804417383</v>
      </c>
      <c r="Q31" s="146">
        <f t="shared" si="3"/>
        <v>29.164772220010764</v>
      </c>
      <c r="R31" s="146">
        <f t="shared" si="4"/>
        <v>31.054795118627986</v>
      </c>
      <c r="S31" s="146">
        <f t="shared" si="5"/>
        <v>31.794552145258184</v>
      </c>
    </row>
    <row r="32" spans="1:19">
      <c r="A32" s="115" t="s">
        <v>243</v>
      </c>
      <c r="B32" s="115">
        <v>2016</v>
      </c>
      <c r="C32" s="115" t="str">
        <f t="shared" si="6"/>
        <v>SWT16</v>
      </c>
      <c r="D32" s="147">
        <f>EXP(Coeffs!$D$13+(Coeffs!$D$6*Drivers!$D33)+(Coeffs!$D$7*Drivers!$E33))</f>
        <v>20.912027951344555</v>
      </c>
      <c r="E32" s="147">
        <f>EXP(Coeffs!E$13+(Coeffs!E$6*Drivers!$D33)+(Coeffs!E$7*Drivers!$E33)+(Coeffs!E$8*Drivers!$F33))</f>
        <v>22.10571763844149</v>
      </c>
      <c r="F32" s="147">
        <f xml:space="preserve"> EXP(Coeffs!F$13 + Coeffs!F$9*Drivers!$G33 + Coeffs!F$10*Drivers!$H33)</f>
        <v>18.566370339861763</v>
      </c>
      <c r="G32" s="147">
        <f xml:space="preserve"> EXP( Coeffs!G$13 + Coeffs!G$9*Drivers!$G33 + Coeffs!G$11*Drivers!$I33 + Coeffs!G$12*Drivers!$J33)</f>
        <v>19.827770023855315</v>
      </c>
      <c r="H32" s="147">
        <f xml:space="preserve"> EXP( Coeffs!H$13 + Coeffs!H$7*Drivers!$E33 + Coeffs!H$9*Drivers!$G33 + Coeffs!H$10*Drivers!$H33 )</f>
        <v>38.750972615198208</v>
      </c>
      <c r="I32" s="147">
        <f xml:space="preserve"> EXP( Coeffs!I$13 + Coeffs!I$7*Drivers!$E33 + Coeffs!I$8*Drivers!$F33 + Coeffs!I$9*Drivers!$G33 + Coeffs!I$10*Drivers!$H33 )</f>
        <v>40.94167517493473</v>
      </c>
      <c r="J32" s="147">
        <f xml:space="preserve"> EXP( Coeffs!J$13 + Coeffs!J$7*Drivers!$E33 + Coeffs!J$8*Drivers!$F33 + Coeffs!J$9*Drivers!$G33 + Coeffs!J$11*Drivers!$I33 + Coeffs!$J$12*Drivers!$J33)</f>
        <v>41.866457610885575</v>
      </c>
      <c r="K32" s="180">
        <f>INDEX(Drivers!$C$2:$S$93, MATCH('Modelled costs'!$C32, Drivers!$C$2:$C$93, 0), MATCH('Modelled costs'!K$3, Drivers!$C$2:$S$2, 0))</f>
        <v>735.62900000000002</v>
      </c>
      <c r="M32" s="146">
        <f t="shared" si="7"/>
        <v>15.383494209819645</v>
      </c>
      <c r="N32" s="146">
        <f t="shared" si="0"/>
        <v>16.261606960649075</v>
      </c>
      <c r="O32" s="146">
        <f t="shared" si="1"/>
        <v>13.65796044674217</v>
      </c>
      <c r="P32" s="146">
        <f t="shared" si="2"/>
        <v>14.585882634878663</v>
      </c>
      <c r="Q32" s="146">
        <f t="shared" si="3"/>
        <v>28.506339233945646</v>
      </c>
      <c r="R32" s="146">
        <f t="shared" si="4"/>
        <v>30.117883567262062</v>
      </c>
      <c r="S32" s="146">
        <f t="shared" si="5"/>
        <v>30.798180345838148</v>
      </c>
    </row>
    <row r="33" spans="1:19">
      <c r="A33" s="115" t="s">
        <v>107</v>
      </c>
      <c r="B33" s="115">
        <v>2014</v>
      </c>
      <c r="C33" s="115" t="str">
        <f t="shared" si="6"/>
        <v>TMS14</v>
      </c>
      <c r="D33" s="147">
        <f>EXP(Coeffs!$D$13+(Coeffs!$D$6*Drivers!$D34)+(Coeffs!$D$7*Drivers!$E34))</f>
        <v>15.668157134274592</v>
      </c>
      <c r="E33" s="147">
        <f>EXP(Coeffs!E$13+(Coeffs!E$6*Drivers!$D34)+(Coeffs!E$7*Drivers!$E34)+(Coeffs!E$8*Drivers!$F34))</f>
        <v>14.831633087726889</v>
      </c>
      <c r="F33" s="147">
        <f xml:space="preserve"> EXP(Coeffs!F$13 + Coeffs!F$9*Drivers!$G34 + Coeffs!F$10*Drivers!$H34)</f>
        <v>15.364186198390447</v>
      </c>
      <c r="G33" s="147">
        <f xml:space="preserve"> EXP( Coeffs!G$13 + Coeffs!G$9*Drivers!$G34 + Coeffs!G$11*Drivers!$I34 + Coeffs!G$12*Drivers!$J34)</f>
        <v>14.802144596294545</v>
      </c>
      <c r="H33" s="147">
        <f xml:space="preserve"> EXP( Coeffs!H$13 + Coeffs!H$7*Drivers!$E34 + Coeffs!H$9*Drivers!$G34 + Coeffs!H$10*Drivers!$H34 )</f>
        <v>30.966544420230456</v>
      </c>
      <c r="I33" s="147">
        <f xml:space="preserve"> EXP( Coeffs!I$13 + Coeffs!I$7*Drivers!$E34 + Coeffs!I$8*Drivers!$F34 + Coeffs!I$9*Drivers!$G34 + Coeffs!I$10*Drivers!$H34 )</f>
        <v>28.923000527043911</v>
      </c>
      <c r="J33" s="147">
        <f xml:space="preserve"> EXP( Coeffs!J$13 + Coeffs!J$7*Drivers!$E34 + Coeffs!J$8*Drivers!$F34 + Coeffs!J$9*Drivers!$G34 + Coeffs!J$11*Drivers!$I34 + Coeffs!$J$12*Drivers!$J34)</f>
        <v>31.80740982512097</v>
      </c>
      <c r="K33" s="180">
        <f>INDEX(Drivers!$C$2:$S$93, MATCH('Modelled costs'!$C33, Drivers!$C$2:$C$93, 0), MATCH('Modelled costs'!K$3, Drivers!$C$2:$S$2, 0))</f>
        <v>5284.5969999999998</v>
      </c>
      <c r="M33" s="146">
        <f t="shared" si="7"/>
        <v>82.799896187316108</v>
      </c>
      <c r="N33" s="146">
        <f t="shared" si="0"/>
        <v>78.379203720502247</v>
      </c>
      <c r="O33" s="146">
        <f t="shared" si="1"/>
        <v>81.193532291455554</v>
      </c>
      <c r="P33" s="146">
        <f t="shared" si="2"/>
        <v>78.223368927144364</v>
      </c>
      <c r="Q33" s="146">
        <f t="shared" si="3"/>
        <v>163.6457077435166</v>
      </c>
      <c r="R33" s="146">
        <f t="shared" si="4"/>
        <v>152.84640181621469</v>
      </c>
      <c r="S33" s="146">
        <f t="shared" si="5"/>
        <v>168.08934253960481</v>
      </c>
    </row>
    <row r="34" spans="1:19">
      <c r="A34" s="115" t="s">
        <v>107</v>
      </c>
      <c r="B34" s="115">
        <v>2015</v>
      </c>
      <c r="C34" s="115" t="str">
        <f t="shared" si="6"/>
        <v>TMS15</v>
      </c>
      <c r="D34" s="147">
        <f>EXP(Coeffs!$D$13+(Coeffs!$D$6*Drivers!$D35)+(Coeffs!$D$7*Drivers!$E35))</f>
        <v>15.771773526035537</v>
      </c>
      <c r="E34" s="147">
        <f>EXP(Coeffs!E$13+(Coeffs!E$6*Drivers!$D35)+(Coeffs!E$7*Drivers!$E35)+(Coeffs!E$8*Drivers!$F35))</f>
        <v>14.921404579648627</v>
      </c>
      <c r="F34" s="147">
        <f xml:space="preserve"> EXP(Coeffs!F$13 + Coeffs!F$9*Drivers!$G35 + Coeffs!F$10*Drivers!$H35)</f>
        <v>15.659313298249202</v>
      </c>
      <c r="G34" s="147">
        <f xml:space="preserve"> EXP( Coeffs!G$13 + Coeffs!G$9*Drivers!$G35 + Coeffs!G$11*Drivers!$I35 + Coeffs!G$12*Drivers!$J35)</f>
        <v>15.371339112598964</v>
      </c>
      <c r="H34" s="147">
        <f xml:space="preserve"> EXP( Coeffs!H$13 + Coeffs!H$7*Drivers!$E35 + Coeffs!H$9*Drivers!$G35 + Coeffs!H$10*Drivers!$H35 )</f>
        <v>31.344079833627589</v>
      </c>
      <c r="I34" s="147">
        <f xml:space="preserve"> EXP( Coeffs!I$13 + Coeffs!I$7*Drivers!$E35 + Coeffs!I$8*Drivers!$F35 + Coeffs!I$9*Drivers!$G35 + Coeffs!I$10*Drivers!$H35 )</f>
        <v>29.268261504679938</v>
      </c>
      <c r="J34" s="147">
        <f xml:space="preserve"> EXP( Coeffs!J$13 + Coeffs!J$7*Drivers!$E35 + Coeffs!J$8*Drivers!$F35 + Coeffs!J$9*Drivers!$G35 + Coeffs!J$11*Drivers!$I35 + Coeffs!$J$12*Drivers!$J35)</f>
        <v>32.549461268668978</v>
      </c>
      <c r="K34" s="180">
        <f>INDEX(Drivers!$C$2:$S$93, MATCH('Modelled costs'!$C34, Drivers!$C$2:$C$93, 0), MATCH('Modelled costs'!K$3, Drivers!$C$2:$S$2, 0))</f>
        <v>5325.692</v>
      </c>
      <c r="M34" s="146">
        <f t="shared" si="7"/>
        <v>83.995608093419236</v>
      </c>
      <c r="N34" s="146">
        <f t="shared" si="0"/>
        <v>79.466804998598064</v>
      </c>
      <c r="O34" s="146">
        <f t="shared" si="1"/>
        <v>83.396679557979397</v>
      </c>
      <c r="P34" s="146">
        <f t="shared" si="2"/>
        <v>81.863017741255405</v>
      </c>
      <c r="Q34" s="146">
        <f t="shared" si="3"/>
        <v>166.92891521731181</v>
      </c>
      <c r="R34" s="146">
        <f t="shared" si="4"/>
        <v>155.8737461493819</v>
      </c>
      <c r="S34" s="146">
        <f t="shared" si="5"/>
        <v>173.34840548286024</v>
      </c>
    </row>
    <row r="35" spans="1:19">
      <c r="A35" s="115" t="s">
        <v>107</v>
      </c>
      <c r="B35" s="115">
        <v>2016</v>
      </c>
      <c r="C35" s="115" t="str">
        <f t="shared" si="6"/>
        <v>TMS16</v>
      </c>
      <c r="D35" s="147">
        <f>EXP(Coeffs!$D$13+(Coeffs!$D$6*Drivers!$D36)+(Coeffs!$D$7*Drivers!$E36))</f>
        <v>16.2915971912503</v>
      </c>
      <c r="E35" s="147">
        <f>EXP(Coeffs!E$13+(Coeffs!E$6*Drivers!$D36)+(Coeffs!E$7*Drivers!$E36)+(Coeffs!E$8*Drivers!$F36))</f>
        <v>15.396789638786446</v>
      </c>
      <c r="F35" s="147">
        <f xml:space="preserve"> EXP(Coeffs!F$13 + Coeffs!F$9*Drivers!$G36 + Coeffs!F$10*Drivers!$H36)</f>
        <v>14.955173887870886</v>
      </c>
      <c r="G35" s="147">
        <f xml:space="preserve"> EXP( Coeffs!G$13 + Coeffs!G$9*Drivers!$G36 + Coeffs!G$11*Drivers!$I36 + Coeffs!G$12*Drivers!$J36)</f>
        <v>15.197641897263731</v>
      </c>
      <c r="H35" s="147">
        <f xml:space="preserve"> EXP( Coeffs!H$13 + Coeffs!H$7*Drivers!$E36 + Coeffs!H$9*Drivers!$G36 + Coeffs!H$10*Drivers!$H36 )</f>
        <v>31.29338696581388</v>
      </c>
      <c r="I35" s="147">
        <f xml:space="preserve"> EXP( Coeffs!I$13 + Coeffs!I$7*Drivers!$E36 + Coeffs!I$8*Drivers!$F36 + Coeffs!I$9*Drivers!$G36 + Coeffs!I$10*Drivers!$H36 )</f>
        <v>29.195385330877897</v>
      </c>
      <c r="J35" s="147">
        <f xml:space="preserve"> EXP( Coeffs!J$13 + Coeffs!J$7*Drivers!$E36 + Coeffs!J$8*Drivers!$F36 + Coeffs!J$9*Drivers!$G36 + Coeffs!J$11*Drivers!$I36 + Coeffs!$J$12*Drivers!$J36)</f>
        <v>32.879347858066538</v>
      </c>
      <c r="K35" s="180">
        <f>INDEX(Drivers!$C$2:$S$93, MATCH('Modelled costs'!$C35, Drivers!$C$2:$C$93, 0), MATCH('Modelled costs'!K$3, Drivers!$C$2:$S$2, 0))</f>
        <v>5353.6824999999999</v>
      </c>
      <c r="M35" s="146">
        <f t="shared" si="7"/>
        <v>87.220038779845879</v>
      </c>
      <c r="N35" s="146">
        <f t="shared" si="0"/>
        <v>82.429523245352328</v>
      </c>
      <c r="O35" s="146">
        <f t="shared" si="1"/>
        <v>80.065252727951332</v>
      </c>
      <c r="P35" s="146">
        <f t="shared" si="2"/>
        <v>81.363349466647634</v>
      </c>
      <c r="Q35" s="146">
        <f t="shared" si="3"/>
        <v>167.53485816460585</v>
      </c>
      <c r="R35" s="146">
        <f t="shared" si="4"/>
        <v>156.30282352667768</v>
      </c>
      <c r="S35" s="146">
        <f t="shared" si="5"/>
        <v>176.0255892391433</v>
      </c>
    </row>
    <row r="36" spans="1:19">
      <c r="A36" s="115" t="s">
        <v>107</v>
      </c>
      <c r="B36" s="115">
        <v>2017</v>
      </c>
      <c r="C36" s="115" t="str">
        <f t="shared" si="6"/>
        <v>TMS17</v>
      </c>
      <c r="D36" s="147">
        <f>EXP(Coeffs!$D$13+(Coeffs!$D$6*Drivers!$D37)+(Coeffs!$D$7*Drivers!$E37))</f>
        <v>16.493052281370701</v>
      </c>
      <c r="E36" s="147">
        <f>EXP(Coeffs!E$13+(Coeffs!E$6*Drivers!$D37)+(Coeffs!E$7*Drivers!$E37)+(Coeffs!E$8*Drivers!$F37))</f>
        <v>15.574236882106886</v>
      </c>
      <c r="F36" s="147">
        <f xml:space="preserve"> EXP(Coeffs!F$13 + Coeffs!F$9*Drivers!$G37 + Coeffs!F$10*Drivers!$H37)</f>
        <v>14.360201984652942</v>
      </c>
      <c r="G36" s="147">
        <f xml:space="preserve"> EXP( Coeffs!G$13 + Coeffs!G$9*Drivers!$G37 + Coeffs!G$11*Drivers!$I37 + Coeffs!G$12*Drivers!$J37)</f>
        <v>14.895771202168204</v>
      </c>
      <c r="H36" s="147">
        <f xml:space="preserve"> EXP( Coeffs!H$13 + Coeffs!H$7*Drivers!$E37 + Coeffs!H$9*Drivers!$G37 + Coeffs!H$10*Drivers!$H37 )</f>
        <v>31.001883274232636</v>
      </c>
      <c r="I36" s="147">
        <f xml:space="preserve"> EXP( Coeffs!I$13 + Coeffs!I$7*Drivers!$E37 + Coeffs!I$8*Drivers!$F37 + Coeffs!I$9*Drivers!$G37 + Coeffs!I$10*Drivers!$H37 )</f>
        <v>28.853533827914379</v>
      </c>
      <c r="J36" s="147">
        <f xml:space="preserve"> EXP( Coeffs!J$13 + Coeffs!J$7*Drivers!$E37 + Coeffs!J$8*Drivers!$F37 + Coeffs!J$9*Drivers!$G37 + Coeffs!J$11*Drivers!$I37 + Coeffs!$J$12*Drivers!$J37)</f>
        <v>32.720575967658569</v>
      </c>
      <c r="K36" s="180">
        <f>INDEX(Drivers!$C$2:$S$93, MATCH('Modelled costs'!$C36, Drivers!$C$2:$C$93, 0), MATCH('Modelled costs'!K$3, Drivers!$C$2:$S$2, 0))</f>
        <v>5388.7960000000003</v>
      </c>
      <c r="M36" s="146">
        <f t="shared" si="7"/>
        <v>88.877694161641315</v>
      </c>
      <c r="N36" s="146">
        <f t="shared" si="0"/>
        <v>83.926385413350062</v>
      </c>
      <c r="O36" s="146">
        <f t="shared" si="1"/>
        <v>77.384199014089845</v>
      </c>
      <c r="P36" s="146">
        <f t="shared" si="2"/>
        <v>80.2702722711592</v>
      </c>
      <c r="Q36" s="146">
        <f t="shared" si="3"/>
        <v>167.06282458065172</v>
      </c>
      <c r="R36" s="146">
        <f t="shared" si="4"/>
        <v>155.4858076777297</v>
      </c>
      <c r="S36" s="146">
        <f t="shared" si="5"/>
        <v>176.32450889221462</v>
      </c>
    </row>
    <row r="37" spans="1:19">
      <c r="A37" s="115" t="s">
        <v>107</v>
      </c>
      <c r="B37" s="115">
        <v>2018</v>
      </c>
      <c r="C37" s="115" t="str">
        <f t="shared" si="6"/>
        <v>TMS18</v>
      </c>
      <c r="D37" s="147">
        <f>EXP(Coeffs!$D$13+(Coeffs!$D$6*Drivers!$D38)+(Coeffs!$D$7*Drivers!$E38))</f>
        <v>16.690688296511141</v>
      </c>
      <c r="E37" s="147">
        <f>EXP(Coeffs!E$13+(Coeffs!E$6*Drivers!$D38)+(Coeffs!E$7*Drivers!$E38)+(Coeffs!E$8*Drivers!$F38))</f>
        <v>15.750913535884733</v>
      </c>
      <c r="F37" s="147">
        <f xml:space="preserve"> EXP(Coeffs!F$13 + Coeffs!F$9*Drivers!$G38 + Coeffs!F$10*Drivers!$H38)</f>
        <v>13.465435118535634</v>
      </c>
      <c r="G37" s="147">
        <f xml:space="preserve"> EXP( Coeffs!G$13 + Coeffs!G$9*Drivers!$G38 + Coeffs!G$11*Drivers!$I38 + Coeffs!G$12*Drivers!$J38)</f>
        <v>13.977678448187643</v>
      </c>
      <c r="H37" s="147">
        <f xml:space="preserve"> EXP( Coeffs!H$13 + Coeffs!H$7*Drivers!$E38 + Coeffs!H$9*Drivers!$G38 + Coeffs!H$10*Drivers!$H38 )</f>
        <v>30.362583497906254</v>
      </c>
      <c r="I37" s="147">
        <f xml:space="preserve"> EXP( Coeffs!I$13 + Coeffs!I$7*Drivers!$E38 + Coeffs!I$8*Drivers!$F38 + Coeffs!I$9*Drivers!$G38 + Coeffs!I$10*Drivers!$H38 )</f>
        <v>28.216393276528532</v>
      </c>
      <c r="J37" s="147">
        <f xml:space="preserve"> EXP( Coeffs!J$13 + Coeffs!J$7*Drivers!$E38 + Coeffs!J$8*Drivers!$F38 + Coeffs!J$9*Drivers!$G38 + Coeffs!J$11*Drivers!$I38 + Coeffs!$J$12*Drivers!$J38)</f>
        <v>31.815689042726056</v>
      </c>
      <c r="K37" s="180">
        <f>INDEX(Drivers!$C$2:$S$93, MATCH('Modelled costs'!$C37, Drivers!$C$2:$C$93, 0), MATCH('Modelled costs'!K$3, Drivers!$C$2:$S$2, 0))</f>
        <v>5409.6409999999996</v>
      </c>
      <c r="M37" s="146">
        <f t="shared" si="7"/>
        <v>90.29063172702682</v>
      </c>
      <c r="N37" s="146">
        <f t="shared" si="0"/>
        <v>85.206787651177024</v>
      </c>
      <c r="O37" s="146">
        <f t="shared" si="1"/>
        <v>72.843169900070222</v>
      </c>
      <c r="P37" s="146">
        <f t="shared" si="2"/>
        <v>75.614222418132243</v>
      </c>
      <c r="Q37" s="146">
        <f t="shared" si="3"/>
        <v>164.25067655619708</v>
      </c>
      <c r="R37" s="146">
        <f t="shared" si="4"/>
        <v>152.64055794083305</v>
      </c>
      <c r="S37" s="146">
        <f t="shared" si="5"/>
        <v>172.11145588878162</v>
      </c>
    </row>
    <row r="38" spans="1:19">
      <c r="A38" s="115" t="s">
        <v>140</v>
      </c>
      <c r="B38" s="115">
        <v>2014</v>
      </c>
      <c r="C38" s="115" t="str">
        <f t="shared" si="6"/>
        <v>WSH14</v>
      </c>
      <c r="D38" s="147">
        <f>EXP(Coeffs!$D$13+(Coeffs!$D$6*Drivers!$D39)+(Coeffs!$D$7*Drivers!$E39))</f>
        <v>16.677342643056022</v>
      </c>
      <c r="E38" s="147">
        <f>EXP(Coeffs!E$13+(Coeffs!E$6*Drivers!$D39)+(Coeffs!E$7*Drivers!$E39)+(Coeffs!E$8*Drivers!$F39))</f>
        <v>17.157878486835248</v>
      </c>
      <c r="F38" s="147">
        <f xml:space="preserve"> EXP(Coeffs!F$13 + Coeffs!F$9*Drivers!$G39 + Coeffs!F$10*Drivers!$H39)</f>
        <v>19.550611788646176</v>
      </c>
      <c r="G38" s="147">
        <f xml:space="preserve"> EXP( Coeffs!G$13 + Coeffs!G$9*Drivers!$G39 + Coeffs!G$11*Drivers!$I39 + Coeffs!G$12*Drivers!$J39)</f>
        <v>19.821086508448918</v>
      </c>
      <c r="H38" s="147">
        <f xml:space="preserve"> EXP( Coeffs!H$13 + Coeffs!H$7*Drivers!$E39 + Coeffs!H$9*Drivers!$G39 + Coeffs!H$10*Drivers!$H39 )</f>
        <v>35.053311226447306</v>
      </c>
      <c r="I38" s="147">
        <f xml:space="preserve"> EXP( Coeffs!I$13 + Coeffs!I$7*Drivers!$E39 + Coeffs!I$8*Drivers!$F39 + Coeffs!I$9*Drivers!$G39 + Coeffs!I$10*Drivers!$H39 )</f>
        <v>35.579023105893057</v>
      </c>
      <c r="J38" s="147">
        <f xml:space="preserve"> EXP( Coeffs!J$13 + Coeffs!J$7*Drivers!$E39 + Coeffs!J$8*Drivers!$F39 + Coeffs!J$9*Drivers!$G39 + Coeffs!J$11*Drivers!$I39 + Coeffs!$J$12*Drivers!$J39)</f>
        <v>37.704767198934157</v>
      </c>
      <c r="K38" s="180">
        <f>INDEX(Drivers!$C$2:$S$93, MATCH('Modelled costs'!$C38, Drivers!$C$2:$C$93, 0), MATCH('Modelled costs'!K$3, Drivers!$C$2:$S$2, 0))</f>
        <v>1353.7629999999999</v>
      </c>
      <c r="M38" s="146">
        <f t="shared" si="7"/>
        <v>22.577169408491446</v>
      </c>
      <c r="N38" s="146">
        <f t="shared" si="0"/>
        <v>23.227701053973544</v>
      </c>
      <c r="O38" s="146">
        <f t="shared" si="1"/>
        <v>26.466894866833012</v>
      </c>
      <c r="P38" s="146">
        <f t="shared" si="2"/>
        <v>26.833053534937331</v>
      </c>
      <c r="Q38" s="146">
        <f t="shared" si="3"/>
        <v>47.453875765848984</v>
      </c>
      <c r="R38" s="146">
        <f t="shared" si="4"/>
        <v>48.165565056903098</v>
      </c>
      <c r="S38" s="146">
        <f t="shared" si="5"/>
        <v>51.043318757530699</v>
      </c>
    </row>
    <row r="39" spans="1:19">
      <c r="A39" s="115" t="s">
        <v>140</v>
      </c>
      <c r="B39" s="115">
        <v>2015</v>
      </c>
      <c r="C39" s="115" t="str">
        <f t="shared" si="6"/>
        <v>WSH15</v>
      </c>
      <c r="D39" s="147">
        <f>EXP(Coeffs!$D$13+(Coeffs!$D$6*Drivers!$D40)+(Coeffs!$D$7*Drivers!$E40))</f>
        <v>16.862641787218703</v>
      </c>
      <c r="E39" s="147">
        <f>EXP(Coeffs!E$13+(Coeffs!E$6*Drivers!$D40)+(Coeffs!E$7*Drivers!$E40)+(Coeffs!E$8*Drivers!$F40))</f>
        <v>17.363019220842975</v>
      </c>
      <c r="F39" s="147">
        <f xml:space="preserve"> EXP(Coeffs!F$13 + Coeffs!F$9*Drivers!$G40 + Coeffs!F$10*Drivers!$H40)</f>
        <v>20.180190239042815</v>
      </c>
      <c r="G39" s="147">
        <f xml:space="preserve"> EXP( Coeffs!G$13 + Coeffs!G$9*Drivers!$G40 + Coeffs!G$11*Drivers!$I40 + Coeffs!G$12*Drivers!$J40)</f>
        <v>19.611702959108658</v>
      </c>
      <c r="H39" s="147">
        <f xml:space="preserve"> EXP( Coeffs!H$13 + Coeffs!H$7*Drivers!$E40 + Coeffs!H$9*Drivers!$G40 + Coeffs!H$10*Drivers!$H40 )</f>
        <v>35.626529159994654</v>
      </c>
      <c r="I39" s="147">
        <f xml:space="preserve"> EXP( Coeffs!I$13 + Coeffs!I$7*Drivers!$E40 + Coeffs!I$8*Drivers!$F40 + Coeffs!I$9*Drivers!$G40 + Coeffs!I$10*Drivers!$H40 )</f>
        <v>36.326392061956327</v>
      </c>
      <c r="J39" s="147">
        <f xml:space="preserve"> EXP( Coeffs!J$13 + Coeffs!J$7*Drivers!$E40 + Coeffs!J$8*Drivers!$F40 + Coeffs!J$9*Drivers!$G40 + Coeffs!J$11*Drivers!$I40 + Coeffs!$J$12*Drivers!$J40)</f>
        <v>37.262043218619546</v>
      </c>
      <c r="K39" s="180">
        <f>INDEX(Drivers!$C$2:$S$93, MATCH('Modelled costs'!$C39, Drivers!$C$2:$C$93, 0), MATCH('Modelled costs'!K$3, Drivers!$C$2:$S$2, 0))</f>
        <v>1348.4736118599201</v>
      </c>
      <c r="M39" s="146">
        <f t="shared" si="7"/>
        <v>22.738827476310821</v>
      </c>
      <c r="N39" s="146">
        <f t="shared" si="0"/>
        <v>23.413573241523345</v>
      </c>
      <c r="O39" s="146">
        <f t="shared" si="1"/>
        <v>27.212454019662374</v>
      </c>
      <c r="P39" s="146">
        <f t="shared" si="2"/>
        <v>26.445863923993137</v>
      </c>
      <c r="Q39" s="146">
        <f t="shared" si="3"/>
        <v>48.041434454410755</v>
      </c>
      <c r="R39" s="146">
        <f t="shared" si="4"/>
        <v>48.985181109625778</v>
      </c>
      <c r="S39" s="146">
        <f t="shared" si="5"/>
        <v>50.246882004292338</v>
      </c>
    </row>
    <row r="40" spans="1:19">
      <c r="A40" s="115" t="s">
        <v>140</v>
      </c>
      <c r="B40" s="115">
        <v>2016</v>
      </c>
      <c r="C40" s="115" t="str">
        <f t="shared" si="6"/>
        <v>WSH16</v>
      </c>
      <c r="D40" s="147">
        <f>EXP(Coeffs!$D$13+(Coeffs!$D$6*Drivers!$D41)+(Coeffs!$D$7*Drivers!$E41))</f>
        <v>16.90479187784268</v>
      </c>
      <c r="E40" s="147">
        <f>EXP(Coeffs!E$13+(Coeffs!E$6*Drivers!$D41)+(Coeffs!E$7*Drivers!$E41)+(Coeffs!E$8*Drivers!$F41))</f>
        <v>17.373841384445971</v>
      </c>
      <c r="F40" s="147">
        <f xml:space="preserve"> EXP(Coeffs!F$13 + Coeffs!F$9*Drivers!$G41 + Coeffs!F$10*Drivers!$H41)</f>
        <v>19.093864738578599</v>
      </c>
      <c r="G40" s="147">
        <f xml:space="preserve"> EXP( Coeffs!G$13 + Coeffs!G$9*Drivers!$G41 + Coeffs!G$11*Drivers!$I41 + Coeffs!G$12*Drivers!$J41)</f>
        <v>18.494685143176408</v>
      </c>
      <c r="H40" s="147">
        <f xml:space="preserve"> EXP( Coeffs!H$13 + Coeffs!H$7*Drivers!$E41 + Coeffs!H$9*Drivers!$G41 + Coeffs!H$10*Drivers!$H41 )</f>
        <v>34.922527984555096</v>
      </c>
      <c r="I40" s="147">
        <f xml:space="preserve"> EXP( Coeffs!I$13 + Coeffs!I$7*Drivers!$E41 + Coeffs!I$8*Drivers!$F41 + Coeffs!I$9*Drivers!$G41 + Coeffs!I$10*Drivers!$H41 )</f>
        <v>35.486351099047688</v>
      </c>
      <c r="J40" s="147">
        <f xml:space="preserve"> EXP( Coeffs!J$13 + Coeffs!J$7*Drivers!$E41 + Coeffs!J$8*Drivers!$F41 + Coeffs!J$9*Drivers!$G41 + Coeffs!J$11*Drivers!$I41 + Coeffs!$J$12*Drivers!$J41)</f>
        <v>36.002776800337351</v>
      </c>
      <c r="K40" s="180">
        <f>INDEX(Drivers!$C$2:$S$93, MATCH('Modelled costs'!$C40, Drivers!$C$2:$C$93, 0), MATCH('Modelled costs'!K$3, Drivers!$C$2:$S$2, 0))</f>
        <v>1364.067</v>
      </c>
      <c r="M40" s="146">
        <f t="shared" si="7"/>
        <v>23.059268742433233</v>
      </c>
      <c r="N40" s="146">
        <f t="shared" si="0"/>
        <v>23.699083695757061</v>
      </c>
      <c r="O40" s="146">
        <f t="shared" si="1"/>
        <v>26.045310792358691</v>
      </c>
      <c r="P40" s="146">
        <f t="shared" si="2"/>
        <v>25.227989679197215</v>
      </c>
      <c r="Q40" s="146">
        <f t="shared" si="3"/>
        <v>47.636667980308118</v>
      </c>
      <c r="R40" s="146">
        <f t="shared" si="4"/>
        <v>48.405760484624686</v>
      </c>
      <c r="S40" s="146">
        <f t="shared" si="5"/>
        <v>49.110199741705777</v>
      </c>
    </row>
    <row r="41" spans="1:19">
      <c r="A41" s="115" t="s">
        <v>140</v>
      </c>
      <c r="B41" s="115">
        <v>2017</v>
      </c>
      <c r="C41" s="115" t="str">
        <f t="shared" si="6"/>
        <v>WSH17</v>
      </c>
      <c r="D41" s="147">
        <f>EXP(Coeffs!$D$13+(Coeffs!$D$6*Drivers!$D42)+(Coeffs!$D$7*Drivers!$E42))</f>
        <v>17.086214619211184</v>
      </c>
      <c r="E41" s="147">
        <f>EXP(Coeffs!E$13+(Coeffs!E$6*Drivers!$D42)+(Coeffs!E$7*Drivers!$E42)+(Coeffs!E$8*Drivers!$F42))</f>
        <v>17.54669292896078</v>
      </c>
      <c r="F41" s="147">
        <f xml:space="preserve"> EXP(Coeffs!F$13 + Coeffs!F$9*Drivers!$G42 + Coeffs!F$10*Drivers!$H42)</f>
        <v>17.864496248922467</v>
      </c>
      <c r="G41" s="147">
        <f xml:space="preserve"> EXP( Coeffs!G$13 + Coeffs!G$9*Drivers!$G42 + Coeffs!G$11*Drivers!$I42 + Coeffs!G$12*Drivers!$J42)</f>
        <v>17.268747256825844</v>
      </c>
      <c r="H41" s="147">
        <f xml:space="preserve"> EXP( Coeffs!H$13 + Coeffs!H$7*Drivers!$E42 + Coeffs!H$9*Drivers!$G42 + Coeffs!H$10*Drivers!$H42 )</f>
        <v>34.232000274490581</v>
      </c>
      <c r="I41" s="147">
        <f xml:space="preserve"> EXP( Coeffs!I$13 + Coeffs!I$7*Drivers!$E42 + Coeffs!I$8*Drivers!$F42 + Coeffs!I$9*Drivers!$G42 + Coeffs!I$10*Drivers!$H42 )</f>
        <v>34.592200236077744</v>
      </c>
      <c r="J41" s="147">
        <f xml:space="preserve"> EXP( Coeffs!J$13 + Coeffs!J$7*Drivers!$E42 + Coeffs!J$8*Drivers!$F42 + Coeffs!J$9*Drivers!$G42 + Coeffs!J$11*Drivers!$I42 + Coeffs!$J$12*Drivers!$J42)</f>
        <v>34.402302940786029</v>
      </c>
      <c r="K41" s="180">
        <f>INDEX(Drivers!$C$2:$S$93, MATCH('Modelled costs'!$C41, Drivers!$C$2:$C$93, 0), MATCH('Modelled costs'!K$3, Drivers!$C$2:$S$2, 0))</f>
        <v>1380.325</v>
      </c>
      <c r="M41" s="146">
        <f t="shared" si="7"/>
        <v>23.584529194262679</v>
      </c>
      <c r="N41" s="146">
        <f t="shared" si="0"/>
        <v>24.220138917167791</v>
      </c>
      <c r="O41" s="146">
        <f t="shared" si="1"/>
        <v>24.658810784793907</v>
      </c>
      <c r="P41" s="146">
        <f t="shared" si="2"/>
        <v>23.836483557278132</v>
      </c>
      <c r="Q41" s="146">
        <f t="shared" si="3"/>
        <v>47.251285778886206</v>
      </c>
      <c r="R41" s="146">
        <f t="shared" si="4"/>
        <v>47.748478790864013</v>
      </c>
      <c r="S41" s="146">
        <f t="shared" si="5"/>
        <v>47.486358806740476</v>
      </c>
    </row>
    <row r="42" spans="1:19">
      <c r="A42" s="115" t="s">
        <v>140</v>
      </c>
      <c r="B42" s="115">
        <v>2018</v>
      </c>
      <c r="C42" s="115" t="str">
        <f t="shared" si="6"/>
        <v>WSH18</v>
      </c>
      <c r="D42" s="147">
        <f>EXP(Coeffs!$D$13+(Coeffs!$D$6*Drivers!$D43)+(Coeffs!$D$7*Drivers!$E43))</f>
        <v>17.229176964723326</v>
      </c>
      <c r="E42" s="147">
        <f>EXP(Coeffs!E$13+(Coeffs!E$6*Drivers!$D43)+(Coeffs!E$7*Drivers!$E43)+(Coeffs!E$8*Drivers!$F43))</f>
        <v>17.680481583553664</v>
      </c>
      <c r="F42" s="147">
        <f xml:space="preserve"> EXP(Coeffs!F$13 + Coeffs!F$9*Drivers!$G43 + Coeffs!F$10*Drivers!$H43)</f>
        <v>17.428020337828407</v>
      </c>
      <c r="G42" s="147">
        <f xml:space="preserve"> EXP( Coeffs!G$13 + Coeffs!G$9*Drivers!$G43 + Coeffs!G$11*Drivers!$I43 + Coeffs!G$12*Drivers!$J43)</f>
        <v>16.851484238390398</v>
      </c>
      <c r="H42" s="147">
        <f xml:space="preserve"> EXP( Coeffs!H$13 + Coeffs!H$7*Drivers!$E43 + Coeffs!H$9*Drivers!$G43 + Coeffs!H$10*Drivers!$H43 )</f>
        <v>34.017622551866253</v>
      </c>
      <c r="I42" s="147">
        <f xml:space="preserve"> EXP( Coeffs!I$13 + Coeffs!I$7*Drivers!$E43 + Coeffs!I$8*Drivers!$F43 + Coeffs!I$9*Drivers!$G43 + Coeffs!I$10*Drivers!$H43 )</f>
        <v>34.36138068485198</v>
      </c>
      <c r="J42" s="147">
        <f xml:space="preserve"> EXP( Coeffs!J$13 + Coeffs!J$7*Drivers!$E43 + Coeffs!J$8*Drivers!$F43 + Coeffs!J$9*Drivers!$G43 + Coeffs!J$11*Drivers!$I43 + Coeffs!$J$12*Drivers!$J43)</f>
        <v>34.068310660975712</v>
      </c>
      <c r="K42" s="180">
        <f>INDEX(Drivers!$C$2:$S$93, MATCH('Modelled costs'!$C42, Drivers!$C$2:$C$93, 0), MATCH('Modelled costs'!K$3, Drivers!$C$2:$S$2, 0))</f>
        <v>1392.403</v>
      </c>
      <c r="M42" s="146">
        <f t="shared" si="7"/>
        <v>23.989957693211657</v>
      </c>
      <c r="N42" s="146">
        <f t="shared" si="0"/>
        <v>24.618355598384877</v>
      </c>
      <c r="O42" s="146">
        <f t="shared" si="1"/>
        <v>24.266827802453285</v>
      </c>
      <c r="P42" s="146">
        <f t="shared" si="2"/>
        <v>23.464057207987505</v>
      </c>
      <c r="Q42" s="146">
        <f t="shared" si="3"/>
        <v>47.366239694086232</v>
      </c>
      <c r="R42" s="146">
        <f t="shared" si="4"/>
        <v>47.844889549729949</v>
      </c>
      <c r="S42" s="146">
        <f t="shared" si="5"/>
        <v>47.436817969274557</v>
      </c>
    </row>
    <row r="43" spans="1:19">
      <c r="A43" s="115" t="s">
        <v>108</v>
      </c>
      <c r="B43" s="115">
        <v>2014</v>
      </c>
      <c r="C43" s="115" t="str">
        <f t="shared" si="6"/>
        <v>WSX14</v>
      </c>
      <c r="D43" s="147">
        <f>EXP(Coeffs!$D$13+(Coeffs!$D$6*Drivers!$D44)+(Coeffs!$D$7*Drivers!$E44))</f>
        <v>16.674450297276969</v>
      </c>
      <c r="E43" s="147">
        <f>EXP(Coeffs!E$13+(Coeffs!E$6*Drivers!$D44)+(Coeffs!E$7*Drivers!$E44)+(Coeffs!E$8*Drivers!$F44))</f>
        <v>16.614712160750166</v>
      </c>
      <c r="F43" s="147">
        <f xml:space="preserve"> EXP(Coeffs!F$13 + Coeffs!F$9*Drivers!$G44 + Coeffs!F$10*Drivers!$H44)</f>
        <v>11.585841633549192</v>
      </c>
      <c r="G43" s="147">
        <f xml:space="preserve"> EXP( Coeffs!G$13 + Coeffs!G$9*Drivers!$G44 + Coeffs!G$11*Drivers!$I44 + Coeffs!G$12*Drivers!$J44)</f>
        <v>11.759993165499683</v>
      </c>
      <c r="H43" s="147">
        <f xml:space="preserve"> EXP( Coeffs!H$13 + Coeffs!H$7*Drivers!$E44 + Coeffs!H$9*Drivers!$G44 + Coeffs!H$10*Drivers!$H44 )</f>
        <v>29.977642438858886</v>
      </c>
      <c r="I43" s="147">
        <f xml:space="preserve"> EXP( Coeffs!I$13 + Coeffs!I$7*Drivers!$E44 + Coeffs!I$8*Drivers!$F44 + Coeffs!I$9*Drivers!$G44 + Coeffs!I$10*Drivers!$H44 )</f>
        <v>29.289192922594172</v>
      </c>
      <c r="J43" s="147">
        <f xml:space="preserve"> EXP( Coeffs!J$13 + Coeffs!J$7*Drivers!$E44 + Coeffs!J$8*Drivers!$F44 + Coeffs!J$9*Drivers!$G44 + Coeffs!J$11*Drivers!$I44 + Coeffs!$J$12*Drivers!$J44)</f>
        <v>27.7690564813349</v>
      </c>
      <c r="K43" s="180">
        <f>INDEX(Drivers!$C$2:$S$93, MATCH('Modelled costs'!$C43, Drivers!$C$2:$C$93, 0), MATCH('Modelled costs'!K$3, Drivers!$C$2:$S$2, 0))</f>
        <v>1131.24</v>
      </c>
      <c r="M43" s="146">
        <f t="shared" si="7"/>
        <v>18.8628051542916</v>
      </c>
      <c r="N43" s="146">
        <f t="shared" si="0"/>
        <v>18.795226984727016</v>
      </c>
      <c r="O43" s="146">
        <f t="shared" si="1"/>
        <v>13.106367489536186</v>
      </c>
      <c r="P43" s="146">
        <f t="shared" si="2"/>
        <v>13.303374668539862</v>
      </c>
      <c r="Q43" s="146">
        <f t="shared" si="3"/>
        <v>33.911908232534728</v>
      </c>
      <c r="R43" s="146">
        <f t="shared" si="4"/>
        <v>33.133106601755436</v>
      </c>
      <c r="S43" s="146">
        <f t="shared" si="5"/>
        <v>31.413467453945294</v>
      </c>
    </row>
    <row r="44" spans="1:19">
      <c r="A44" s="115" t="s">
        <v>108</v>
      </c>
      <c r="B44" s="115">
        <v>2015</v>
      </c>
      <c r="C44" s="115" t="str">
        <f t="shared" si="6"/>
        <v>WSX15</v>
      </c>
      <c r="D44" s="147">
        <f>EXP(Coeffs!$D$13+(Coeffs!$D$6*Drivers!$D45)+(Coeffs!$D$7*Drivers!$E45))</f>
        <v>16.86905360784807</v>
      </c>
      <c r="E44" s="147">
        <f>EXP(Coeffs!E$13+(Coeffs!E$6*Drivers!$D45)+(Coeffs!E$7*Drivers!$E45)+(Coeffs!E$8*Drivers!$F45))</f>
        <v>16.797582298161814</v>
      </c>
      <c r="F44" s="147">
        <f xml:space="preserve"> EXP(Coeffs!F$13 + Coeffs!F$9*Drivers!$G45 + Coeffs!F$10*Drivers!$H45)</f>
        <v>11.96871866451453</v>
      </c>
      <c r="G44" s="147">
        <f xml:space="preserve"> EXP( Coeffs!G$13 + Coeffs!G$9*Drivers!$G45 + Coeffs!G$11*Drivers!$I45 + Coeffs!G$12*Drivers!$J45)</f>
        <v>12.228702983615378</v>
      </c>
      <c r="H44" s="147">
        <f xml:space="preserve"> EXP( Coeffs!H$13 + Coeffs!H$7*Drivers!$E45 + Coeffs!H$9*Drivers!$G45 + Coeffs!H$10*Drivers!$H45 )</f>
        <v>30.553432193680589</v>
      </c>
      <c r="I44" s="147">
        <f xml:space="preserve"> EXP( Coeffs!I$13 + Coeffs!I$7*Drivers!$E45 + Coeffs!I$8*Drivers!$F45 + Coeffs!I$9*Drivers!$G45 + Coeffs!I$10*Drivers!$H45 )</f>
        <v>29.918768936377887</v>
      </c>
      <c r="J44" s="147">
        <f xml:space="preserve"> EXP( Coeffs!J$13 + Coeffs!J$7*Drivers!$E45 + Coeffs!J$8*Drivers!$F45 + Coeffs!J$9*Drivers!$G45 + Coeffs!J$11*Drivers!$I45 + Coeffs!$J$12*Drivers!$J45)</f>
        <v>28.488412916331402</v>
      </c>
      <c r="K44" s="180">
        <f>INDEX(Drivers!$C$2:$S$93, MATCH('Modelled costs'!$C44, Drivers!$C$2:$C$93, 0), MATCH('Modelled costs'!K$3, Drivers!$C$2:$S$2, 0))</f>
        <v>1140.3489999999999</v>
      </c>
      <c r="M44" s="146">
        <f t="shared" si="7"/>
        <v>19.236608412655936</v>
      </c>
      <c r="N44" s="146">
        <f t="shared" si="0"/>
        <v>19.155106176126523</v>
      </c>
      <c r="O44" s="146">
        <f t="shared" si="1"/>
        <v>13.648516360360476</v>
      </c>
      <c r="P44" s="146">
        <f t="shared" si="2"/>
        <v>13.944989218662812</v>
      </c>
      <c r="Q44" s="146">
        <f t="shared" si="3"/>
        <v>34.841575848631464</v>
      </c>
      <c r="R44" s="146">
        <f t="shared" si="4"/>
        <v>34.117838237829588</v>
      </c>
      <c r="S44" s="146">
        <f t="shared" si="5"/>
        <v>32.486733180725594</v>
      </c>
    </row>
    <row r="45" spans="1:19">
      <c r="A45" s="115" t="s">
        <v>108</v>
      </c>
      <c r="B45" s="115">
        <v>2016</v>
      </c>
      <c r="C45" s="115" t="str">
        <f t="shared" si="6"/>
        <v>WSX16</v>
      </c>
      <c r="D45" s="147">
        <f>EXP(Coeffs!$D$13+(Coeffs!$D$6*Drivers!$D46)+(Coeffs!$D$7*Drivers!$E46))</f>
        <v>17.092905248860891</v>
      </c>
      <c r="E45" s="147">
        <f>EXP(Coeffs!E$13+(Coeffs!E$6*Drivers!$D46)+(Coeffs!E$7*Drivers!$E46)+(Coeffs!E$8*Drivers!$F46))</f>
        <v>16.982127247307989</v>
      </c>
      <c r="F45" s="147">
        <f xml:space="preserve"> EXP(Coeffs!F$13 + Coeffs!F$9*Drivers!$G46 + Coeffs!F$10*Drivers!$H46)</f>
        <v>10.47181691615453</v>
      </c>
      <c r="G45" s="147">
        <f xml:space="preserve"> EXP( Coeffs!G$13 + Coeffs!G$9*Drivers!$G46 + Coeffs!G$11*Drivers!$I46 + Coeffs!G$12*Drivers!$J46)</f>
        <v>10.890477002667261</v>
      </c>
      <c r="H45" s="147">
        <f xml:space="preserve"> EXP( Coeffs!H$13 + Coeffs!H$7*Drivers!$E46 + Coeffs!H$9*Drivers!$G46 + Coeffs!H$10*Drivers!$H46 )</f>
        <v>29.151542453119543</v>
      </c>
      <c r="I45" s="147">
        <f xml:space="preserve"> EXP( Coeffs!I$13 + Coeffs!I$7*Drivers!$E46 + Coeffs!I$8*Drivers!$F46 + Coeffs!I$9*Drivers!$G46 + Coeffs!I$10*Drivers!$H46 )</f>
        <v>28.324979226876799</v>
      </c>
      <c r="J45" s="147">
        <f xml:space="preserve"> EXP( Coeffs!J$13 + Coeffs!J$7*Drivers!$E46 + Coeffs!J$8*Drivers!$F46 + Coeffs!J$9*Drivers!$G46 + Coeffs!J$11*Drivers!$I46 + Coeffs!$J$12*Drivers!$J46)</f>
        <v>26.89065663444353</v>
      </c>
      <c r="K45" s="180">
        <f>INDEX(Drivers!$C$2:$S$93, MATCH('Modelled costs'!$C45, Drivers!$C$2:$C$93, 0), MATCH('Modelled costs'!K$3, Drivers!$C$2:$S$2, 0))</f>
        <v>1173.317</v>
      </c>
      <c r="M45" s="146">
        <f t="shared" si="7"/>
        <v>20.055396307877711</v>
      </c>
      <c r="N45" s="146">
        <f t="shared" si="0"/>
        <v>19.925418595429669</v>
      </c>
      <c r="O45" s="146">
        <f t="shared" si="1"/>
        <v>12.286760808611685</v>
      </c>
      <c r="P45" s="146">
        <f t="shared" si="2"/>
        <v>12.777981805338543</v>
      </c>
      <c r="Q45" s="146">
        <f t="shared" si="3"/>
        <v>34.204000336466862</v>
      </c>
      <c r="R45" s="146">
        <f t="shared" si="4"/>
        <v>33.234179651541403</v>
      </c>
      <c r="S45" s="146">
        <f t="shared" si="5"/>
        <v>31.551264570355379</v>
      </c>
    </row>
    <row r="46" spans="1:19">
      <c r="A46" s="115" t="s">
        <v>108</v>
      </c>
      <c r="B46" s="115">
        <v>2017</v>
      </c>
      <c r="C46" s="115" t="str">
        <f t="shared" si="6"/>
        <v>WSX17</v>
      </c>
      <c r="D46" s="147">
        <f>EXP(Coeffs!$D$13+(Coeffs!$D$6*Drivers!$D47)+(Coeffs!$D$7*Drivers!$E47))</f>
        <v>17.253779563890628</v>
      </c>
      <c r="E46" s="147">
        <f>EXP(Coeffs!E$13+(Coeffs!E$6*Drivers!$D47)+(Coeffs!E$7*Drivers!$E47)+(Coeffs!E$8*Drivers!$F47))</f>
        <v>17.13276354132714</v>
      </c>
      <c r="F46" s="147">
        <f xml:space="preserve"> EXP(Coeffs!F$13 + Coeffs!F$9*Drivers!$G47 + Coeffs!F$10*Drivers!$H47)</f>
        <v>9.8621679043518462</v>
      </c>
      <c r="G46" s="147">
        <f xml:space="preserve"> EXP( Coeffs!G$13 + Coeffs!G$9*Drivers!$G47 + Coeffs!G$11*Drivers!$I47 + Coeffs!G$12*Drivers!$J47)</f>
        <v>10.79725287711338</v>
      </c>
      <c r="H46" s="147">
        <f xml:space="preserve"> EXP( Coeffs!H$13 + Coeffs!H$7*Drivers!$E47 + Coeffs!H$9*Drivers!$G47 + Coeffs!H$10*Drivers!$H47 )</f>
        <v>28.680676142193246</v>
      </c>
      <c r="I46" s="147">
        <f xml:space="preserve"> EXP( Coeffs!I$13 + Coeffs!I$7*Drivers!$E47 + Coeffs!I$8*Drivers!$F47 + Coeffs!I$9*Drivers!$G47 + Coeffs!I$10*Drivers!$H47 )</f>
        <v>27.667739015973716</v>
      </c>
      <c r="J46" s="147">
        <f xml:space="preserve"> EXP( Coeffs!J$13 + Coeffs!J$7*Drivers!$E47 + Coeffs!J$8*Drivers!$F47 + Coeffs!J$9*Drivers!$G47 + Coeffs!J$11*Drivers!$I47 + Coeffs!$J$12*Drivers!$J47)</f>
        <v>26.868505248519824</v>
      </c>
      <c r="K46" s="180">
        <f>INDEX(Drivers!$C$2:$S$93, MATCH('Modelled costs'!$C46, Drivers!$C$2:$C$93, 0), MATCH('Modelled costs'!K$3, Drivers!$C$2:$S$2, 0))</f>
        <v>1181.95</v>
      </c>
      <c r="M46" s="146">
        <f t="shared" si="7"/>
        <v>20.393104755540527</v>
      </c>
      <c r="N46" s="146">
        <f t="shared" si="0"/>
        <v>20.250069867671613</v>
      </c>
      <c r="O46" s="146">
        <f t="shared" si="1"/>
        <v>11.656589354548665</v>
      </c>
      <c r="P46" s="146">
        <f t="shared" si="2"/>
        <v>12.76181303810416</v>
      </c>
      <c r="Q46" s="146">
        <f t="shared" si="3"/>
        <v>33.899125166265307</v>
      </c>
      <c r="R46" s="146">
        <f t="shared" si="4"/>
        <v>32.701884129930136</v>
      </c>
      <c r="S46" s="146">
        <f t="shared" si="5"/>
        <v>31.757229778488007</v>
      </c>
    </row>
    <row r="47" spans="1:19">
      <c r="A47" s="115" t="s">
        <v>108</v>
      </c>
      <c r="B47" s="115">
        <v>2018</v>
      </c>
      <c r="C47" s="115" t="str">
        <f t="shared" si="6"/>
        <v>WSX18</v>
      </c>
      <c r="D47" s="147">
        <f>EXP(Coeffs!$D$13+(Coeffs!$D$6*Drivers!$D48)+(Coeffs!$D$7*Drivers!$E48))</f>
        <v>17.457497830317493</v>
      </c>
      <c r="E47" s="147">
        <f>EXP(Coeffs!E$13+(Coeffs!E$6*Drivers!$D48)+(Coeffs!E$7*Drivers!$E48)+(Coeffs!E$8*Drivers!$F48))</f>
        <v>17.322848115082522</v>
      </c>
      <c r="F47" s="147">
        <f xml:space="preserve"> EXP(Coeffs!F$13 + Coeffs!F$9*Drivers!$G48 + Coeffs!F$10*Drivers!$H48)</f>
        <v>9.8489750554761084</v>
      </c>
      <c r="G47" s="147">
        <f xml:space="preserve"> EXP( Coeffs!G$13 + Coeffs!G$9*Drivers!$G48 + Coeffs!G$11*Drivers!$I48 + Coeffs!G$12*Drivers!$J48)</f>
        <v>10.782970434187813</v>
      </c>
      <c r="H47" s="147">
        <f xml:space="preserve"> EXP( Coeffs!H$13 + Coeffs!H$7*Drivers!$E48 + Coeffs!H$9*Drivers!$G48 + Coeffs!H$10*Drivers!$H48 )</f>
        <v>28.817176989968047</v>
      </c>
      <c r="I47" s="147">
        <f xml:space="preserve"> EXP( Coeffs!I$13 + Coeffs!I$7*Drivers!$E48 + Coeffs!I$8*Drivers!$F48 + Coeffs!I$9*Drivers!$G48 + Coeffs!I$10*Drivers!$H48 )</f>
        <v>27.835601021744569</v>
      </c>
      <c r="J47" s="147">
        <f xml:space="preserve"> EXP( Coeffs!J$13 + Coeffs!J$7*Drivers!$E48 + Coeffs!J$8*Drivers!$F48 + Coeffs!J$9*Drivers!$G48 + Coeffs!J$11*Drivers!$I48 + Coeffs!$J$12*Drivers!$J48)</f>
        <v>26.981926725217068</v>
      </c>
      <c r="K47" s="180">
        <f>INDEX(Drivers!$C$2:$S$93, MATCH('Modelled costs'!$C47, Drivers!$C$2:$C$93, 0), MATCH('Modelled costs'!K$3, Drivers!$C$2:$S$2, 0))</f>
        <v>1191.4110000000001</v>
      </c>
      <c r="M47" s="146">
        <f t="shared" si="7"/>
        <v>20.799054947516396</v>
      </c>
      <c r="N47" s="146">
        <f t="shared" si="0"/>
        <v>20.638631795638585</v>
      </c>
      <c r="O47" s="146">
        <f t="shared" si="1"/>
        <v>11.734177219819847</v>
      </c>
      <c r="P47" s="146">
        <f t="shared" si="2"/>
        <v>12.846949587966137</v>
      </c>
      <c r="Q47" s="146">
        <f t="shared" si="3"/>
        <v>34.333101654794824</v>
      </c>
      <c r="R47" s="146">
        <f t="shared" si="4"/>
        <v>33.163641248917727</v>
      </c>
      <c r="S47" s="146">
        <f t="shared" si="5"/>
        <v>32.146564301617595</v>
      </c>
    </row>
    <row r="48" spans="1:19">
      <c r="A48" s="115" t="s">
        <v>109</v>
      </c>
      <c r="B48" s="115">
        <v>2014</v>
      </c>
      <c r="C48" s="115" t="str">
        <f t="shared" si="6"/>
        <v>YKY14</v>
      </c>
      <c r="D48" s="147">
        <f>EXP(Coeffs!$D$13+(Coeffs!$D$6*Drivers!$D49)+(Coeffs!$D$7*Drivers!$E49))</f>
        <v>17.474143642146124</v>
      </c>
      <c r="E48" s="147">
        <f>EXP(Coeffs!E$13+(Coeffs!E$6*Drivers!$D49)+(Coeffs!E$7*Drivers!$E49)+(Coeffs!E$8*Drivers!$F49))</f>
        <v>17.665523680286089</v>
      </c>
      <c r="F48" s="147">
        <f xml:space="preserve"> EXP(Coeffs!F$13 + Coeffs!F$9*Drivers!$G49 + Coeffs!F$10*Drivers!$H49)</f>
        <v>17.124946733552793</v>
      </c>
      <c r="G48" s="147">
        <f xml:space="preserve"> EXP( Coeffs!G$13 + Coeffs!G$9*Drivers!$G49 + Coeffs!G$11*Drivers!$I49 + Coeffs!G$12*Drivers!$J49)</f>
        <v>16.573975122484214</v>
      </c>
      <c r="H48" s="147">
        <f xml:space="preserve"> EXP( Coeffs!H$13 + Coeffs!H$7*Drivers!$E49 + Coeffs!H$9*Drivers!$G49 + Coeffs!H$10*Drivers!$H49 )</f>
        <v>33.718998881978337</v>
      </c>
      <c r="I48" s="147">
        <f xml:space="preserve"> EXP( Coeffs!I$13 + Coeffs!I$7*Drivers!$E49 + Coeffs!I$8*Drivers!$F49 + Coeffs!I$9*Drivers!$G49 + Coeffs!I$10*Drivers!$H49 )</f>
        <v>33.380904885726324</v>
      </c>
      <c r="J48" s="147">
        <f xml:space="preserve"> EXP( Coeffs!J$13 + Coeffs!J$7*Drivers!$E49 + Coeffs!J$8*Drivers!$F49 + Coeffs!J$9*Drivers!$G49 + Coeffs!J$11*Drivers!$I49 + Coeffs!$J$12*Drivers!$J49)</f>
        <v>33.221253162112127</v>
      </c>
      <c r="K48" s="180">
        <f>INDEX(Drivers!$C$2:$S$93, MATCH('Modelled costs'!$C48, Drivers!$C$2:$C$93, 0), MATCH('Modelled costs'!K$3, Drivers!$C$2:$S$2, 0))</f>
        <v>2107.5749999999998</v>
      </c>
      <c r="M48" s="146">
        <f t="shared" si="7"/>
        <v>36.828068286596114</v>
      </c>
      <c r="N48" s="146">
        <f t="shared" si="0"/>
        <v>37.23141607047895</v>
      </c>
      <c r="O48" s="146">
        <f t="shared" si="1"/>
        <v>36.09210961196753</v>
      </c>
      <c r="P48" s="146">
        <f t="shared" si="2"/>
        <v>34.930895618769661</v>
      </c>
      <c r="Q48" s="146">
        <f t="shared" si="3"/>
        <v>71.065319068685483</v>
      </c>
      <c r="R48" s="146">
        <f t="shared" si="4"/>
        <v>70.352760614534645</v>
      </c>
      <c r="S48" s="146">
        <f t="shared" si="5"/>
        <v>70.016282633138459</v>
      </c>
    </row>
    <row r="49" spans="1:19">
      <c r="A49" s="115" t="s">
        <v>109</v>
      </c>
      <c r="B49" s="115">
        <v>2015</v>
      </c>
      <c r="C49" s="115" t="str">
        <f t="shared" si="6"/>
        <v>YKY15</v>
      </c>
      <c r="D49" s="147">
        <f>EXP(Coeffs!$D$13+(Coeffs!$D$6*Drivers!$D50)+(Coeffs!$D$7*Drivers!$E50))</f>
        <v>17.653052541284644</v>
      </c>
      <c r="E49" s="147">
        <f>EXP(Coeffs!E$13+(Coeffs!E$6*Drivers!$D50)+(Coeffs!E$7*Drivers!$E50)+(Coeffs!E$8*Drivers!$F50))</f>
        <v>17.835445188700035</v>
      </c>
      <c r="F49" s="147">
        <f xml:space="preserve"> EXP(Coeffs!F$13 + Coeffs!F$9*Drivers!$G50 + Coeffs!F$10*Drivers!$H50)</f>
        <v>18.034117777531581</v>
      </c>
      <c r="G49" s="147">
        <f xml:space="preserve"> EXP( Coeffs!G$13 + Coeffs!G$9*Drivers!$G50 + Coeffs!G$11*Drivers!$I50 + Coeffs!G$12*Drivers!$J50)</f>
        <v>17.23338227591476</v>
      </c>
      <c r="H49" s="147">
        <f xml:space="preserve"> EXP( Coeffs!H$13 + Coeffs!H$7*Drivers!$E50 + Coeffs!H$9*Drivers!$G50 + Coeffs!H$10*Drivers!$H50 )</f>
        <v>34.564912756175119</v>
      </c>
      <c r="I49" s="147">
        <f xml:space="preserve"> EXP( Coeffs!I$13 + Coeffs!I$7*Drivers!$E50 + Coeffs!I$8*Drivers!$F50 + Coeffs!I$9*Drivers!$G50 + Coeffs!I$10*Drivers!$H50 )</f>
        <v>34.391867226511096</v>
      </c>
      <c r="J49" s="147">
        <f xml:space="preserve"> EXP( Coeffs!J$13 + Coeffs!J$7*Drivers!$E50 + Coeffs!J$8*Drivers!$F50 + Coeffs!J$9*Drivers!$G50 + Coeffs!J$11*Drivers!$I50 + Coeffs!$J$12*Drivers!$J50)</f>
        <v>34.065225794723503</v>
      </c>
      <c r="K49" s="180">
        <f>INDEX(Drivers!$C$2:$S$93, MATCH('Modelled costs'!$C49, Drivers!$C$2:$C$93, 0), MATCH('Modelled costs'!K$3, Drivers!$C$2:$S$2, 0))</f>
        <v>2120.9061273972602</v>
      </c>
      <c r="M49" s="146">
        <f t="shared" si="7"/>
        <v>37.440467302076378</v>
      </c>
      <c r="N49" s="146">
        <f t="shared" si="0"/>
        <v>37.827304985571885</v>
      </c>
      <c r="O49" s="146">
        <f t="shared" si="1"/>
        <v>38.248670896570594</v>
      </c>
      <c r="P49" s="146">
        <f t="shared" si="2"/>
        <v>36.550386064766961</v>
      </c>
      <c r="Q49" s="146">
        <f t="shared" si="3"/>
        <v>73.308935257523515</v>
      </c>
      <c r="R49" s="146">
        <f t="shared" si="4"/>
        <v>72.941921933340396</v>
      </c>
      <c r="S49" s="146">
        <f t="shared" si="5"/>
        <v>72.249146119200276</v>
      </c>
    </row>
    <row r="50" spans="1:19">
      <c r="A50" s="115" t="s">
        <v>109</v>
      </c>
      <c r="B50" s="115">
        <v>2016</v>
      </c>
      <c r="C50" s="115" t="str">
        <f t="shared" si="6"/>
        <v>YKY16</v>
      </c>
      <c r="D50" s="147">
        <f>EXP(Coeffs!$D$13+(Coeffs!$D$6*Drivers!$D51)+(Coeffs!$D$7*Drivers!$E51))</f>
        <v>17.826067263717658</v>
      </c>
      <c r="E50" s="147">
        <f>EXP(Coeffs!E$13+(Coeffs!E$6*Drivers!$D51)+(Coeffs!E$7*Drivers!$E51)+(Coeffs!E$8*Drivers!$F51))</f>
        <v>17.998666978031284</v>
      </c>
      <c r="F50" s="147">
        <f xml:space="preserve"> EXP(Coeffs!F$13 + Coeffs!F$9*Drivers!$G51 + Coeffs!F$10*Drivers!$H51)</f>
        <v>16.175970953549879</v>
      </c>
      <c r="G50" s="147">
        <f xml:space="preserve"> EXP( Coeffs!G$13 + Coeffs!G$9*Drivers!$G51 + Coeffs!G$11*Drivers!$I51 + Coeffs!G$12*Drivers!$J51)</f>
        <v>15.63755003886858</v>
      </c>
      <c r="H50" s="147">
        <f xml:space="preserve"> EXP( Coeffs!H$13 + Coeffs!H$7*Drivers!$E51 + Coeffs!H$9*Drivers!$G51 + Coeffs!H$10*Drivers!$H51 )</f>
        <v>33.237703477654698</v>
      </c>
      <c r="I50" s="147">
        <f xml:space="preserve"> EXP( Coeffs!I$13 + Coeffs!I$7*Drivers!$E51 + Coeffs!I$8*Drivers!$F51 + Coeffs!I$9*Drivers!$G51 + Coeffs!I$10*Drivers!$H51 )</f>
        <v>32.898971065541026</v>
      </c>
      <c r="J50" s="147">
        <f xml:space="preserve"> EXP( Coeffs!J$13 + Coeffs!J$7*Drivers!$E51 + Coeffs!J$8*Drivers!$F51 + Coeffs!J$9*Drivers!$G51 + Coeffs!J$11*Drivers!$I51 + Coeffs!$J$12*Drivers!$J51)</f>
        <v>32.496149018019537</v>
      </c>
      <c r="K50" s="180">
        <f>INDEX(Drivers!$C$2:$S$93, MATCH('Modelled costs'!$C50, Drivers!$C$2:$C$93, 0), MATCH('Modelled costs'!K$3, Drivers!$C$2:$S$2, 0))</f>
        <v>2133.4749999999999</v>
      </c>
      <c r="M50" s="146">
        <f t="shared" si="7"/>
        <v>38.031468855460027</v>
      </c>
      <c r="N50" s="146">
        <f t="shared" si="0"/>
        <v>38.399706030955294</v>
      </c>
      <c r="O50" s="146">
        <f t="shared" si="1"/>
        <v>34.511029630124824</v>
      </c>
      <c r="P50" s="146">
        <f t="shared" si="2"/>
        <v>33.362322069175143</v>
      </c>
      <c r="Q50" s="146">
        <f t="shared" si="3"/>
        <v>70.91180942698935</v>
      </c>
      <c r="R50" s="146">
        <f t="shared" si="4"/>
        <v>70.189132294055128</v>
      </c>
      <c r="S50" s="146">
        <f t="shared" si="5"/>
        <v>69.329721526219231</v>
      </c>
    </row>
    <row r="51" spans="1:19">
      <c r="A51" s="115" t="s">
        <v>109</v>
      </c>
      <c r="B51" s="115">
        <v>2017</v>
      </c>
      <c r="C51" s="115" t="str">
        <f t="shared" si="6"/>
        <v>YKY17</v>
      </c>
      <c r="D51" s="147">
        <f>EXP(Coeffs!$D$13+(Coeffs!$D$6*Drivers!$D52)+(Coeffs!$D$7*Drivers!$E52))</f>
        <v>18.00492191706681</v>
      </c>
      <c r="E51" s="147">
        <f>EXP(Coeffs!E$13+(Coeffs!E$6*Drivers!$D52)+(Coeffs!E$7*Drivers!$E52)+(Coeffs!E$8*Drivers!$F52))</f>
        <v>18.167102707239835</v>
      </c>
      <c r="F51" s="147">
        <f xml:space="preserve"> EXP(Coeffs!F$13 + Coeffs!F$9*Drivers!$G52 + Coeffs!F$10*Drivers!$H52)</f>
        <v>15.566636952548945</v>
      </c>
      <c r="G51" s="147">
        <f xml:space="preserve"> EXP( Coeffs!G$13 + Coeffs!G$9*Drivers!$G52 + Coeffs!G$11*Drivers!$I52 + Coeffs!G$12*Drivers!$J52)</f>
        <v>15.632565259396008</v>
      </c>
      <c r="H51" s="147">
        <f xml:space="preserve"> EXP( Coeffs!H$13 + Coeffs!H$7*Drivers!$E52 + Coeffs!H$9*Drivers!$G52 + Coeffs!H$10*Drivers!$H52 )</f>
        <v>32.965694419231411</v>
      </c>
      <c r="I51" s="147">
        <f xml:space="preserve"> EXP( Coeffs!I$13 + Coeffs!I$7*Drivers!$E52 + Coeffs!I$8*Drivers!$F52 + Coeffs!I$9*Drivers!$G52 + Coeffs!I$10*Drivers!$H52 )</f>
        <v>32.474460734024824</v>
      </c>
      <c r="J51" s="147">
        <f xml:space="preserve"> EXP( Coeffs!J$13 + Coeffs!J$7*Drivers!$E52 + Coeffs!J$8*Drivers!$F52 + Coeffs!J$9*Drivers!$G52 + Coeffs!J$11*Drivers!$I52 + Coeffs!$J$12*Drivers!$J52)</f>
        <v>32.617159818382113</v>
      </c>
      <c r="K51" s="180">
        <f>INDEX(Drivers!$C$2:$S$93, MATCH('Modelled costs'!$C51, Drivers!$C$2:$C$93, 0), MATCH('Modelled costs'!K$3, Drivers!$C$2:$S$2, 0))</f>
        <v>2153.0641643835602</v>
      </c>
      <c r="M51" s="146">
        <f t="shared" si="7"/>
        <v>38.765752162160702</v>
      </c>
      <c r="N51" s="146">
        <f t="shared" si="0"/>
        <v>39.114937809633652</v>
      </c>
      <c r="O51" s="146">
        <f t="shared" si="1"/>
        <v>33.515968182502043</v>
      </c>
      <c r="P51" s="146">
        <f t="shared" si="2"/>
        <v>33.657916057392939</v>
      </c>
      <c r="Q51" s="146">
        <f t="shared" si="3"/>
        <v>70.977255308066276</v>
      </c>
      <c r="R51" s="146">
        <f t="shared" si="4"/>
        <v>69.919597664109901</v>
      </c>
      <c r="S51" s="146">
        <f t="shared" si="5"/>
        <v>70.226837948929926</v>
      </c>
    </row>
    <row r="52" spans="1:19">
      <c r="A52" s="115" t="s">
        <v>109</v>
      </c>
      <c r="B52" s="115">
        <v>2018</v>
      </c>
      <c r="C52" s="115" t="str">
        <f t="shared" si="6"/>
        <v>YKY18</v>
      </c>
      <c r="D52" s="147">
        <f>EXP(Coeffs!$D$13+(Coeffs!$D$6*Drivers!$D53)+(Coeffs!$D$7*Drivers!$E53))</f>
        <v>18.172654736975556</v>
      </c>
      <c r="E52" s="147">
        <f>EXP(Coeffs!E$13+(Coeffs!E$6*Drivers!$D53)+(Coeffs!E$7*Drivers!$E53)+(Coeffs!E$8*Drivers!$F53))</f>
        <v>18.330278419443847</v>
      </c>
      <c r="F52" s="147">
        <f xml:space="preserve"> EXP(Coeffs!F$13 + Coeffs!F$9*Drivers!$G53 + Coeffs!F$10*Drivers!$H53)</f>
        <v>15.394608456003954</v>
      </c>
      <c r="G52" s="147">
        <f xml:space="preserve"> EXP( Coeffs!G$13 + Coeffs!G$9*Drivers!$G53 + Coeffs!G$11*Drivers!$I53 + Coeffs!G$12*Drivers!$J53)</f>
        <v>15.461728020603006</v>
      </c>
      <c r="H52" s="147">
        <f xml:space="preserve"> EXP( Coeffs!H$13 + Coeffs!H$7*Drivers!$E53 + Coeffs!H$9*Drivers!$G53 + Coeffs!H$10*Drivers!$H53 )</f>
        <v>32.94920141362396</v>
      </c>
      <c r="I52" s="147">
        <f xml:space="preserve"> EXP( Coeffs!I$13 + Coeffs!I$7*Drivers!$E53 + Coeffs!I$8*Drivers!$F53 + Coeffs!I$9*Drivers!$G53 + Coeffs!I$10*Drivers!$H53 )</f>
        <v>32.475643529515885</v>
      </c>
      <c r="J52" s="147">
        <f xml:space="preserve"> EXP( Coeffs!J$13 + Coeffs!J$7*Drivers!$E53 + Coeffs!J$8*Drivers!$F53 + Coeffs!J$9*Drivers!$G53 + Coeffs!J$11*Drivers!$I53 + Coeffs!$J$12*Drivers!$J53)</f>
        <v>32.552653650314511</v>
      </c>
      <c r="K52" s="180">
        <f>INDEX(Drivers!$C$2:$S$93, MATCH('Modelled costs'!$C52, Drivers!$C$2:$C$93, 0), MATCH('Modelled costs'!K$3, Drivers!$C$2:$S$2, 0))</f>
        <v>2164.7559999999999</v>
      </c>
      <c r="M52" s="146">
        <f t="shared" si="7"/>
        <v>39.339363377796253</v>
      </c>
      <c r="N52" s="146">
        <f t="shared" si="0"/>
        <v>39.680580190161578</v>
      </c>
      <c r="O52" s="146">
        <f t="shared" si="1"/>
        <v>33.325571022785297</v>
      </c>
      <c r="P52" s="146">
        <f t="shared" si="2"/>
        <v>33.470868502968479</v>
      </c>
      <c r="Q52" s="146">
        <f t="shared" si="3"/>
        <v>71.326981455350946</v>
      </c>
      <c r="R52" s="146">
        <f t="shared" si="4"/>
        <v>70.301844184380684</v>
      </c>
      <c r="S52" s="146">
        <f t="shared" si="5"/>
        <v>70.468552305440227</v>
      </c>
    </row>
    <row r="53" spans="1:19">
      <c r="A53" s="115" t="s">
        <v>110</v>
      </c>
      <c r="B53" s="115">
        <v>2014</v>
      </c>
      <c r="C53" s="115" t="str">
        <f t="shared" si="6"/>
        <v>AFW14</v>
      </c>
      <c r="D53" s="147">
        <f>EXP(Coeffs!$D$13+(Coeffs!$D$6*Drivers!$D54)+(Coeffs!$D$7*Drivers!$E54))</f>
        <v>15.294654858389137</v>
      </c>
      <c r="E53" s="147">
        <f>EXP(Coeffs!E$13+(Coeffs!E$6*Drivers!$D54)+(Coeffs!E$7*Drivers!$E54)+(Coeffs!E$8*Drivers!$F54))</f>
        <v>14.530387906374303</v>
      </c>
      <c r="F53" s="147">
        <f xml:space="preserve"> EXP(Coeffs!F$13 + Coeffs!F$9*Drivers!$G54 + Coeffs!F$10*Drivers!$H54)</f>
        <v>7.4711005293019985</v>
      </c>
      <c r="G53" s="147">
        <f xml:space="preserve"> EXP( Coeffs!G$13 + Coeffs!G$9*Drivers!$G54 + Coeffs!G$11*Drivers!$I54 + Coeffs!G$12*Drivers!$J54)</f>
        <v>6.8112842384566585</v>
      </c>
      <c r="H53" s="147">
        <f xml:space="preserve"> EXP( Coeffs!H$13 + Coeffs!H$7*Drivers!$E54 + Coeffs!H$9*Drivers!$G54 + Coeffs!H$10*Drivers!$H54 )</f>
        <v>24.24557218165728</v>
      </c>
      <c r="I53" s="147">
        <f xml:space="preserve"> EXP( Coeffs!I$13 + Coeffs!I$7*Drivers!$E54 + Coeffs!I$8*Drivers!$F54 + Coeffs!I$9*Drivers!$G54 + Coeffs!I$10*Drivers!$H54 )</f>
        <v>23.677756570750901</v>
      </c>
      <c r="J53" s="147">
        <f xml:space="preserve"> EXP( Coeffs!J$13 + Coeffs!J$7*Drivers!$E54 + Coeffs!J$8*Drivers!$F54 + Coeffs!J$9*Drivers!$G54 + Coeffs!J$11*Drivers!$I54 + Coeffs!$J$12*Drivers!$J54)</f>
        <v>22.977902773594749</v>
      </c>
      <c r="K53" s="180">
        <f>INDEX(Drivers!$C$2:$S$93, MATCH('Modelled costs'!$C53, Drivers!$C$2:$C$93, 0), MATCH('Modelled costs'!K$3, Drivers!$C$2:$S$2, 0))</f>
        <v>1337.7760000000001</v>
      </c>
      <c r="M53" s="146">
        <f t="shared" si="7"/>
        <v>20.460822197836389</v>
      </c>
      <c r="N53" s="146">
        <f t="shared" si="0"/>
        <v>19.438404211837792</v>
      </c>
      <c r="O53" s="146">
        <f t="shared" si="1"/>
        <v>9.9946589816875111</v>
      </c>
      <c r="P53" s="146">
        <f t="shared" si="2"/>
        <v>9.1119725833855956</v>
      </c>
      <c r="Q53" s="146">
        <f t="shared" si="3"/>
        <v>32.435144570888752</v>
      </c>
      <c r="R53" s="146">
        <f t="shared" si="4"/>
        <v>31.675534474192862</v>
      </c>
      <c r="S53" s="146">
        <f t="shared" si="5"/>
        <v>30.739286860848491</v>
      </c>
    </row>
    <row r="54" spans="1:19">
      <c r="A54" s="115" t="s">
        <v>110</v>
      </c>
      <c r="B54" s="115">
        <v>2015</v>
      </c>
      <c r="C54" s="115" t="str">
        <f t="shared" si="6"/>
        <v>AFW15</v>
      </c>
      <c r="D54" s="147">
        <f>EXP(Coeffs!$D$13+(Coeffs!$D$6*Drivers!$D55)+(Coeffs!$D$7*Drivers!$E55))</f>
        <v>15.382914454496659</v>
      </c>
      <c r="E54" s="147">
        <f>EXP(Coeffs!E$13+(Coeffs!E$6*Drivers!$D55)+(Coeffs!E$7*Drivers!$E55)+(Coeffs!E$8*Drivers!$F55))</f>
        <v>14.610555968785716</v>
      </c>
      <c r="F54" s="147">
        <f xml:space="preserve"> EXP(Coeffs!F$13 + Coeffs!F$9*Drivers!$G55 + Coeffs!F$10*Drivers!$H55)</f>
        <v>7.3388273524188428</v>
      </c>
      <c r="G54" s="147">
        <f xml:space="preserve"> EXP( Coeffs!G$13 + Coeffs!G$9*Drivers!$G55 + Coeffs!G$11*Drivers!$I55 + Coeffs!G$12*Drivers!$J55)</f>
        <v>6.7546559889774507</v>
      </c>
      <c r="H54" s="147">
        <f xml:space="preserve"> EXP( Coeffs!H$13 + Coeffs!H$7*Drivers!$E55 + Coeffs!H$9*Drivers!$G55 + Coeffs!H$10*Drivers!$H55 )</f>
        <v>24.149799770000687</v>
      </c>
      <c r="I54" s="147">
        <f xml:space="preserve"> EXP( Coeffs!I$13 + Coeffs!I$7*Drivers!$E55 + Coeffs!I$8*Drivers!$F55 + Coeffs!I$9*Drivers!$G55 + Coeffs!I$10*Drivers!$H55 )</f>
        <v>23.55995343448841</v>
      </c>
      <c r="J54" s="147">
        <f xml:space="preserve"> EXP( Coeffs!J$13 + Coeffs!J$7*Drivers!$E55 + Coeffs!J$8*Drivers!$F55 + Coeffs!J$9*Drivers!$G55 + Coeffs!J$11*Drivers!$I55 + Coeffs!$J$12*Drivers!$J55)</f>
        <v>22.938795635886382</v>
      </c>
      <c r="K54" s="180">
        <f>INDEX(Drivers!$C$2:$S$93, MATCH('Modelled costs'!$C54, Drivers!$C$2:$C$93, 0), MATCH('Modelled costs'!K$3, Drivers!$C$2:$S$2, 0))</f>
        <v>1340.078</v>
      </c>
      <c r="M54" s="146">
        <f t="shared" si="7"/>
        <v>20.614305236352973</v>
      </c>
      <c r="N54" s="146">
        <f t="shared" si="0"/>
        <v>19.579284621538424</v>
      </c>
      <c r="O54" s="146">
        <f t="shared" si="1"/>
        <v>9.8346010807747373</v>
      </c>
      <c r="P54" s="146">
        <f t="shared" si="2"/>
        <v>9.0517658883969219</v>
      </c>
      <c r="Q54" s="146">
        <f t="shared" si="3"/>
        <v>32.36261537618298</v>
      </c>
      <c r="R54" s="146">
        <f t="shared" si="4"/>
        <v>31.57217527858236</v>
      </c>
      <c r="S54" s="146">
        <f t="shared" si="5"/>
        <v>30.739775378147353</v>
      </c>
    </row>
    <row r="55" spans="1:19">
      <c r="A55" s="115" t="s">
        <v>110</v>
      </c>
      <c r="B55" s="115">
        <v>2016</v>
      </c>
      <c r="C55" s="115" t="str">
        <f t="shared" si="6"/>
        <v>AFW16</v>
      </c>
      <c r="D55" s="147">
        <f>EXP(Coeffs!$D$13+(Coeffs!$D$6*Drivers!$D56)+(Coeffs!$D$7*Drivers!$E56))</f>
        <v>15.458305018251497</v>
      </c>
      <c r="E55" s="147">
        <f>EXP(Coeffs!E$13+(Coeffs!E$6*Drivers!$D56)+(Coeffs!E$7*Drivers!$E56)+(Coeffs!E$8*Drivers!$F56))</f>
        <v>14.67689768016934</v>
      </c>
      <c r="F55" s="147">
        <f xml:space="preserve"> EXP(Coeffs!F$13 + Coeffs!F$9*Drivers!$G56 + Coeffs!F$10*Drivers!$H56)</f>
        <v>6.9831128982015374</v>
      </c>
      <c r="G55" s="147">
        <f xml:space="preserve"> EXP( Coeffs!G$13 + Coeffs!G$9*Drivers!$G56 + Coeffs!G$11*Drivers!$I56 + Coeffs!G$12*Drivers!$J56)</f>
        <v>6.5683002746359032</v>
      </c>
      <c r="H55" s="147">
        <f xml:space="preserve"> EXP( Coeffs!H$13 + Coeffs!H$7*Drivers!$E56 + Coeffs!H$9*Drivers!$G56 + Coeffs!H$10*Drivers!$H56 )</f>
        <v>23.756839042152887</v>
      </c>
      <c r="I55" s="147">
        <f xml:space="preserve"> EXP( Coeffs!I$13 + Coeffs!I$7*Drivers!$E56 + Coeffs!I$8*Drivers!$F56 + Coeffs!I$9*Drivers!$G56 + Coeffs!I$10*Drivers!$H56 )</f>
        <v>23.080884350902888</v>
      </c>
      <c r="J55" s="147">
        <f xml:space="preserve"> EXP( Coeffs!J$13 + Coeffs!J$7*Drivers!$E56 + Coeffs!J$8*Drivers!$F56 + Coeffs!J$9*Drivers!$G56 + Coeffs!J$11*Drivers!$I56 + Coeffs!$J$12*Drivers!$J56)</f>
        <v>22.644909488263167</v>
      </c>
      <c r="K55" s="180">
        <f>INDEX(Drivers!$C$2:$S$93, MATCH('Modelled costs'!$C55, Drivers!$C$2:$C$93, 0), MATCH('Modelled costs'!K$3, Drivers!$C$2:$S$2, 0))</f>
        <v>1346.154</v>
      </c>
      <c r="M55" s="146">
        <f t="shared" si="7"/>
        <v>20.809259133539328</v>
      </c>
      <c r="N55" s="146">
        <f t="shared" si="0"/>
        <v>19.757364519750677</v>
      </c>
      <c r="O55" s="146">
        <f t="shared" si="1"/>
        <v>9.4003453603655913</v>
      </c>
      <c r="P55" s="146">
        <f t="shared" si="2"/>
        <v>8.8419436879022193</v>
      </c>
      <c r="Q55" s="146">
        <f t="shared" si="3"/>
        <v>31.980363903950277</v>
      </c>
      <c r="R55" s="146">
        <f t="shared" si="4"/>
        <v>31.070424792505328</v>
      </c>
      <c r="S55" s="146">
        <f t="shared" si="5"/>
        <v>30.483535487263413</v>
      </c>
    </row>
    <row r="56" spans="1:19">
      <c r="A56" s="115" t="s">
        <v>110</v>
      </c>
      <c r="B56" s="115">
        <v>2017</v>
      </c>
      <c r="C56" s="115" t="str">
        <f t="shared" si="6"/>
        <v>AFW17</v>
      </c>
      <c r="D56" s="147">
        <f>EXP(Coeffs!$D$13+(Coeffs!$D$6*Drivers!$D57)+(Coeffs!$D$7*Drivers!$E57))</f>
        <v>15.575979598616003</v>
      </c>
      <c r="E56" s="147">
        <f>EXP(Coeffs!E$13+(Coeffs!E$6*Drivers!$D57)+(Coeffs!E$7*Drivers!$E57)+(Coeffs!E$8*Drivers!$F57))</f>
        <v>14.779136290703283</v>
      </c>
      <c r="F56" s="147">
        <f xml:space="preserve"> EXP(Coeffs!F$13 + Coeffs!F$9*Drivers!$G57 + Coeffs!F$10*Drivers!$H57)</f>
        <v>6.672478767096476</v>
      </c>
      <c r="G56" s="147">
        <f xml:space="preserve"> EXP( Coeffs!G$13 + Coeffs!G$9*Drivers!$G57 + Coeffs!G$11*Drivers!$I57 + Coeffs!G$12*Drivers!$J57)</f>
        <v>6.6081524593190624</v>
      </c>
      <c r="H56" s="147">
        <f xml:space="preserve"> EXP( Coeffs!H$13 + Coeffs!H$7*Drivers!$E57 + Coeffs!H$9*Drivers!$G57 + Coeffs!H$10*Drivers!$H57 )</f>
        <v>23.495366039489905</v>
      </c>
      <c r="I56" s="147">
        <f xml:space="preserve"> EXP( Coeffs!I$13 + Coeffs!I$7*Drivers!$E57 + Coeffs!I$8*Drivers!$F57 + Coeffs!I$9*Drivers!$G57 + Coeffs!I$10*Drivers!$H57 )</f>
        <v>22.670311442363829</v>
      </c>
      <c r="J56" s="147">
        <f xml:space="preserve"> EXP( Coeffs!J$13 + Coeffs!J$7*Drivers!$E57 + Coeffs!J$8*Drivers!$F57 + Coeffs!J$9*Drivers!$G57 + Coeffs!J$11*Drivers!$I57 + Coeffs!$J$12*Drivers!$J57)</f>
        <v>22.777825367821677</v>
      </c>
      <c r="K56" s="180">
        <f>INDEX(Drivers!$C$2:$S$93, MATCH('Modelled costs'!$C56, Drivers!$C$2:$C$93, 0), MATCH('Modelled costs'!K$3, Drivers!$C$2:$S$2, 0))</f>
        <v>1358.0940000000001</v>
      </c>
      <c r="M56" s="146">
        <f t="shared" si="7"/>
        <v>21.153644437002804</v>
      </c>
      <c r="N56" s="146">
        <f t="shared" si="0"/>
        <v>20.071456321586385</v>
      </c>
      <c r="O56" s="146">
        <f t="shared" si="1"/>
        <v>9.0618533787211213</v>
      </c>
      <c r="P56" s="146">
        <f t="shared" si="2"/>
        <v>8.9744922060864631</v>
      </c>
      <c r="Q56" s="146">
        <f t="shared" si="3"/>
        <v>31.908915646035005</v>
      </c>
      <c r="R56" s="146">
        <f t="shared" si="4"/>
        <v>30.788413948005662</v>
      </c>
      <c r="S56" s="146">
        <f t="shared" si="5"/>
        <v>30.934427965086414</v>
      </c>
    </row>
    <row r="57" spans="1:19">
      <c r="A57" s="115" t="s">
        <v>110</v>
      </c>
      <c r="B57" s="115">
        <v>2018</v>
      </c>
      <c r="C57" s="115" t="str">
        <f t="shared" si="6"/>
        <v>AFW18</v>
      </c>
      <c r="D57" s="147">
        <f>EXP(Coeffs!$D$13+(Coeffs!$D$6*Drivers!$D58)+(Coeffs!$D$7*Drivers!$E58))</f>
        <v>15.737301369912329</v>
      </c>
      <c r="E57" s="147">
        <f>EXP(Coeffs!E$13+(Coeffs!E$6*Drivers!$D58)+(Coeffs!E$7*Drivers!$E58)+(Coeffs!E$8*Drivers!$F58))</f>
        <v>14.9242904997752</v>
      </c>
      <c r="F57" s="147">
        <f xml:space="preserve"> EXP(Coeffs!F$13 + Coeffs!F$9*Drivers!$G58 + Coeffs!F$10*Drivers!$H58)</f>
        <v>6.5375297595640278</v>
      </c>
      <c r="G57" s="147">
        <f xml:space="preserve"> EXP( Coeffs!G$13 + Coeffs!G$9*Drivers!$G58 + Coeffs!G$11*Drivers!$I58 + Coeffs!G$12*Drivers!$J58)</f>
        <v>6.4759828094066432</v>
      </c>
      <c r="H57" s="147">
        <f xml:space="preserve"> EXP( Coeffs!H$13 + Coeffs!H$7*Drivers!$E58 + Coeffs!H$9*Drivers!$G58 + Coeffs!H$10*Drivers!$H58 )</f>
        <v>23.40881393104263</v>
      </c>
      <c r="I57" s="147">
        <f xml:space="preserve"> EXP( Coeffs!I$13 + Coeffs!I$7*Drivers!$E58 + Coeffs!I$8*Drivers!$F58 + Coeffs!I$9*Drivers!$G58 + Coeffs!I$10*Drivers!$H58 )</f>
        <v>22.594382219533198</v>
      </c>
      <c r="J57" s="147">
        <f xml:space="preserve"> EXP( Coeffs!J$13 + Coeffs!J$7*Drivers!$E58 + Coeffs!J$8*Drivers!$F58 + Coeffs!J$9*Drivers!$G58 + Coeffs!J$11*Drivers!$I58 + Coeffs!$J$12*Drivers!$J58)</f>
        <v>22.639726387694434</v>
      </c>
      <c r="K57" s="180">
        <f>INDEX(Drivers!$C$2:$S$93, MATCH('Modelled costs'!$C57, Drivers!$C$2:$C$93, 0), MATCH('Modelled costs'!K$3, Drivers!$C$2:$S$2, 0))</f>
        <v>1364.566</v>
      </c>
      <c r="M57" s="146">
        <f t="shared" si="7"/>
        <v>21.474586381135786</v>
      </c>
      <c r="N57" s="146">
        <f t="shared" si="0"/>
        <v>20.365179390116243</v>
      </c>
      <c r="O57" s="146">
        <f t="shared" si="1"/>
        <v>8.9208908338892474</v>
      </c>
      <c r="P57" s="146">
        <f t="shared" si="2"/>
        <v>8.8369059583007861</v>
      </c>
      <c r="Q57" s="146">
        <f t="shared" si="3"/>
        <v>31.942871590627117</v>
      </c>
      <c r="R57" s="146">
        <f t="shared" si="4"/>
        <v>30.831525767779535</v>
      </c>
      <c r="S57" s="146">
        <f t="shared" si="5"/>
        <v>30.893400877950643</v>
      </c>
    </row>
    <row r="58" spans="1:19">
      <c r="A58" s="115" t="s">
        <v>111</v>
      </c>
      <c r="B58" s="115">
        <v>2014</v>
      </c>
      <c r="C58" s="115" t="str">
        <f t="shared" si="6"/>
        <v>BRL14</v>
      </c>
      <c r="D58" s="147">
        <f>EXP(Coeffs!$D$13+(Coeffs!$D$6*Drivers!$D59)+(Coeffs!$D$7*Drivers!$E59))</f>
        <v>14.820141906917756</v>
      </c>
      <c r="E58" s="147">
        <f>EXP(Coeffs!E$13+(Coeffs!E$6*Drivers!$D59)+(Coeffs!E$7*Drivers!$E59)+(Coeffs!E$8*Drivers!$F59))</f>
        <v>14.8010609129324</v>
      </c>
      <c r="F58" s="147">
        <f xml:space="preserve"> EXP(Coeffs!F$13 + Coeffs!F$9*Drivers!$G59 + Coeffs!F$10*Drivers!$H59)</f>
        <v>6.8017755457472386</v>
      </c>
      <c r="G58" s="147">
        <f xml:space="preserve"> EXP( Coeffs!G$13 + Coeffs!G$9*Drivers!$G59 + Coeffs!G$11*Drivers!$I59 + Coeffs!G$12*Drivers!$J59)</f>
        <v>7.7689828520482802</v>
      </c>
      <c r="H58" s="147">
        <f xml:space="preserve"> EXP( Coeffs!H$13 + Coeffs!H$7*Drivers!$E59 + Coeffs!H$9*Drivers!$G59 + Coeffs!H$10*Drivers!$H59 )</f>
        <v>23.420316273865289</v>
      </c>
      <c r="I58" s="147">
        <f xml:space="preserve"> EXP( Coeffs!I$13 + Coeffs!I$7*Drivers!$E59 + Coeffs!I$8*Drivers!$F59 + Coeffs!I$9*Drivers!$G59 + Coeffs!I$10*Drivers!$H59 )</f>
        <v>23.598069690617383</v>
      </c>
      <c r="J58" s="147">
        <f xml:space="preserve"> EXP( Coeffs!J$13 + Coeffs!J$7*Drivers!$E59 + Coeffs!J$8*Drivers!$F59 + Coeffs!J$9*Drivers!$G59 + Coeffs!J$11*Drivers!$I59 + Coeffs!$J$12*Drivers!$J59)</f>
        <v>27.394972875726324</v>
      </c>
      <c r="K58" s="180">
        <f>INDEX(Drivers!$C$2:$S$93, MATCH('Modelled costs'!$C58, Drivers!$C$2:$C$93, 0), MATCH('Modelled costs'!K$3, Drivers!$C$2:$S$2, 0))</f>
        <v>473.15</v>
      </c>
      <c r="M58" s="146">
        <f t="shared" si="7"/>
        <v>7.012150143258137</v>
      </c>
      <c r="N58" s="146">
        <f t="shared" si="0"/>
        <v>7.0031219709539645</v>
      </c>
      <c r="O58" s="146">
        <f t="shared" si="1"/>
        <v>3.2182600994703057</v>
      </c>
      <c r="P58" s="146">
        <f t="shared" si="2"/>
        <v>3.6758942364466431</v>
      </c>
      <c r="Q58" s="146">
        <f t="shared" si="3"/>
        <v>11.081322644979361</v>
      </c>
      <c r="R58" s="146">
        <f t="shared" si="4"/>
        <v>11.165426674115613</v>
      </c>
      <c r="S58" s="146">
        <f t="shared" si="5"/>
        <v>12.961931416149911</v>
      </c>
    </row>
    <row r="59" spans="1:19">
      <c r="A59" s="115" t="s">
        <v>111</v>
      </c>
      <c r="B59" s="115">
        <v>2015</v>
      </c>
      <c r="C59" s="115" t="str">
        <f t="shared" si="6"/>
        <v>BRL15</v>
      </c>
      <c r="D59" s="147">
        <f>EXP(Coeffs!$D$13+(Coeffs!$D$6*Drivers!$D60)+(Coeffs!$D$7*Drivers!$E60))</f>
        <v>15.013780928191551</v>
      </c>
      <c r="E59" s="147">
        <f>EXP(Coeffs!E$13+(Coeffs!E$6*Drivers!$D60)+(Coeffs!E$7*Drivers!$E60)+(Coeffs!E$8*Drivers!$F60))</f>
        <v>14.983352879728608</v>
      </c>
      <c r="F59" s="147">
        <f xml:space="preserve"> EXP(Coeffs!F$13 + Coeffs!F$9*Drivers!$G60 + Coeffs!F$10*Drivers!$H60)</f>
        <v>7.1868041510034484</v>
      </c>
      <c r="G59" s="147">
        <f xml:space="preserve"> EXP( Coeffs!G$13 + Coeffs!G$9*Drivers!$G60 + Coeffs!G$11*Drivers!$I60 + Coeffs!G$12*Drivers!$J60)</f>
        <v>8.2704992473041923</v>
      </c>
      <c r="H59" s="147">
        <f xml:space="preserve"> EXP( Coeffs!H$13 + Coeffs!H$7*Drivers!$E60 + Coeffs!H$9*Drivers!$G60 + Coeffs!H$10*Drivers!$H60 )</f>
        <v>24.1093545105857</v>
      </c>
      <c r="I59" s="147">
        <f xml:space="preserve"> EXP( Coeffs!I$13 + Coeffs!I$7*Drivers!$E60 + Coeffs!I$8*Drivers!$F60 + Coeffs!I$9*Drivers!$G60 + Coeffs!I$10*Drivers!$H60 )</f>
        <v>24.377996534193628</v>
      </c>
      <c r="J59" s="147">
        <f xml:space="preserve"> EXP( Coeffs!J$13 + Coeffs!J$7*Drivers!$E60 + Coeffs!J$8*Drivers!$F60 + Coeffs!J$9*Drivers!$G60 + Coeffs!J$11*Drivers!$I60 + Coeffs!$J$12*Drivers!$J60)</f>
        <v>28.481185264914426</v>
      </c>
      <c r="K59" s="180">
        <f>INDEX(Drivers!$C$2:$S$93, MATCH('Modelled costs'!$C59, Drivers!$C$2:$C$93, 0), MATCH('Modelled costs'!K$3, Drivers!$C$2:$S$2, 0))</f>
        <v>476.72399999999999</v>
      </c>
      <c r="M59" s="146">
        <f t="shared" si="7"/>
        <v>7.157429699211189</v>
      </c>
      <c r="N59" s="146">
        <f t="shared" si="0"/>
        <v>7.1429239182357405</v>
      </c>
      <c r="O59" s="146">
        <f t="shared" si="1"/>
        <v>3.4261220220829678</v>
      </c>
      <c r="P59" s="146">
        <f t="shared" si="2"/>
        <v>3.9427454831718438</v>
      </c>
      <c r="Q59" s="146">
        <f t="shared" si="3"/>
        <v>11.493507919704456</v>
      </c>
      <c r="R59" s="146">
        <f t="shared" si="4"/>
        <v>11.621576019766923</v>
      </c>
      <c r="S59" s="146">
        <f t="shared" si="5"/>
        <v>13.577664564231064</v>
      </c>
    </row>
    <row r="60" spans="1:19">
      <c r="A60" s="115" t="s">
        <v>111</v>
      </c>
      <c r="B60" s="115">
        <v>2016</v>
      </c>
      <c r="C60" s="115" t="str">
        <f t="shared" si="6"/>
        <v>BRL16</v>
      </c>
      <c r="D60" s="147">
        <f>EXP(Coeffs!$D$13+(Coeffs!$D$6*Drivers!$D61)+(Coeffs!$D$7*Drivers!$E61))</f>
        <v>15.177208922923311</v>
      </c>
      <c r="E60" s="147">
        <f>EXP(Coeffs!E$13+(Coeffs!E$6*Drivers!$D61)+(Coeffs!E$7*Drivers!$E61)+(Coeffs!E$8*Drivers!$F61))</f>
        <v>15.13499995207367</v>
      </c>
      <c r="F60" s="147">
        <f xml:space="preserve"> EXP(Coeffs!F$13 + Coeffs!F$9*Drivers!$G61 + Coeffs!F$10*Drivers!$H61)</f>
        <v>5.5312910562558102</v>
      </c>
      <c r="G60" s="147">
        <f xml:space="preserve"> EXP( Coeffs!G$13 + Coeffs!G$9*Drivers!$G61 + Coeffs!G$11*Drivers!$I61 + Coeffs!G$12*Drivers!$J61)</f>
        <v>6.5018698792623582</v>
      </c>
      <c r="H60" s="147">
        <f xml:space="preserve"> EXP( Coeffs!H$13 + Coeffs!H$7*Drivers!$E61 + Coeffs!H$9*Drivers!$G61 + Coeffs!H$10*Drivers!$H61 )</f>
        <v>21.800201522046727</v>
      </c>
      <c r="I60" s="147">
        <f xml:space="preserve"> EXP( Coeffs!I$13 + Coeffs!I$7*Drivers!$E61 + Coeffs!I$8*Drivers!$F61 + Coeffs!I$9*Drivers!$G61 + Coeffs!I$10*Drivers!$H61 )</f>
        <v>21.744613926517076</v>
      </c>
      <c r="J60" s="147">
        <f xml:space="preserve"> EXP( Coeffs!J$13 + Coeffs!J$7*Drivers!$E61 + Coeffs!J$8*Drivers!$F61 + Coeffs!J$9*Drivers!$G61 + Coeffs!J$11*Drivers!$I61 + Coeffs!$J$12*Drivers!$J61)</f>
        <v>25.186617931272586</v>
      </c>
      <c r="K60" s="180">
        <f>INDEX(Drivers!$C$2:$S$93, MATCH('Modelled costs'!$C60, Drivers!$C$2:$C$93, 0), MATCH('Modelled costs'!K$3, Drivers!$C$2:$S$2, 0))</f>
        <v>481.13799999999998</v>
      </c>
      <c r="M60" s="146">
        <f t="shared" si="7"/>
        <v>7.3023319467574757</v>
      </c>
      <c r="N60" s="146">
        <f t="shared" si="0"/>
        <v>7.2820236069408208</v>
      </c>
      <c r="O60" s="146">
        <f t="shared" si="1"/>
        <v>2.6613143162248081</v>
      </c>
      <c r="P60" s="146">
        <f t="shared" si="2"/>
        <v>3.128296669968532</v>
      </c>
      <c r="Q60" s="146">
        <f t="shared" si="3"/>
        <v>10.488905359914517</v>
      </c>
      <c r="R60" s="146">
        <f t="shared" si="4"/>
        <v>10.462160055376572</v>
      </c>
      <c r="S60" s="146">
        <f t="shared" si="5"/>
        <v>12.118238978216628</v>
      </c>
    </row>
    <row r="61" spans="1:19">
      <c r="A61" s="115" t="s">
        <v>111</v>
      </c>
      <c r="B61" s="115">
        <v>2017</v>
      </c>
      <c r="C61" s="115" t="str">
        <f t="shared" si="6"/>
        <v>BRL17</v>
      </c>
      <c r="D61" s="147">
        <f>EXP(Coeffs!$D$13+(Coeffs!$D$6*Drivers!$D62)+(Coeffs!$D$7*Drivers!$E62))</f>
        <v>15.327266276812308</v>
      </c>
      <c r="E61" s="147">
        <f>EXP(Coeffs!E$13+(Coeffs!E$6*Drivers!$D62)+(Coeffs!E$7*Drivers!$E62)+(Coeffs!E$8*Drivers!$F62))</f>
        <v>15.275023589632948</v>
      </c>
      <c r="F61" s="147">
        <f xml:space="preserve"> EXP(Coeffs!F$13 + Coeffs!F$9*Drivers!$G62 + Coeffs!F$10*Drivers!$H62)</f>
        <v>5.0746332870463853</v>
      </c>
      <c r="G61" s="147">
        <f xml:space="preserve"> EXP( Coeffs!G$13 + Coeffs!G$9*Drivers!$G62 + Coeffs!G$11*Drivers!$I62 + Coeffs!G$12*Drivers!$J62)</f>
        <v>6.3074946673243799</v>
      </c>
      <c r="H61" s="147">
        <f xml:space="preserve"> EXP( Coeffs!H$13 + Coeffs!H$7*Drivers!$E62 + Coeffs!H$9*Drivers!$G62 + Coeffs!H$10*Drivers!$H62 )</f>
        <v>21.23277182580523</v>
      </c>
      <c r="I61" s="147">
        <f xml:space="preserve"> EXP( Coeffs!I$13 + Coeffs!I$7*Drivers!$E62 + Coeffs!I$8*Drivers!$F62 + Coeffs!I$9*Drivers!$G62 + Coeffs!I$10*Drivers!$H62 )</f>
        <v>20.992924872142353</v>
      </c>
      <c r="J61" s="147">
        <f xml:space="preserve"> EXP( Coeffs!J$13 + Coeffs!J$7*Drivers!$E62 + Coeffs!J$8*Drivers!$F62 + Coeffs!J$9*Drivers!$G62 + Coeffs!J$11*Drivers!$I62 + Coeffs!$J$12*Drivers!$J62)</f>
        <v>24.885740247603973</v>
      </c>
      <c r="K61" s="180">
        <f>INDEX(Drivers!$C$2:$S$93, MATCH('Modelled costs'!$C61, Drivers!$C$2:$C$93, 0), MATCH('Modelled costs'!K$3, Drivers!$C$2:$S$2, 0))</f>
        <v>484.59</v>
      </c>
      <c r="M61" s="146">
        <f t="shared" si="7"/>
        <v>7.4274399650804765</v>
      </c>
      <c r="N61" s="146">
        <f t="shared" si="0"/>
        <v>7.4021236813002291</v>
      </c>
      <c r="O61" s="146">
        <f t="shared" si="1"/>
        <v>2.4591165445698078</v>
      </c>
      <c r="P61" s="146">
        <f t="shared" si="2"/>
        <v>3.0565488408387211</v>
      </c>
      <c r="Q61" s="146">
        <f t="shared" si="3"/>
        <v>10.289188899066957</v>
      </c>
      <c r="R61" s="146">
        <f t="shared" si="4"/>
        <v>10.172961463791461</v>
      </c>
      <c r="S61" s="146">
        <f t="shared" si="5"/>
        <v>12.059380866586409</v>
      </c>
    </row>
    <row r="62" spans="1:19">
      <c r="A62" s="115" t="s">
        <v>111</v>
      </c>
      <c r="B62" s="115">
        <v>2018</v>
      </c>
      <c r="C62" s="115" t="str">
        <f t="shared" si="6"/>
        <v>BRL18</v>
      </c>
      <c r="D62" s="147">
        <f>EXP(Coeffs!$D$13+(Coeffs!$D$6*Drivers!$D63)+(Coeffs!$D$7*Drivers!$E63))</f>
        <v>15.545882020891135</v>
      </c>
      <c r="E62" s="147">
        <f>EXP(Coeffs!E$13+(Coeffs!E$6*Drivers!$D63)+(Coeffs!E$7*Drivers!$E63)+(Coeffs!E$8*Drivers!$F63))</f>
        <v>15.478339410458052</v>
      </c>
      <c r="F62" s="147">
        <f xml:space="preserve"> EXP(Coeffs!F$13 + Coeffs!F$9*Drivers!$G63 + Coeffs!F$10*Drivers!$H63)</f>
        <v>5.1390339069632738</v>
      </c>
      <c r="G62" s="147">
        <f xml:space="preserve"> EXP( Coeffs!G$13 + Coeffs!G$9*Drivers!$G63 + Coeffs!G$11*Drivers!$I63 + Coeffs!G$12*Drivers!$J63)</f>
        <v>6.3866411089419639</v>
      </c>
      <c r="H62" s="147">
        <f xml:space="preserve"> EXP( Coeffs!H$13 + Coeffs!H$7*Drivers!$E63 + Coeffs!H$9*Drivers!$G63 + Coeffs!H$10*Drivers!$H63 )</f>
        <v>21.47971107670784</v>
      </c>
      <c r="I62" s="147">
        <f xml:space="preserve"> EXP( Coeffs!I$13 + Coeffs!I$7*Drivers!$E63 + Coeffs!I$8*Drivers!$F63 + Coeffs!I$9*Drivers!$G63 + Coeffs!I$10*Drivers!$H63 )</f>
        <v>21.283665335094565</v>
      </c>
      <c r="J62" s="147">
        <f xml:space="preserve"> EXP( Coeffs!J$13 + Coeffs!J$7*Drivers!$E63 + Coeffs!J$8*Drivers!$F63 + Coeffs!J$9*Drivers!$G63 + Coeffs!J$11*Drivers!$I63 + Coeffs!$J$12*Drivers!$J63)</f>
        <v>25.195547081215746</v>
      </c>
      <c r="K62" s="180">
        <f>INDEX(Drivers!$C$2:$S$93, MATCH('Modelled costs'!$C62, Drivers!$C$2:$C$93, 0), MATCH('Modelled costs'!K$3, Drivers!$C$2:$S$2, 0))</f>
        <v>489.95499999999998</v>
      </c>
      <c r="M62" s="146">
        <f t="shared" si="7"/>
        <v>7.6167826255457163</v>
      </c>
      <c r="N62" s="146">
        <f t="shared" si="0"/>
        <v>7.5836897858509751</v>
      </c>
      <c r="O62" s="146">
        <f t="shared" si="1"/>
        <v>2.5178953578861907</v>
      </c>
      <c r="P62" s="146">
        <f t="shared" si="2"/>
        <v>3.12916674453166</v>
      </c>
      <c r="Q62" s="146">
        <f t="shared" si="3"/>
        <v>10.524091840588389</v>
      </c>
      <c r="R62" s="146">
        <f t="shared" si="4"/>
        <v>10.428038249256257</v>
      </c>
      <c r="S62" s="146">
        <f t="shared" si="5"/>
        <v>12.34468427017706</v>
      </c>
    </row>
    <row r="63" spans="1:19">
      <c r="A63" s="115" t="s">
        <v>112</v>
      </c>
      <c r="B63" s="115">
        <v>2014</v>
      </c>
      <c r="C63" s="115" t="str">
        <f t="shared" si="6"/>
        <v>DVW14</v>
      </c>
      <c r="D63" s="147">
        <f>EXP(Coeffs!$D$13+(Coeffs!$D$6*Drivers!$D64)+(Coeffs!$D$7*Drivers!$E64))</f>
        <v>15.970318547167233</v>
      </c>
      <c r="E63" s="147">
        <f>EXP(Coeffs!E$13+(Coeffs!E$6*Drivers!$D64)+(Coeffs!E$7*Drivers!$E64)+(Coeffs!E$8*Drivers!$F64))</f>
        <v>17.023121772077417</v>
      </c>
      <c r="F63" s="147">
        <f xml:space="preserve"> EXP(Coeffs!F$13 + Coeffs!F$9*Drivers!$G64 + Coeffs!F$10*Drivers!$H64)</f>
        <v>5.5959506678677915</v>
      </c>
      <c r="G63" s="147">
        <f xml:space="preserve"> EXP( Coeffs!G$13 + Coeffs!G$9*Drivers!$G64 + Coeffs!G$11*Drivers!$I64 + Coeffs!G$12*Drivers!$J64)</f>
        <v>5.1418816234822975</v>
      </c>
      <c r="H63" s="147">
        <f xml:space="preserve"> EXP( Coeffs!H$13 + Coeffs!H$7*Drivers!$E64 + Coeffs!H$9*Drivers!$G64 + Coeffs!H$10*Drivers!$H64 )</f>
        <v>22.120411017497219</v>
      </c>
      <c r="I63" s="147">
        <f xml:space="preserve"> EXP( Coeffs!I$13 + Coeffs!I$7*Drivers!$E64 + Coeffs!I$8*Drivers!$F64 + Coeffs!I$9*Drivers!$G64 + Coeffs!I$10*Drivers!$H64 )</f>
        <v>24.748839666833462</v>
      </c>
      <c r="J63" s="147">
        <f xml:space="preserve"> EXP( Coeffs!J$13 + Coeffs!J$7*Drivers!$E64 + Coeffs!J$8*Drivers!$F64 + Coeffs!J$9*Drivers!$G64 + Coeffs!J$11*Drivers!$I64 + Coeffs!$J$12*Drivers!$J64)</f>
        <v>24.186123654210167</v>
      </c>
      <c r="K63" s="180">
        <f>INDEX(Drivers!$C$2:$S$93, MATCH('Modelled costs'!$C63, Drivers!$C$2:$C$93, 0), MATCH('Modelled costs'!K$3, Drivers!$C$2:$S$2, 0))</f>
        <v>113.51900000000001</v>
      </c>
      <c r="M63" s="146">
        <f t="shared" si="7"/>
        <v>1.8129345911558772</v>
      </c>
      <c r="N63" s="146">
        <f t="shared" si="0"/>
        <v>1.9324477604444565</v>
      </c>
      <c r="O63" s="146">
        <f t="shared" si="1"/>
        <v>0.63524672386568393</v>
      </c>
      <c r="P63" s="146">
        <f t="shared" si="2"/>
        <v>0.58370126001608702</v>
      </c>
      <c r="Q63" s="146">
        <f t="shared" si="3"/>
        <v>2.511086938295267</v>
      </c>
      <c r="R63" s="146">
        <f t="shared" si="4"/>
        <v>2.8094635301392681</v>
      </c>
      <c r="S63" s="146">
        <f t="shared" si="5"/>
        <v>2.7455845711022837</v>
      </c>
    </row>
    <row r="64" spans="1:19">
      <c r="A64" s="115" t="s">
        <v>112</v>
      </c>
      <c r="B64" s="115">
        <v>2015</v>
      </c>
      <c r="C64" s="115" t="str">
        <f t="shared" si="6"/>
        <v>DVW15</v>
      </c>
      <c r="D64" s="147">
        <f>EXP(Coeffs!$D$13+(Coeffs!$D$6*Drivers!$D65)+(Coeffs!$D$7*Drivers!$E65))</f>
        <v>16.12705539222052</v>
      </c>
      <c r="E64" s="147">
        <f>EXP(Coeffs!E$13+(Coeffs!E$6*Drivers!$D65)+(Coeffs!E$7*Drivers!$E65)+(Coeffs!E$8*Drivers!$F65))</f>
        <v>17.184644050781458</v>
      </c>
      <c r="F64" s="147">
        <f xml:space="preserve"> EXP(Coeffs!F$13 + Coeffs!F$9*Drivers!$G65 + Coeffs!F$10*Drivers!$H65)</f>
        <v>5.802445078501445</v>
      </c>
      <c r="G64" s="147">
        <f xml:space="preserve"> EXP( Coeffs!G$13 + Coeffs!G$9*Drivers!$G65 + Coeffs!G$11*Drivers!$I65 + Coeffs!G$12*Drivers!$J65)</f>
        <v>5.1803814478126124</v>
      </c>
      <c r="H64" s="147">
        <f xml:space="preserve"> EXP( Coeffs!H$13 + Coeffs!H$7*Drivers!$E65 + Coeffs!H$9*Drivers!$G65 + Coeffs!H$10*Drivers!$H65 )</f>
        <v>22.516388578961148</v>
      </c>
      <c r="I64" s="147">
        <f xml:space="preserve"> EXP( Coeffs!I$13 + Coeffs!I$7*Drivers!$E65 + Coeffs!I$8*Drivers!$F65 + Coeffs!I$9*Drivers!$G65 + Coeffs!I$10*Drivers!$H65 )</f>
        <v>25.323643471816006</v>
      </c>
      <c r="J64" s="147">
        <f xml:space="preserve"> EXP( Coeffs!J$13 + Coeffs!J$7*Drivers!$E65 + Coeffs!J$8*Drivers!$F65 + Coeffs!J$9*Drivers!$G65 + Coeffs!J$11*Drivers!$I65 + Coeffs!$J$12*Drivers!$J65)</f>
        <v>24.307964744950102</v>
      </c>
      <c r="K64" s="180">
        <f>INDEX(Drivers!$C$2:$S$93, MATCH('Modelled costs'!$C64, Drivers!$C$2:$C$93, 0), MATCH('Modelled costs'!K$3, Drivers!$C$2:$S$2, 0))</f>
        <v>113.598</v>
      </c>
      <c r="M64" s="146">
        <f t="shared" si="7"/>
        <v>1.8320012384454665</v>
      </c>
      <c r="N64" s="146">
        <f t="shared" si="0"/>
        <v>1.9521411948806719</v>
      </c>
      <c r="O64" s="146">
        <f t="shared" si="1"/>
        <v>0.65914615602760718</v>
      </c>
      <c r="P64" s="146">
        <f t="shared" si="2"/>
        <v>0.58848097170861713</v>
      </c>
      <c r="Q64" s="146">
        <f t="shared" si="3"/>
        <v>2.5578167097928288</v>
      </c>
      <c r="R64" s="146">
        <f t="shared" si="4"/>
        <v>2.8767152511113547</v>
      </c>
      <c r="S64" s="146">
        <f t="shared" si="5"/>
        <v>2.7613361790968418</v>
      </c>
    </row>
    <row r="65" spans="1:19">
      <c r="A65" s="115" t="s">
        <v>112</v>
      </c>
      <c r="B65" s="115">
        <v>2016</v>
      </c>
      <c r="C65" s="115" t="str">
        <f t="shared" si="6"/>
        <v>DVW16</v>
      </c>
      <c r="D65" s="147">
        <f>EXP(Coeffs!$D$13+(Coeffs!$D$6*Drivers!$D66)+(Coeffs!$D$7*Drivers!$E66))</f>
        <v>16.184719606132152</v>
      </c>
      <c r="E65" s="147">
        <f>EXP(Coeffs!E$13+(Coeffs!E$6*Drivers!$D66)+(Coeffs!E$7*Drivers!$E66)+(Coeffs!E$8*Drivers!$F66))</f>
        <v>17.24022655201356</v>
      </c>
      <c r="F65" s="147">
        <f xml:space="preserve"> EXP(Coeffs!F$13 + Coeffs!F$9*Drivers!$G66 + Coeffs!F$10*Drivers!$H66)</f>
        <v>5.2075442582007403</v>
      </c>
      <c r="G65" s="147">
        <f xml:space="preserve"> EXP( Coeffs!G$13 + Coeffs!G$9*Drivers!$G66 + Coeffs!G$11*Drivers!$I66 + Coeffs!G$12*Drivers!$J66)</f>
        <v>4.5227436487268333</v>
      </c>
      <c r="H65" s="147">
        <f xml:space="preserve"> EXP( Coeffs!H$13 + Coeffs!H$7*Drivers!$E66 + Coeffs!H$9*Drivers!$G66 + Coeffs!H$10*Drivers!$H66 )</f>
        <v>21.597891165068951</v>
      </c>
      <c r="I65" s="147">
        <f xml:space="preserve"> EXP( Coeffs!I$13 + Coeffs!I$7*Drivers!$E66 + Coeffs!I$8*Drivers!$F66 + Coeffs!I$9*Drivers!$G66 + Coeffs!I$10*Drivers!$H66 )</f>
        <v>24.13789391298431</v>
      </c>
      <c r="J65" s="147">
        <f xml:space="preserve"> EXP( Coeffs!J$13 + Coeffs!J$7*Drivers!$E66 + Coeffs!J$8*Drivers!$F66 + Coeffs!J$9*Drivers!$G66 + Coeffs!J$11*Drivers!$I66 + Coeffs!$J$12*Drivers!$J66)</f>
        <v>22.297227194535225</v>
      </c>
      <c r="K65" s="180">
        <f>INDEX(Drivers!$C$2:$S$93, MATCH('Modelled costs'!$C65, Drivers!$C$2:$C$93, 0), MATCH('Modelled costs'!K$3, Drivers!$C$2:$S$2, 0))</f>
        <v>114.163</v>
      </c>
      <c r="M65" s="146">
        <f t="shared" si="7"/>
        <v>1.8476961443948647</v>
      </c>
      <c r="N65" s="146">
        <f t="shared" si="0"/>
        <v>1.9681959838575238</v>
      </c>
      <c r="O65" s="146">
        <f t="shared" si="1"/>
        <v>0.59450887514897111</v>
      </c>
      <c r="P65" s="146">
        <f t="shared" si="2"/>
        <v>0.51632998316960144</v>
      </c>
      <c r="Q65" s="146">
        <f t="shared" si="3"/>
        <v>2.4656800490777666</v>
      </c>
      <c r="R65" s="146">
        <f t="shared" si="4"/>
        <v>2.7556543827880278</v>
      </c>
      <c r="S65" s="146">
        <f t="shared" si="5"/>
        <v>2.5455183482097246</v>
      </c>
    </row>
    <row r="66" spans="1:19">
      <c r="A66" s="115" t="s">
        <v>112</v>
      </c>
      <c r="B66" s="115">
        <v>2017</v>
      </c>
      <c r="C66" s="115" t="str">
        <f t="shared" si="6"/>
        <v>DVW17</v>
      </c>
      <c r="D66" s="147">
        <f>EXP(Coeffs!$D$13+(Coeffs!$D$6*Drivers!$D67)+(Coeffs!$D$7*Drivers!$E67))</f>
        <v>16.307046923848993</v>
      </c>
      <c r="E66" s="147">
        <f>EXP(Coeffs!E$13+(Coeffs!E$6*Drivers!$D67)+(Coeffs!E$7*Drivers!$E67)+(Coeffs!E$8*Drivers!$F67))</f>
        <v>17.358886364063348</v>
      </c>
      <c r="F66" s="147">
        <f xml:space="preserve"> EXP(Coeffs!F$13 + Coeffs!F$9*Drivers!$G67 + Coeffs!F$10*Drivers!$H67)</f>
        <v>5.1565280800985187</v>
      </c>
      <c r="G66" s="147">
        <f xml:space="preserve"> EXP( Coeffs!G$13 + Coeffs!G$9*Drivers!$G67 + Coeffs!G$11*Drivers!$I67 + Coeffs!G$12*Drivers!$J67)</f>
        <v>4.6616042451117625</v>
      </c>
      <c r="H66" s="147">
        <f xml:space="preserve"> EXP( Coeffs!H$13 + Coeffs!H$7*Drivers!$E67 + Coeffs!H$9*Drivers!$G67 + Coeffs!H$10*Drivers!$H67 )</f>
        <v>21.654200384746748</v>
      </c>
      <c r="I66" s="147">
        <f xml:space="preserve"> EXP( Coeffs!I$13 + Coeffs!I$7*Drivers!$E67 + Coeffs!I$8*Drivers!$F67 + Coeffs!I$9*Drivers!$G67 + Coeffs!I$10*Drivers!$H67 )</f>
        <v>24.103408641490017</v>
      </c>
      <c r="J66" s="147">
        <f xml:space="preserve"> EXP( Coeffs!J$13 + Coeffs!J$7*Drivers!$E67 + Coeffs!J$8*Drivers!$F67 + Coeffs!J$9*Drivers!$G67 + Coeffs!J$11*Drivers!$I67 + Coeffs!$J$12*Drivers!$J67)</f>
        <v>22.714049262963826</v>
      </c>
      <c r="K66" s="180">
        <f>INDEX(Drivers!$C$2:$S$93, MATCH('Modelled costs'!$C66, Drivers!$C$2:$C$93, 0), MATCH('Modelled costs'!K$3, Drivers!$C$2:$S$2, 0))</f>
        <v>115.25</v>
      </c>
      <c r="M66" s="146">
        <f t="shared" si="7"/>
        <v>1.8793871579735963</v>
      </c>
      <c r="N66" s="146">
        <f t="shared" si="0"/>
        <v>2.0006116534583009</v>
      </c>
      <c r="O66" s="146">
        <f t="shared" si="1"/>
        <v>0.5942898612313543</v>
      </c>
      <c r="P66" s="146">
        <f t="shared" si="2"/>
        <v>0.53724988924913064</v>
      </c>
      <c r="Q66" s="146">
        <f t="shared" si="3"/>
        <v>2.4956465943420629</v>
      </c>
      <c r="R66" s="146">
        <f t="shared" si="4"/>
        <v>2.7779178459317246</v>
      </c>
      <c r="S66" s="146">
        <f t="shared" si="5"/>
        <v>2.6177941775565809</v>
      </c>
    </row>
    <row r="67" spans="1:19">
      <c r="A67" s="115" t="s">
        <v>112</v>
      </c>
      <c r="B67" s="115">
        <v>2018</v>
      </c>
      <c r="C67" s="115" t="str">
        <f t="shared" si="6"/>
        <v>DVW18</v>
      </c>
      <c r="D67" s="147">
        <f>EXP(Coeffs!$D$13+(Coeffs!$D$6*Drivers!$D68)+(Coeffs!$D$7*Drivers!$E68))</f>
        <v>16.44912607211851</v>
      </c>
      <c r="E67" s="147">
        <f>EXP(Coeffs!E$13+(Coeffs!E$6*Drivers!$D68)+(Coeffs!E$7*Drivers!$E68)+(Coeffs!E$8*Drivers!$F68))</f>
        <v>17.498025805305979</v>
      </c>
      <c r="F67" s="147">
        <f xml:space="preserve"> EXP(Coeffs!F$13 + Coeffs!F$9*Drivers!$G68 + Coeffs!F$10*Drivers!$H68)</f>
        <v>5.189436799562527</v>
      </c>
      <c r="G67" s="147">
        <f xml:space="preserve"> EXP( Coeffs!G$13 + Coeffs!G$9*Drivers!$G68 + Coeffs!G$11*Drivers!$I68 + Coeffs!G$12*Drivers!$J68)</f>
        <v>4.6910209027426584</v>
      </c>
      <c r="H67" s="147">
        <f xml:space="preserve"> EXP( Coeffs!H$13 + Coeffs!H$7*Drivers!$E68 + Coeffs!H$9*Drivers!$G68 + Coeffs!H$10*Drivers!$H68 )</f>
        <v>21.795969024990772</v>
      </c>
      <c r="I67" s="147">
        <f xml:space="preserve"> EXP( Coeffs!I$13 + Coeffs!I$7*Drivers!$E68 + Coeffs!I$8*Drivers!$F68 + Coeffs!I$9*Drivers!$G68 + Coeffs!I$10*Drivers!$H68 )</f>
        <v>24.288490337604109</v>
      </c>
      <c r="J67" s="147">
        <f xml:space="preserve"> EXP( Coeffs!J$13 + Coeffs!J$7*Drivers!$E68 + Coeffs!J$8*Drivers!$F68 + Coeffs!J$9*Drivers!$G68 + Coeffs!J$11*Drivers!$I68 + Coeffs!$J$12*Drivers!$J68)</f>
        <v>22.863519369447523</v>
      </c>
      <c r="K67" s="180">
        <f>INDEX(Drivers!$C$2:$S$93, MATCH('Modelled costs'!$C67, Drivers!$C$2:$C$93, 0), MATCH('Modelled costs'!K$3, Drivers!$C$2:$S$2, 0))</f>
        <v>116.315</v>
      </c>
      <c r="M67" s="146">
        <f t="shared" si="7"/>
        <v>1.9132800990784646</v>
      </c>
      <c r="N67" s="146">
        <f t="shared" si="0"/>
        <v>2.0352828715441649</v>
      </c>
      <c r="O67" s="146">
        <f t="shared" si="1"/>
        <v>0.60360934134111532</v>
      </c>
      <c r="P67" s="146">
        <f t="shared" si="2"/>
        <v>0.54563609630251231</v>
      </c>
      <c r="Q67" s="146">
        <f t="shared" si="3"/>
        <v>2.5351981371418013</v>
      </c>
      <c r="R67" s="146">
        <f t="shared" si="4"/>
        <v>2.8251157536184222</v>
      </c>
      <c r="S67" s="146">
        <f t="shared" si="5"/>
        <v>2.6593702554572887</v>
      </c>
    </row>
    <row r="68" spans="1:19">
      <c r="A68" s="115" t="s">
        <v>113</v>
      </c>
      <c r="B68" s="115">
        <v>2014</v>
      </c>
      <c r="C68" s="115" t="str">
        <f t="shared" si="6"/>
        <v>PRT14</v>
      </c>
      <c r="D68" s="147">
        <f>EXP(Coeffs!$D$13+(Coeffs!$D$6*Drivers!$D69)+(Coeffs!$D$7*Drivers!$E69))</f>
        <v>13.385274519716592</v>
      </c>
      <c r="E68" s="147">
        <f>EXP(Coeffs!E$13+(Coeffs!E$6*Drivers!$D69)+(Coeffs!E$7*Drivers!$E69)+(Coeffs!E$8*Drivers!$F69))</f>
        <v>13.734979736490146</v>
      </c>
      <c r="F68" s="147">
        <f xml:space="preserve"> EXP(Coeffs!F$13 + Coeffs!F$9*Drivers!$G69 + Coeffs!F$10*Drivers!$H69)</f>
        <v>3.6513850053333665</v>
      </c>
      <c r="G68" s="147">
        <f xml:space="preserve"> EXP( Coeffs!G$13 + Coeffs!G$9*Drivers!$G69 + Coeffs!G$11*Drivers!$I69 + Coeffs!G$12*Drivers!$J69)</f>
        <v>3.0680400495967586</v>
      </c>
      <c r="H68" s="147">
        <f xml:space="preserve"> EXP( Coeffs!H$13 + Coeffs!H$7*Drivers!$E69 + Coeffs!H$9*Drivers!$G69 + Coeffs!H$10*Drivers!$H69 )</f>
        <v>17.062360854163767</v>
      </c>
      <c r="I68" s="147">
        <f xml:space="preserve"> EXP( Coeffs!I$13 + Coeffs!I$7*Drivers!$E69 + Coeffs!I$8*Drivers!$F69 + Coeffs!I$9*Drivers!$G69 + Coeffs!I$10*Drivers!$H69 )</f>
        <v>17.290708058268102</v>
      </c>
      <c r="J68" s="147">
        <f xml:space="preserve"> EXP( Coeffs!J$13 + Coeffs!J$7*Drivers!$E69 + Coeffs!J$8*Drivers!$F69 + Coeffs!J$9*Drivers!$G69 + Coeffs!J$11*Drivers!$I69 + Coeffs!$J$12*Drivers!$J69)</f>
        <v>15.994767262980231</v>
      </c>
      <c r="K68" s="180">
        <f>INDEX(Drivers!$C$2:$S$93, MATCH('Modelled costs'!$C68, Drivers!$C$2:$C$93, 0), MATCH('Modelled costs'!K$3, Drivers!$C$2:$S$2, 0))</f>
        <v>284.161</v>
      </c>
      <c r="M68" s="146">
        <f t="shared" si="7"/>
        <v>3.8035729927971866</v>
      </c>
      <c r="N68" s="146">
        <f t="shared" si="0"/>
        <v>3.9029455769007764</v>
      </c>
      <c r="O68" s="146">
        <f t="shared" si="1"/>
        <v>1.0375812145005348</v>
      </c>
      <c r="P68" s="146">
        <f t="shared" si="2"/>
        <v>0.87181732853346461</v>
      </c>
      <c r="Q68" s="146">
        <f t="shared" si="3"/>
        <v>4.8484575226800315</v>
      </c>
      <c r="R68" s="146">
        <f t="shared" si="4"/>
        <v>4.9133448925455223</v>
      </c>
      <c r="S68" s="146">
        <f t="shared" si="5"/>
        <v>4.5450890602157257</v>
      </c>
    </row>
    <row r="69" spans="1:19">
      <c r="A69" s="115" t="s">
        <v>113</v>
      </c>
      <c r="B69" s="115">
        <v>2015</v>
      </c>
      <c r="C69" s="115" t="str">
        <f t="shared" si="6"/>
        <v>PRT15</v>
      </c>
      <c r="D69" s="147">
        <f>EXP(Coeffs!$D$13+(Coeffs!$D$6*Drivers!$D70)+(Coeffs!$D$7*Drivers!$E70))</f>
        <v>13.525136102603785</v>
      </c>
      <c r="E69" s="147">
        <f>EXP(Coeffs!E$13+(Coeffs!E$6*Drivers!$D70)+(Coeffs!E$7*Drivers!$E70)+(Coeffs!E$8*Drivers!$F70))</f>
        <v>13.870501982431909</v>
      </c>
      <c r="F69" s="147">
        <f xml:space="preserve"> EXP(Coeffs!F$13 + Coeffs!F$9*Drivers!$G70 + Coeffs!F$10*Drivers!$H70)</f>
        <v>3.6875623101900494</v>
      </c>
      <c r="G69" s="147">
        <f xml:space="preserve"> EXP( Coeffs!G$13 + Coeffs!G$9*Drivers!$G70 + Coeffs!G$11*Drivers!$I70 + Coeffs!G$12*Drivers!$J70)</f>
        <v>3.1271265731175002</v>
      </c>
      <c r="H69" s="147">
        <f xml:space="preserve"> EXP( Coeffs!H$13 + Coeffs!H$7*Drivers!$E70 + Coeffs!H$9*Drivers!$G70 + Coeffs!H$10*Drivers!$H70 )</f>
        <v>17.224542383874532</v>
      </c>
      <c r="I69" s="147">
        <f xml:space="preserve"> EXP( Coeffs!I$13 + Coeffs!I$7*Drivers!$E70 + Coeffs!I$8*Drivers!$F70 + Coeffs!I$9*Drivers!$G70 + Coeffs!I$10*Drivers!$H70 )</f>
        <v>17.469874245671555</v>
      </c>
      <c r="J69" s="147">
        <f xml:space="preserve"> EXP( Coeffs!J$13 + Coeffs!J$7*Drivers!$E70 + Coeffs!J$8*Drivers!$F70 + Coeffs!J$9*Drivers!$G70 + Coeffs!J$11*Drivers!$I70 + Coeffs!$J$12*Drivers!$J70)</f>
        <v>16.232083650096815</v>
      </c>
      <c r="K69" s="180">
        <f>INDEX(Drivers!$C$2:$S$93, MATCH('Modelled costs'!$C69, Drivers!$C$2:$C$93, 0), MATCH('Modelled costs'!K$3, Drivers!$C$2:$S$2, 0))</f>
        <v>285.77699999999999</v>
      </c>
      <c r="M69" s="146">
        <f t="shared" si="7"/>
        <v>3.8651728199938016</v>
      </c>
      <c r="N69" s="146">
        <f t="shared" ref="N69:N92" si="8" xml:space="preserve"> E69 *$K69 * 1000 / 1000000</f>
        <v>3.9638704450334434</v>
      </c>
      <c r="O69" s="146">
        <f t="shared" ref="O69:O92" si="9" xml:space="preserve"> F69 *$K69 * 1000 / 1000000</f>
        <v>1.0538204943191816</v>
      </c>
      <c r="P69" s="146">
        <f t="shared" ref="P69:P92" si="10" xml:space="preserve"> G69 *$K69 * 1000 / 1000000</f>
        <v>0.89366085068579981</v>
      </c>
      <c r="Q69" s="146">
        <f t="shared" ref="Q69:Q92" si="11" xml:space="preserve"> H69 *$K69 * 1000 / 1000000</f>
        <v>4.9223780488365119</v>
      </c>
      <c r="R69" s="146">
        <f t="shared" ref="R69:R92" si="12" xml:space="preserve"> I69 *$K69 * 1000 / 1000000</f>
        <v>4.9924882523052805</v>
      </c>
      <c r="S69" s="146">
        <f t="shared" ref="S69:S92" si="13" xml:space="preserve"> J69 *$K69 * 1000 / 1000000</f>
        <v>4.6387561692737176</v>
      </c>
    </row>
    <row r="70" spans="1:19">
      <c r="A70" s="115" t="s">
        <v>113</v>
      </c>
      <c r="B70" s="115">
        <v>2016</v>
      </c>
      <c r="C70" s="115" t="str">
        <f t="shared" ref="C70:C92" si="14">A70&amp;RIGHT(B70,2)</f>
        <v>PRT16</v>
      </c>
      <c r="D70" s="147">
        <f>EXP(Coeffs!$D$13+(Coeffs!$D$6*Drivers!$D71)+(Coeffs!$D$7*Drivers!$E71))</f>
        <v>13.663216712846523</v>
      </c>
      <c r="E70" s="147">
        <f>EXP(Coeffs!E$13+(Coeffs!E$6*Drivers!$D71)+(Coeffs!E$7*Drivers!$E71)+(Coeffs!E$8*Drivers!$F71))</f>
        <v>14.001240317972679</v>
      </c>
      <c r="F70" s="147">
        <f xml:space="preserve"> EXP(Coeffs!F$13 + Coeffs!F$9*Drivers!$G71 + Coeffs!F$10*Drivers!$H71)</f>
        <v>3.6215229018114616</v>
      </c>
      <c r="G70" s="147">
        <f xml:space="preserve"> EXP( Coeffs!G$13 + Coeffs!G$9*Drivers!$G71 + Coeffs!G$11*Drivers!$I71 + Coeffs!G$12*Drivers!$J71)</f>
        <v>3.1416756678141833</v>
      </c>
      <c r="H70" s="147">
        <f xml:space="preserve"> EXP( Coeffs!H$13 + Coeffs!H$7*Drivers!$E71 + Coeffs!H$9*Drivers!$G71 + Coeffs!H$10*Drivers!$H71 )</f>
        <v>17.206937017405796</v>
      </c>
      <c r="I70" s="147">
        <f xml:space="preserve"> EXP( Coeffs!I$13 + Coeffs!I$7*Drivers!$E71 + Coeffs!I$8*Drivers!$F71 + Coeffs!I$9*Drivers!$G71 + Coeffs!I$10*Drivers!$H71 )</f>
        <v>17.413976574018069</v>
      </c>
      <c r="J70" s="147">
        <f xml:space="preserve"> EXP( Coeffs!J$13 + Coeffs!J$7*Drivers!$E71 + Coeffs!J$8*Drivers!$F71 + Coeffs!J$9*Drivers!$G71 + Coeffs!J$11*Drivers!$I71 + Coeffs!$J$12*Drivers!$J71)</f>
        <v>16.337778837145329</v>
      </c>
      <c r="K70" s="180">
        <f>INDEX(Drivers!$C$2:$S$93, MATCH('Modelled costs'!$C70, Drivers!$C$2:$C$93, 0), MATCH('Modelled costs'!K$3, Drivers!$C$2:$S$2, 0))</f>
        <v>288.66500000000002</v>
      </c>
      <c r="M70" s="146">
        <f t="shared" ref="M70:M92" si="15" xml:space="preserve"> D70 *$K70 * 1000 / 1000000</f>
        <v>3.9440924524138414</v>
      </c>
      <c r="N70" s="146">
        <f t="shared" si="8"/>
        <v>4.0416680363875832</v>
      </c>
      <c r="O70" s="146">
        <f t="shared" si="9"/>
        <v>1.0454069084514055</v>
      </c>
      <c r="P70" s="146">
        <f t="shared" si="10"/>
        <v>0.90689180664958124</v>
      </c>
      <c r="Q70" s="146">
        <f t="shared" si="11"/>
        <v>4.967040474129444</v>
      </c>
      <c r="R70" s="146">
        <f t="shared" si="12"/>
        <v>5.0268055477389266</v>
      </c>
      <c r="S70" s="146">
        <f xml:space="preserve"> J70 *$K70 * 1000 / 1000000</f>
        <v>4.7161449280245575</v>
      </c>
    </row>
    <row r="71" spans="1:19">
      <c r="A71" s="115" t="s">
        <v>113</v>
      </c>
      <c r="B71" s="115">
        <v>2017</v>
      </c>
      <c r="C71" s="115" t="str">
        <f t="shared" si="14"/>
        <v>PRT17</v>
      </c>
      <c r="D71" s="147">
        <f>EXP(Coeffs!$D$13+(Coeffs!$D$6*Drivers!$D72)+(Coeffs!$D$7*Drivers!$E72))</f>
        <v>13.789527405707064</v>
      </c>
      <c r="E71" s="147">
        <f>EXP(Coeffs!E$13+(Coeffs!E$6*Drivers!$D72)+(Coeffs!E$7*Drivers!$E72)+(Coeffs!E$8*Drivers!$F72))</f>
        <v>14.120511985465278</v>
      </c>
      <c r="F71" s="147">
        <f xml:space="preserve"> EXP(Coeffs!F$13 + Coeffs!F$9*Drivers!$G72 + Coeffs!F$10*Drivers!$H72)</f>
        <v>3.4519664179271854</v>
      </c>
      <c r="G71" s="147">
        <f xml:space="preserve"> EXP( Coeffs!G$13 + Coeffs!G$9*Drivers!$G72 + Coeffs!G$11*Drivers!$I72 + Coeffs!G$12*Drivers!$J72)</f>
        <v>3.1761295001060406</v>
      </c>
      <c r="H71" s="147">
        <f xml:space="preserve"> EXP( Coeffs!H$13 + Coeffs!H$7*Drivers!$E72 + Coeffs!H$9*Drivers!$G72 + Coeffs!H$10*Drivers!$H72 )</f>
        <v>17.022256008558973</v>
      </c>
      <c r="I71" s="147">
        <f xml:space="preserve"> EXP( Coeffs!I$13 + Coeffs!I$7*Drivers!$E72 + Coeffs!I$8*Drivers!$F72 + Coeffs!I$9*Drivers!$G72 + Coeffs!I$10*Drivers!$H72 )</f>
        <v>17.098581724780946</v>
      </c>
      <c r="J71" s="147">
        <f xml:space="preserve"> EXP( Coeffs!J$13 + Coeffs!J$7*Drivers!$E72 + Coeffs!J$8*Drivers!$F72 + Coeffs!J$9*Drivers!$G72 + Coeffs!J$11*Drivers!$I72 + Coeffs!$J$12*Drivers!$J72)</f>
        <v>16.491188651718502</v>
      </c>
      <c r="K71" s="180">
        <f>INDEX(Drivers!$C$2:$S$93, MATCH('Modelled costs'!$C71, Drivers!$C$2:$C$93, 0), MATCH('Modelled costs'!K$3, Drivers!$C$2:$S$2, 0))</f>
        <v>291.40899999999999</v>
      </c>
      <c r="M71" s="146">
        <f t="shared" si="15"/>
        <v>4.01839239176969</v>
      </c>
      <c r="N71" s="146">
        <f t="shared" si="8"/>
        <v>4.1148442771724509</v>
      </c>
      <c r="O71" s="146">
        <f t="shared" si="9"/>
        <v>1.005934081881743</v>
      </c>
      <c r="P71" s="146">
        <f t="shared" si="10"/>
        <v>0.92555272149640111</v>
      </c>
      <c r="Q71" s="146">
        <f t="shared" si="11"/>
        <v>4.9604386011981614</v>
      </c>
      <c r="R71" s="146">
        <f t="shared" si="12"/>
        <v>4.9826806018366909</v>
      </c>
      <c r="S71" s="146">
        <f xml:space="preserve"> J71 *$K71 * 1000 / 1000000</f>
        <v>4.8056807938086372</v>
      </c>
    </row>
    <row r="72" spans="1:19">
      <c r="A72" s="115" t="s">
        <v>113</v>
      </c>
      <c r="B72" s="115">
        <v>2018</v>
      </c>
      <c r="C72" s="115" t="str">
        <f t="shared" si="14"/>
        <v>PRT18</v>
      </c>
      <c r="D72" s="147">
        <f>EXP(Coeffs!$D$13+(Coeffs!$D$6*Drivers!$D73)+(Coeffs!$D$7*Drivers!$E73))</f>
        <v>13.904100167413576</v>
      </c>
      <c r="E72" s="147">
        <f>EXP(Coeffs!E$13+(Coeffs!E$6*Drivers!$D73)+(Coeffs!E$7*Drivers!$E73)+(Coeffs!E$8*Drivers!$F73))</f>
        <v>14.229651501830139</v>
      </c>
      <c r="F72" s="147">
        <f xml:space="preserve"> EXP(Coeffs!F$13 + Coeffs!F$9*Drivers!$G73 + Coeffs!F$10*Drivers!$H73)</f>
        <v>3.3463730135706635</v>
      </c>
      <c r="G72" s="147">
        <f xml:space="preserve"> EXP( Coeffs!G$13 + Coeffs!G$9*Drivers!$G73 + Coeffs!G$11*Drivers!$I73 + Coeffs!G$12*Drivers!$J73)</f>
        <v>3.0800428158188882</v>
      </c>
      <c r="H72" s="147">
        <f xml:space="preserve"> EXP( Coeffs!H$13 + Coeffs!H$7*Drivers!$E73 + Coeffs!H$9*Drivers!$G73 + Coeffs!H$10*Drivers!$H73 )</f>
        <v>16.870479756960325</v>
      </c>
      <c r="I72" s="147">
        <f xml:space="preserve"> EXP( Coeffs!I$13 + Coeffs!I$7*Drivers!$E73 + Coeffs!I$8*Drivers!$F73 + Coeffs!I$9*Drivers!$G73 + Coeffs!I$10*Drivers!$H73 )</f>
        <v>16.935144220787187</v>
      </c>
      <c r="J72" s="147">
        <f xml:space="preserve"> EXP( Coeffs!J$13 + Coeffs!J$7*Drivers!$E73 + Coeffs!J$8*Drivers!$F73 + Coeffs!J$9*Drivers!$G73 + Coeffs!J$11*Drivers!$I73 + Coeffs!$J$12*Drivers!$J73)</f>
        <v>16.279042382718874</v>
      </c>
      <c r="K72" s="180">
        <f>INDEX(Drivers!$C$2:$S$93, MATCH('Modelled costs'!$C72, Drivers!$C$2:$C$93, 0), MATCH('Modelled costs'!K$3, Drivers!$C$2:$S$2, 0))</f>
        <v>293.45</v>
      </c>
      <c r="M72" s="146">
        <f t="shared" si="15"/>
        <v>4.0801581941275131</v>
      </c>
      <c r="N72" s="146">
        <f t="shared" si="8"/>
        <v>4.1756912332120537</v>
      </c>
      <c r="O72" s="146">
        <f t="shared" si="9"/>
        <v>0.98199316083231125</v>
      </c>
      <c r="P72" s="146">
        <f t="shared" si="10"/>
        <v>0.90383856430205256</v>
      </c>
      <c r="Q72" s="146">
        <f t="shared" si="11"/>
        <v>4.9506422846800069</v>
      </c>
      <c r="R72" s="146">
        <f t="shared" si="12"/>
        <v>4.9696180715900002</v>
      </c>
      <c r="S72" s="146">
        <f xml:space="preserve"> J72 *$K72 * 1000 / 1000000</f>
        <v>4.7770849872088537</v>
      </c>
    </row>
    <row r="73" spans="1:19">
      <c r="A73" s="115" t="s">
        <v>200</v>
      </c>
      <c r="B73" s="115">
        <v>2014</v>
      </c>
      <c r="C73" s="115" t="str">
        <f t="shared" si="14"/>
        <v>BWH14</v>
      </c>
      <c r="D73" s="147">
        <f>EXP(Coeffs!$D$13+(Coeffs!$D$6*Drivers!$D74)+(Coeffs!$D$7*Drivers!$E74))</f>
        <v>16.685406780751542</v>
      </c>
      <c r="E73" s="147">
        <f>EXP(Coeffs!E$13+(Coeffs!E$6*Drivers!$D74)+(Coeffs!E$7*Drivers!$E74)+(Coeffs!E$8*Drivers!$F74))</f>
        <v>17.353612169681245</v>
      </c>
      <c r="F73" s="147">
        <f xml:space="preserve"> EXP(Coeffs!F$13 + Coeffs!F$9*Drivers!$G74 + Coeffs!F$10*Drivers!$H74)</f>
        <v>4.6430191043177391</v>
      </c>
      <c r="G73" s="147">
        <f xml:space="preserve"> EXP( Coeffs!G$13 + Coeffs!G$9*Drivers!$G74 + Coeffs!G$11*Drivers!$I74 + Coeffs!G$12*Drivers!$J74)</f>
        <v>5.2097398312799017</v>
      </c>
      <c r="H73" s="147">
        <f xml:space="preserve"> EXP( Coeffs!H$13 + Coeffs!H$7*Drivers!$E74 + Coeffs!H$9*Drivers!$G74 + Coeffs!H$10*Drivers!$H74 )</f>
        <v>21.358163398281093</v>
      </c>
      <c r="I73" s="147">
        <f xml:space="preserve"> EXP( Coeffs!I$13 + Coeffs!I$7*Drivers!$E74 + Coeffs!I$8*Drivers!$F74 + Coeffs!I$9*Drivers!$G74 + Coeffs!I$10*Drivers!$H74 )</f>
        <v>22.496570985801718</v>
      </c>
      <c r="J73" s="147">
        <f xml:space="preserve"> EXP( Coeffs!J$13 + Coeffs!J$7*Drivers!$E74 + Coeffs!J$8*Drivers!$F74 + Coeffs!J$9*Drivers!$G74 + Coeffs!J$11*Drivers!$I74 + Coeffs!$J$12*Drivers!$J74)</f>
        <v>24.983222945318854</v>
      </c>
      <c r="K73" s="180">
        <f>INDEX(Drivers!$C$2:$S$93, MATCH('Modelled costs'!$C73, Drivers!$C$2:$C$93, 0), MATCH('Modelled costs'!K$3, Drivers!$C$2:$S$2, 0))</f>
        <v>185.911</v>
      </c>
      <c r="M73" s="146">
        <f t="shared" si="15"/>
        <v>3.1020006600163001</v>
      </c>
      <c r="N73" s="146">
        <f t="shared" si="8"/>
        <v>3.2262273920776106</v>
      </c>
      <c r="O73" s="146">
        <f t="shared" si="9"/>
        <v>0.86318832470281515</v>
      </c>
      <c r="P73" s="146">
        <f t="shared" si="10"/>
        <v>0.96854794177307779</v>
      </c>
      <c r="Q73" s="146">
        <f t="shared" si="11"/>
        <v>3.970717515537836</v>
      </c>
      <c r="R73" s="146">
        <f t="shared" si="12"/>
        <v>4.1823600085413828</v>
      </c>
      <c r="S73" s="146">
        <f t="shared" si="13"/>
        <v>4.6446559609871736</v>
      </c>
    </row>
    <row r="74" spans="1:19">
      <c r="A74" s="115" t="s">
        <v>200</v>
      </c>
      <c r="B74" s="115">
        <v>2015</v>
      </c>
      <c r="C74" s="115" t="str">
        <f t="shared" si="14"/>
        <v>BWH15</v>
      </c>
      <c r="D74" s="147">
        <f>EXP(Coeffs!$D$13+(Coeffs!$D$6*Drivers!$D75)+(Coeffs!$D$7*Drivers!$E75))</f>
        <v>16.846242778306642</v>
      </c>
      <c r="E74" s="147">
        <f>EXP(Coeffs!E$13+(Coeffs!E$6*Drivers!$D75)+(Coeffs!E$7*Drivers!$E75)+(Coeffs!E$8*Drivers!$F75))</f>
        <v>17.513197941814358</v>
      </c>
      <c r="F74" s="147">
        <f xml:space="preserve"> EXP(Coeffs!F$13 + Coeffs!F$9*Drivers!$G75 + Coeffs!F$10*Drivers!$H75)</f>
        <v>4.6240199332988894</v>
      </c>
      <c r="G74" s="147">
        <f xml:space="preserve"> EXP( Coeffs!G$13 + Coeffs!G$9*Drivers!$G75 + Coeffs!G$11*Drivers!$I75 + Coeffs!G$12*Drivers!$J75)</f>
        <v>5.2363376760675751</v>
      </c>
      <c r="H74" s="147">
        <f xml:space="preserve"> EXP( Coeffs!H$13 + Coeffs!H$7*Drivers!$E75 + Coeffs!H$9*Drivers!$G75 + Coeffs!H$10*Drivers!$H75 )</f>
        <v>21.429622611155672</v>
      </c>
      <c r="I74" s="147">
        <f xml:space="preserve"> EXP( Coeffs!I$13 + Coeffs!I$7*Drivers!$E75 + Coeffs!I$8*Drivers!$F75 + Coeffs!I$9*Drivers!$G75 + Coeffs!I$10*Drivers!$H75 )</f>
        <v>22.577409349853291</v>
      </c>
      <c r="J74" s="147">
        <f xml:space="preserve"> EXP( Coeffs!J$13 + Coeffs!J$7*Drivers!$E75 + Coeffs!J$8*Drivers!$F75 + Coeffs!J$9*Drivers!$G75 + Coeffs!J$11*Drivers!$I75 + Coeffs!$J$12*Drivers!$J75)</f>
        <v>25.168805836429232</v>
      </c>
      <c r="K74" s="180">
        <f>INDEX(Drivers!$C$2:$S$93, MATCH('Modelled costs'!$C74, Drivers!$C$2:$C$93, 0), MATCH('Modelled costs'!K$3, Drivers!$C$2:$S$2, 0))</f>
        <v>186.52</v>
      </c>
      <c r="M74" s="146">
        <f t="shared" si="15"/>
        <v>3.142161203009755</v>
      </c>
      <c r="N74" s="146">
        <f t="shared" si="8"/>
        <v>3.2665616801072139</v>
      </c>
      <c r="O74" s="146">
        <f t="shared" si="9"/>
        <v>0.86247219795890884</v>
      </c>
      <c r="P74" s="146">
        <f t="shared" si="10"/>
        <v>0.97668170334012405</v>
      </c>
      <c r="Q74" s="146">
        <f t="shared" si="11"/>
        <v>3.9970532094327567</v>
      </c>
      <c r="R74" s="146">
        <f t="shared" si="12"/>
        <v>4.2111383919346359</v>
      </c>
      <c r="S74" s="146">
        <f t="shared" si="13"/>
        <v>4.6944856646107809</v>
      </c>
    </row>
    <row r="75" spans="1:19">
      <c r="A75" s="115" t="s">
        <v>200</v>
      </c>
      <c r="B75" s="115">
        <v>2016</v>
      </c>
      <c r="C75" s="115" t="str">
        <f t="shared" si="14"/>
        <v>BWH16</v>
      </c>
      <c r="D75" s="147">
        <f>EXP(Coeffs!$D$13+(Coeffs!$D$6*Drivers!$D76)+(Coeffs!$D$7*Drivers!$E76))</f>
        <v>17.051511296193407</v>
      </c>
      <c r="E75" s="147">
        <f>EXP(Coeffs!E$13+(Coeffs!E$6*Drivers!$D76)+(Coeffs!E$7*Drivers!$E76)+(Coeffs!E$8*Drivers!$F76))</f>
        <v>17.718877668245504</v>
      </c>
      <c r="F75" s="147">
        <f xml:space="preserve"> EXP(Coeffs!F$13 + Coeffs!F$9*Drivers!$G76 + Coeffs!F$10*Drivers!$H76)</f>
        <v>3.6626431700224429</v>
      </c>
      <c r="G75" s="147">
        <f xml:space="preserve"> EXP( Coeffs!G$13 + Coeffs!G$9*Drivers!$G76 + Coeffs!G$11*Drivers!$I76 + Coeffs!G$12*Drivers!$J76)</f>
        <v>4.2547616992785207</v>
      </c>
      <c r="H75" s="147">
        <f xml:space="preserve"> EXP( Coeffs!H$13 + Coeffs!H$7*Drivers!$E76 + Coeffs!H$9*Drivers!$G76 + Coeffs!H$10*Drivers!$H76 )</f>
        <v>19.623881406226701</v>
      </c>
      <c r="I75" s="147">
        <f xml:space="preserve"> EXP( Coeffs!I$13 + Coeffs!I$7*Drivers!$E76 + Coeffs!I$8*Drivers!$F76 + Coeffs!I$9*Drivers!$G76 + Coeffs!I$10*Drivers!$H76 )</f>
        <v>20.429187692671672</v>
      </c>
      <c r="J75" s="147">
        <f xml:space="preserve"> EXP( Coeffs!J$13 + Coeffs!J$7*Drivers!$E76 + Coeffs!J$8*Drivers!$F76 + Coeffs!J$9*Drivers!$G76 + Coeffs!J$11*Drivers!$I76 + Coeffs!$J$12*Drivers!$J76)</f>
        <v>22.691036082384212</v>
      </c>
      <c r="K75" s="180">
        <f>INDEX(Drivers!$C$2:$S$93, MATCH('Modelled costs'!$C75, Drivers!$C$2:$C$93, 0), MATCH('Modelled costs'!K$3, Drivers!$C$2:$S$2, 0))</f>
        <v>186.82</v>
      </c>
      <c r="M75" s="146">
        <f t="shared" si="15"/>
        <v>3.1855633403548524</v>
      </c>
      <c r="N75" s="146">
        <f t="shared" si="8"/>
        <v>3.3102407259816249</v>
      </c>
      <c r="O75" s="146">
        <f t="shared" si="9"/>
        <v>0.68425499702359271</v>
      </c>
      <c r="P75" s="146">
        <f t="shared" si="10"/>
        <v>0.79487458065921313</v>
      </c>
      <c r="Q75" s="146">
        <f t="shared" si="11"/>
        <v>3.666133524311272</v>
      </c>
      <c r="R75" s="146">
        <f t="shared" si="12"/>
        <v>3.8165808447449217</v>
      </c>
      <c r="S75" s="146">
        <f t="shared" si="13"/>
        <v>4.2391393609110182</v>
      </c>
    </row>
    <row r="76" spans="1:19">
      <c r="A76" s="115" t="s">
        <v>114</v>
      </c>
      <c r="B76" s="115">
        <v>2014</v>
      </c>
      <c r="C76" s="115" t="str">
        <f t="shared" si="14"/>
        <v>SES14</v>
      </c>
      <c r="D76" s="147">
        <f>EXP(Coeffs!$D$13+(Coeffs!$D$6*Drivers!$D77)+(Coeffs!$D$7*Drivers!$E77))</f>
        <v>14.872968543422793</v>
      </c>
      <c r="E76" s="147">
        <f>EXP(Coeffs!E$13+(Coeffs!E$6*Drivers!$D77)+(Coeffs!E$7*Drivers!$E77)+(Coeffs!E$8*Drivers!$F77))</f>
        <v>15.275188996174014</v>
      </c>
      <c r="F76" s="147">
        <f xml:space="preserve"> EXP(Coeffs!F$13 + Coeffs!F$9*Drivers!$G77 + Coeffs!F$10*Drivers!$H77)</f>
        <v>5.6088323510295384</v>
      </c>
      <c r="G76" s="147">
        <f xml:space="preserve"> EXP( Coeffs!G$13 + Coeffs!G$9*Drivers!$G77 + Coeffs!G$11*Drivers!$I77 + Coeffs!G$12*Drivers!$J77)</f>
        <v>5.6632069195802606</v>
      </c>
      <c r="H76" s="147">
        <f xml:space="preserve"> EXP( Coeffs!H$13 + Coeffs!H$7*Drivers!$E77 + Coeffs!H$9*Drivers!$G77 + Coeffs!H$10*Drivers!$H77 )</f>
        <v>21.930987026554959</v>
      </c>
      <c r="I76" s="147">
        <f xml:space="preserve"> EXP( Coeffs!I$13 + Coeffs!I$7*Drivers!$E77 + Coeffs!I$8*Drivers!$F77 + Coeffs!I$9*Drivers!$G77 + Coeffs!I$10*Drivers!$H77 )</f>
        <v>22.384456420236283</v>
      </c>
      <c r="J76" s="147">
        <f xml:space="preserve"> EXP( Coeffs!J$13 + Coeffs!J$7*Drivers!$E77 + Coeffs!J$8*Drivers!$F77 + Coeffs!J$9*Drivers!$G77 + Coeffs!J$11*Drivers!$I77 + Coeffs!$J$12*Drivers!$J77)</f>
        <v>22.16529787268578</v>
      </c>
      <c r="K76" s="180">
        <f>INDEX(Drivers!$C$2:$S$93, MATCH('Modelled costs'!$C76, Drivers!$C$2:$C$93, 0), MATCH('Modelled costs'!K$3, Drivers!$C$2:$S$2, 0))</f>
        <v>260.93900000000002</v>
      </c>
      <c r="M76" s="146">
        <f t="shared" si="15"/>
        <v>3.8809375387522005</v>
      </c>
      <c r="N76" s="146">
        <f t="shared" si="8"/>
        <v>3.9858925414726514</v>
      </c>
      <c r="O76" s="146">
        <f t="shared" si="9"/>
        <v>1.4635631048452968</v>
      </c>
      <c r="P76" s="146">
        <f t="shared" si="10"/>
        <v>1.4777515503883536</v>
      </c>
      <c r="Q76" s="146">
        <f t="shared" si="11"/>
        <v>5.7226498237222243</v>
      </c>
      <c r="R76" s="146">
        <f t="shared" si="12"/>
        <v>5.8409776738400359</v>
      </c>
      <c r="S76" s="146">
        <f t="shared" si="13"/>
        <v>5.7837906616007544</v>
      </c>
    </row>
    <row r="77" spans="1:19">
      <c r="A77" s="115" t="s">
        <v>114</v>
      </c>
      <c r="B77" s="115">
        <v>2015</v>
      </c>
      <c r="C77" s="115" t="str">
        <f t="shared" si="14"/>
        <v>SES15</v>
      </c>
      <c r="D77" s="147">
        <f>EXP(Coeffs!$D$13+(Coeffs!$D$6*Drivers!$D78)+(Coeffs!$D$7*Drivers!$E78))</f>
        <v>15.105836828649531</v>
      </c>
      <c r="E77" s="147">
        <f>EXP(Coeffs!E$13+(Coeffs!E$6*Drivers!$D78)+(Coeffs!E$7*Drivers!$E78)+(Coeffs!E$8*Drivers!$F78))</f>
        <v>15.503164499555171</v>
      </c>
      <c r="F77" s="147">
        <f xml:space="preserve"> EXP(Coeffs!F$13 + Coeffs!F$9*Drivers!$G78 + Coeffs!F$10*Drivers!$H78)</f>
        <v>5.584497877774055</v>
      </c>
      <c r="G77" s="147">
        <f xml:space="preserve"> EXP( Coeffs!G$13 + Coeffs!G$9*Drivers!$G78 + Coeffs!G$11*Drivers!$I78 + Coeffs!G$12*Drivers!$J78)</f>
        <v>5.6886228775689442</v>
      </c>
      <c r="H77" s="147">
        <f xml:space="preserve"> EXP( Coeffs!H$13 + Coeffs!H$7*Drivers!$E78 + Coeffs!H$9*Drivers!$G78 + Coeffs!H$10*Drivers!$H78 )</f>
        <v>22.061289580685521</v>
      </c>
      <c r="I77" s="147">
        <f xml:space="preserve"> EXP( Coeffs!I$13 + Coeffs!I$7*Drivers!$E78 + Coeffs!I$8*Drivers!$F78 + Coeffs!I$9*Drivers!$G78 + Coeffs!I$10*Drivers!$H78 )</f>
        <v>22.540983489760968</v>
      </c>
      <c r="J77" s="147">
        <f xml:space="preserve"> EXP( Coeffs!J$13 + Coeffs!J$7*Drivers!$E78 + Coeffs!J$8*Drivers!$F78 + Coeffs!J$9*Drivers!$G78 + Coeffs!J$11*Drivers!$I78 + Coeffs!$J$12*Drivers!$J78)</f>
        <v>22.380694262659027</v>
      </c>
      <c r="K77" s="180">
        <f>INDEX(Drivers!$C$2:$S$93, MATCH('Modelled costs'!$C77, Drivers!$C$2:$C$93, 0), MATCH('Modelled costs'!K$3, Drivers!$C$2:$S$2, 0))</f>
        <v>262.38299999999998</v>
      </c>
      <c r="M77" s="146">
        <f t="shared" si="15"/>
        <v>3.9635147846115495</v>
      </c>
      <c r="N77" s="146">
        <f t="shared" si="8"/>
        <v>4.0677668108867842</v>
      </c>
      <c r="O77" s="146">
        <f t="shared" si="9"/>
        <v>1.4652773066639897</v>
      </c>
      <c r="P77" s="146">
        <f t="shared" si="10"/>
        <v>1.492597936485172</v>
      </c>
      <c r="Q77" s="146">
        <f t="shared" si="11"/>
        <v>5.7885073440490089</v>
      </c>
      <c r="R77" s="146">
        <f t="shared" si="12"/>
        <v>5.9143708709939524</v>
      </c>
      <c r="S77" s="146">
        <f t="shared" si="13"/>
        <v>5.8723137027192633</v>
      </c>
    </row>
    <row r="78" spans="1:19">
      <c r="A78" s="115" t="s">
        <v>114</v>
      </c>
      <c r="B78" s="115">
        <v>2016</v>
      </c>
      <c r="C78" s="115" t="str">
        <f t="shared" si="14"/>
        <v>SES16</v>
      </c>
      <c r="D78" s="147">
        <f>EXP(Coeffs!$D$13+(Coeffs!$D$6*Drivers!$D79)+(Coeffs!$D$7*Drivers!$E79))</f>
        <v>15.336741654942507</v>
      </c>
      <c r="E78" s="147">
        <f>EXP(Coeffs!E$13+(Coeffs!E$6*Drivers!$D79)+(Coeffs!E$7*Drivers!$E79)+(Coeffs!E$8*Drivers!$F79))</f>
        <v>15.730912176362128</v>
      </c>
      <c r="F78" s="147">
        <f xml:space="preserve"> EXP(Coeffs!F$13 + Coeffs!F$9*Drivers!$G79 + Coeffs!F$10*Drivers!$H79)</f>
        <v>5.1291026505967574</v>
      </c>
      <c r="G78" s="147">
        <f xml:space="preserve"> EXP( Coeffs!G$13 + Coeffs!G$9*Drivers!$G79 + Coeffs!G$11*Drivers!$I79 + Coeffs!G$12*Drivers!$J79)</f>
        <v>5.3441685321318566</v>
      </c>
      <c r="H78" s="147">
        <f xml:space="preserve"> EXP( Coeffs!H$13 + Coeffs!H$7*Drivers!$E79 + Coeffs!H$9*Drivers!$G79 + Coeffs!H$10*Drivers!$H79 )</f>
        <v>21.49094305671947</v>
      </c>
      <c r="I78" s="147">
        <f xml:space="preserve"> EXP( Coeffs!I$13 + Coeffs!I$7*Drivers!$E79 + Coeffs!I$8*Drivers!$F79 + Coeffs!I$9*Drivers!$G79 + Coeffs!I$10*Drivers!$H79 )</f>
        <v>21.866650252026755</v>
      </c>
      <c r="J78" s="147">
        <f xml:space="preserve"> EXP( Coeffs!J$13 + Coeffs!J$7*Drivers!$E79 + Coeffs!J$8*Drivers!$F79 + Coeffs!J$9*Drivers!$G79 + Coeffs!J$11*Drivers!$I79 + Coeffs!$J$12*Drivers!$J79)</f>
        <v>21.813517099045367</v>
      </c>
      <c r="K78" s="180">
        <f>INDEX(Drivers!$C$2:$S$93, MATCH('Modelled costs'!$C78, Drivers!$C$2:$C$93, 0), MATCH('Modelled costs'!K$3, Drivers!$C$2:$S$2, 0))</f>
        <v>263.142</v>
      </c>
      <c r="M78" s="146">
        <f t="shared" si="15"/>
        <v>4.0357408725648813</v>
      </c>
      <c r="N78" s="146">
        <f t="shared" si="8"/>
        <v>4.1394636919122831</v>
      </c>
      <c r="O78" s="146">
        <f t="shared" si="9"/>
        <v>1.349682329683332</v>
      </c>
      <c r="P78" s="146">
        <f t="shared" si="10"/>
        <v>1.406275195882241</v>
      </c>
      <c r="Q78" s="146">
        <f t="shared" si="11"/>
        <v>5.6551697378312751</v>
      </c>
      <c r="R78" s="146">
        <f t="shared" si="12"/>
        <v>5.7540340806188235</v>
      </c>
      <c r="S78" s="146">
        <f t="shared" si="13"/>
        <v>5.7400525164769967</v>
      </c>
    </row>
    <row r="79" spans="1:19">
      <c r="A79" s="115" t="s">
        <v>114</v>
      </c>
      <c r="B79" s="115">
        <v>2017</v>
      </c>
      <c r="C79" s="115" t="str">
        <f t="shared" si="14"/>
        <v>SES17</v>
      </c>
      <c r="D79" s="147">
        <f>EXP(Coeffs!$D$13+(Coeffs!$D$6*Drivers!$D80)+(Coeffs!$D$7*Drivers!$E80))</f>
        <v>15.558249585753327</v>
      </c>
      <c r="E79" s="147">
        <f>EXP(Coeffs!E$13+(Coeffs!E$6*Drivers!$D80)+(Coeffs!E$7*Drivers!$E80)+(Coeffs!E$8*Drivers!$F80))</f>
        <v>15.949970073395461</v>
      </c>
      <c r="F79" s="147">
        <f xml:space="preserve"> EXP(Coeffs!F$13 + Coeffs!F$9*Drivers!$G80 + Coeffs!F$10*Drivers!$H80)</f>
        <v>4.8418627852606297</v>
      </c>
      <c r="G79" s="147">
        <f xml:space="preserve"> EXP( Coeffs!G$13 + Coeffs!G$9*Drivers!$G80 + Coeffs!G$11*Drivers!$I80 + Coeffs!G$12*Drivers!$J80)</f>
        <v>5.2307910856887316</v>
      </c>
      <c r="H79" s="147">
        <f xml:space="preserve"> EXP( Coeffs!H$13 + Coeffs!H$7*Drivers!$E80 + Coeffs!H$9*Drivers!$G80 + Coeffs!H$10*Drivers!$H80 )</f>
        <v>21.187428959482116</v>
      </c>
      <c r="I79" s="147">
        <f xml:space="preserve"> EXP( Coeffs!I$13 + Coeffs!I$7*Drivers!$E80 + Coeffs!I$8*Drivers!$F80 + Coeffs!I$9*Drivers!$G80 + Coeffs!I$10*Drivers!$H80 )</f>
        <v>21.464223381352262</v>
      </c>
      <c r="J79" s="147">
        <f xml:space="preserve"> EXP( Coeffs!J$13 + Coeffs!J$7*Drivers!$E80 + Coeffs!J$8*Drivers!$F80 + Coeffs!J$9*Drivers!$G80 + Coeffs!J$11*Drivers!$I80 + Coeffs!$J$12*Drivers!$J80)</f>
        <v>21.719121384468977</v>
      </c>
      <c r="K79" s="180">
        <f>INDEX(Drivers!$C$2:$S$93, MATCH('Modelled costs'!$C79, Drivers!$C$2:$C$93, 0), MATCH('Modelled costs'!K$3, Drivers!$C$2:$S$2, 0))</f>
        <v>263.61500000000001</v>
      </c>
      <c r="M79" s="146">
        <f t="shared" si="15"/>
        <v>4.1013879645483629</v>
      </c>
      <c r="N79" s="146">
        <f t="shared" si="8"/>
        <v>4.2046513608981444</v>
      </c>
      <c r="O79" s="146">
        <f t="shared" si="9"/>
        <v>1.276387658136481</v>
      </c>
      <c r="P79" s="146">
        <f t="shared" si="10"/>
        <v>1.3789149920538351</v>
      </c>
      <c r="Q79" s="146">
        <f t="shared" si="11"/>
        <v>5.5853240851538786</v>
      </c>
      <c r="R79" s="146">
        <f t="shared" si="12"/>
        <v>5.6582912466751765</v>
      </c>
      <c r="S79" s="146">
        <f t="shared" si="13"/>
        <v>5.7254861837667894</v>
      </c>
    </row>
    <row r="80" spans="1:19">
      <c r="A80" s="115" t="s">
        <v>114</v>
      </c>
      <c r="B80" s="115">
        <v>2018</v>
      </c>
      <c r="C80" s="115" t="str">
        <f t="shared" si="14"/>
        <v>SES18</v>
      </c>
      <c r="D80" s="147">
        <f>EXP(Coeffs!$D$13+(Coeffs!$D$6*Drivers!$D81)+(Coeffs!$D$7*Drivers!$E81))</f>
        <v>15.778811100364464</v>
      </c>
      <c r="E80" s="147">
        <f>EXP(Coeffs!E$13+(Coeffs!E$6*Drivers!$D81)+(Coeffs!E$7*Drivers!$E81)+(Coeffs!E$8*Drivers!$F81))</f>
        <v>16.162881543359987</v>
      </c>
      <c r="F80" s="147">
        <f xml:space="preserve"> EXP(Coeffs!F$13 + Coeffs!F$9*Drivers!$G81 + Coeffs!F$10*Drivers!$H81)</f>
        <v>4.8889423452064298</v>
      </c>
      <c r="G80" s="147">
        <f xml:space="preserve"> EXP( Coeffs!G$13 + Coeffs!G$9*Drivers!$G81 + Coeffs!G$11*Drivers!$I81 + Coeffs!G$12*Drivers!$J81)</f>
        <v>5.2810813081165744</v>
      </c>
      <c r="H80" s="147">
        <f xml:space="preserve"> EXP( Coeffs!H$13 + Coeffs!H$7*Drivers!$E81 + Coeffs!H$9*Drivers!$G81 + Coeffs!H$10*Drivers!$H81 )</f>
        <v>21.407317247527182</v>
      </c>
      <c r="I80" s="147">
        <f xml:space="preserve"> EXP( Coeffs!I$13 + Coeffs!I$7*Drivers!$E81 + Coeffs!I$8*Drivers!$F81 + Coeffs!I$9*Drivers!$G81 + Coeffs!I$10*Drivers!$H81 )</f>
        <v>21.73455627075834</v>
      </c>
      <c r="J80" s="147">
        <f xml:space="preserve"> EXP( Coeffs!J$13 + Coeffs!J$7*Drivers!$E81 + Coeffs!J$8*Drivers!$F81 + Coeffs!J$9*Drivers!$G81 + Coeffs!J$11*Drivers!$I81 + Coeffs!$J$12*Drivers!$J81)</f>
        <v>21.961848838865151</v>
      </c>
      <c r="K80" s="180">
        <f>INDEX(Drivers!$C$2:$S$93, MATCH('Modelled costs'!$C80, Drivers!$C$2:$C$93, 0), MATCH('Modelled costs'!K$3, Drivers!$C$2:$S$2, 0))</f>
        <v>265.85199999999998</v>
      </c>
      <c r="M80" s="146">
        <f t="shared" si="15"/>
        <v>4.1948284886540925</v>
      </c>
      <c r="N80" s="146">
        <f t="shared" si="8"/>
        <v>4.2969343840653398</v>
      </c>
      <c r="O80" s="146">
        <f t="shared" si="9"/>
        <v>1.2997351003578195</v>
      </c>
      <c r="P80" s="146">
        <f t="shared" si="10"/>
        <v>1.4039860279254073</v>
      </c>
      <c r="Q80" s="146">
        <f t="shared" si="11"/>
        <v>5.6911781048895955</v>
      </c>
      <c r="R80" s="146">
        <f t="shared" si="12"/>
        <v>5.7781752536936457</v>
      </c>
      <c r="S80" s="146">
        <f t="shared" si="13"/>
        <v>5.8386014375099773</v>
      </c>
    </row>
    <row r="81" spans="1:19">
      <c r="A81" s="115" t="s">
        <v>115</v>
      </c>
      <c r="B81" s="115">
        <v>2014</v>
      </c>
      <c r="C81" s="115" t="str">
        <f t="shared" si="14"/>
        <v>SEW14</v>
      </c>
      <c r="D81" s="147">
        <f>EXP(Coeffs!$D$13+(Coeffs!$D$6*Drivers!$D82)+(Coeffs!$D$7*Drivers!$E82))</f>
        <v>16.348141188544155</v>
      </c>
      <c r="E81" s="147">
        <f>EXP(Coeffs!E$13+(Coeffs!E$6*Drivers!$D82)+(Coeffs!E$7*Drivers!$E82)+(Coeffs!E$8*Drivers!$F82))</f>
        <v>15.862674625559755</v>
      </c>
      <c r="F81" s="147">
        <f xml:space="preserve"> EXP(Coeffs!F$13 + Coeffs!F$9*Drivers!$G82 + Coeffs!F$10*Drivers!$H82)</f>
        <v>6.2630539924458626</v>
      </c>
      <c r="G81" s="147">
        <f xml:space="preserve"> EXP( Coeffs!G$13 + Coeffs!G$9*Drivers!$G82 + Coeffs!G$11*Drivers!$I82 + Coeffs!G$12*Drivers!$J82)</f>
        <v>5.6939233773773781</v>
      </c>
      <c r="H81" s="147">
        <f xml:space="preserve"> EXP( Coeffs!H$13 + Coeffs!H$7*Drivers!$E82 + Coeffs!H$9*Drivers!$G82 + Coeffs!H$10*Drivers!$H82 )</f>
        <v>23.864665289351905</v>
      </c>
      <c r="I81" s="147">
        <f xml:space="preserve"> EXP( Coeffs!I$13 + Coeffs!I$7*Drivers!$E82 + Coeffs!I$8*Drivers!$F82 + Coeffs!I$9*Drivers!$G82 + Coeffs!I$10*Drivers!$H82 )</f>
        <v>23.267338848959643</v>
      </c>
      <c r="J81" s="147">
        <f xml:space="preserve"> EXP( Coeffs!J$13 + Coeffs!J$7*Drivers!$E82 + Coeffs!J$8*Drivers!$F82 + Coeffs!J$9*Drivers!$G82 + Coeffs!J$11*Drivers!$I82 + Coeffs!$J$12*Drivers!$J82)</f>
        <v>19.298242266568479</v>
      </c>
      <c r="K81" s="180">
        <f>INDEX(Drivers!$C$2:$S$93, MATCH('Modelled costs'!$C81, Drivers!$C$2:$C$93, 0), MATCH('Modelled costs'!K$3, Drivers!$C$2:$S$2, 0))</f>
        <v>819.99699999999996</v>
      </c>
      <c r="M81" s="146">
        <f t="shared" si="15"/>
        <v>13.40542673018264</v>
      </c>
      <c r="N81" s="146">
        <f t="shared" si="8"/>
        <v>13.007345604935123</v>
      </c>
      <c r="O81" s="146">
        <f t="shared" si="9"/>
        <v>5.1356854846436297</v>
      </c>
      <c r="P81" s="146">
        <f t="shared" si="10"/>
        <v>4.6690000876793176</v>
      </c>
      <c r="Q81" s="146">
        <f t="shared" si="11"/>
        <v>19.568953943272692</v>
      </c>
      <c r="R81" s="146">
        <f t="shared" si="12"/>
        <v>19.079148054130361</v>
      </c>
      <c r="S81" s="146">
        <f t="shared" si="13"/>
        <v>15.824500763859351</v>
      </c>
    </row>
    <row r="82" spans="1:19">
      <c r="A82" s="115" t="s">
        <v>115</v>
      </c>
      <c r="B82" s="115">
        <v>2015</v>
      </c>
      <c r="C82" s="115" t="str">
        <f t="shared" si="14"/>
        <v>SEW15</v>
      </c>
      <c r="D82" s="147">
        <f>EXP(Coeffs!$D$13+(Coeffs!$D$6*Drivers!$D83)+(Coeffs!$D$7*Drivers!$E83))</f>
        <v>16.929997640134541</v>
      </c>
      <c r="E82" s="147">
        <f>EXP(Coeffs!E$13+(Coeffs!E$6*Drivers!$D83)+(Coeffs!E$7*Drivers!$E83)+(Coeffs!E$8*Drivers!$F83))</f>
        <v>16.40100479426733</v>
      </c>
      <c r="F82" s="147">
        <f xml:space="preserve"> EXP(Coeffs!F$13 + Coeffs!F$9*Drivers!$G83 + Coeffs!F$10*Drivers!$H83)</f>
        <v>6.1060298762722232</v>
      </c>
      <c r="G82" s="147">
        <f xml:space="preserve"> EXP( Coeffs!G$13 + Coeffs!G$9*Drivers!$G83 + Coeffs!G$11*Drivers!$I83 + Coeffs!G$12*Drivers!$J83)</f>
        <v>5.6283749595286858</v>
      </c>
      <c r="H82" s="147">
        <f xml:space="preserve"> EXP( Coeffs!H$13 + Coeffs!H$7*Drivers!$E83 + Coeffs!H$9*Drivers!$G83 + Coeffs!H$10*Drivers!$H83 )</f>
        <v>24.020716120637996</v>
      </c>
      <c r="I82" s="147">
        <f xml:space="preserve"> EXP( Coeffs!I$13 + Coeffs!I$7*Drivers!$E83 + Coeffs!I$8*Drivers!$F83 + Coeffs!I$9*Drivers!$G83 + Coeffs!I$10*Drivers!$H83 )</f>
        <v>23.470635819009534</v>
      </c>
      <c r="J82" s="147">
        <f xml:space="preserve"> EXP( Coeffs!J$13 + Coeffs!J$7*Drivers!$E83 + Coeffs!J$8*Drivers!$F83 + Coeffs!J$9*Drivers!$G83 + Coeffs!J$11*Drivers!$I83 + Coeffs!$J$12*Drivers!$J83)</f>
        <v>19.493941038689982</v>
      </c>
      <c r="K82" s="180">
        <f>INDEX(Drivers!$C$2:$S$93, MATCH('Modelled costs'!$C82, Drivers!$C$2:$C$93, 0), MATCH('Modelled costs'!K$3, Drivers!$C$2:$S$2, 0))</f>
        <v>829.80399999999997</v>
      </c>
      <c r="M82" s="146">
        <f t="shared" si="15"/>
        <v>14.048579761774203</v>
      </c>
      <c r="N82" s="146">
        <f t="shared" si="8"/>
        <v>13.609619382302206</v>
      </c>
      <c r="O82" s="146">
        <f t="shared" si="9"/>
        <v>5.0668080154501958</v>
      </c>
      <c r="P82" s="146">
        <f t="shared" si="10"/>
        <v>4.6704480549167418</v>
      </c>
      <c r="Q82" s="146">
        <f t="shared" si="11"/>
        <v>19.93248631976989</v>
      </c>
      <c r="R82" s="146">
        <f t="shared" si="12"/>
        <v>19.476027485157385</v>
      </c>
      <c r="S82" s="146">
        <f t="shared" si="13"/>
        <v>16.176150249669099</v>
      </c>
    </row>
    <row r="83" spans="1:19">
      <c r="A83" s="115" t="s">
        <v>115</v>
      </c>
      <c r="B83" s="115">
        <v>2016</v>
      </c>
      <c r="C83" s="115" t="str">
        <f t="shared" si="14"/>
        <v>SEW16</v>
      </c>
      <c r="D83" s="147">
        <f>EXP(Coeffs!$D$13+(Coeffs!$D$6*Drivers!$D84)+(Coeffs!$D$7*Drivers!$E84))</f>
        <v>17.468530672558334</v>
      </c>
      <c r="E83" s="147">
        <f>EXP(Coeffs!E$13+(Coeffs!E$6*Drivers!$D84)+(Coeffs!E$7*Drivers!$E84)+(Coeffs!E$8*Drivers!$F84))</f>
        <v>16.899699435265031</v>
      </c>
      <c r="F83" s="147">
        <f xml:space="preserve"> EXP(Coeffs!F$13 + Coeffs!F$9*Drivers!$G84 + Coeffs!F$10*Drivers!$H84)</f>
        <v>5.5021209731032616</v>
      </c>
      <c r="G83" s="147">
        <f xml:space="preserve"> EXP( Coeffs!G$13 + Coeffs!G$9*Drivers!$G84 + Coeffs!G$11*Drivers!$I84 + Coeffs!G$12*Drivers!$J84)</f>
        <v>5.1834569603200986</v>
      </c>
      <c r="H83" s="147">
        <f xml:space="preserve"> EXP( Coeffs!H$13 + Coeffs!H$7*Drivers!$E84 + Coeffs!H$9*Drivers!$G84 + Coeffs!H$10*Drivers!$H84 )</f>
        <v>23.385863319433401</v>
      </c>
      <c r="I83" s="147">
        <f xml:space="preserve"> EXP( Coeffs!I$13 + Coeffs!I$7*Drivers!$E84 + Coeffs!I$8*Drivers!$F84 + Coeffs!I$9*Drivers!$G84 + Coeffs!I$10*Drivers!$H84 )</f>
        <v>22.786037006253238</v>
      </c>
      <c r="J83" s="147">
        <f xml:space="preserve"> EXP( Coeffs!J$13 + Coeffs!J$7*Drivers!$E84 + Coeffs!J$8*Drivers!$F84 + Coeffs!J$9*Drivers!$G84 + Coeffs!J$11*Drivers!$I84 + Coeffs!$J$12*Drivers!$J84)</f>
        <v>18.941495393362011</v>
      </c>
      <c r="K83" s="180">
        <f>INDEX(Drivers!$C$2:$S$93, MATCH('Modelled costs'!$C83, Drivers!$C$2:$C$93, 0), MATCH('Modelled costs'!K$3, Drivers!$C$2:$S$2, 0))</f>
        <v>837.42200000000003</v>
      </c>
      <c r="M83" s="146">
        <f t="shared" si="15"/>
        <v>14.628531892875147</v>
      </c>
      <c r="N83" s="146">
        <f t="shared" si="8"/>
        <v>14.152180100478514</v>
      </c>
      <c r="O83" s="146">
        <f t="shared" si="9"/>
        <v>4.6075971495380799</v>
      </c>
      <c r="P83" s="146">
        <f t="shared" si="10"/>
        <v>4.3407408946251778</v>
      </c>
      <c r="Q83" s="146">
        <f t="shared" si="11"/>
        <v>19.58383643268656</v>
      </c>
      <c r="R83" s="146">
        <f t="shared" si="12"/>
        <v>19.0815286818506</v>
      </c>
      <c r="S83" s="146">
        <f t="shared" si="13"/>
        <v>15.862024955300003</v>
      </c>
    </row>
    <row r="84" spans="1:19">
      <c r="A84" s="115" t="s">
        <v>115</v>
      </c>
      <c r="B84" s="115">
        <v>2017</v>
      </c>
      <c r="C84" s="115" t="str">
        <f t="shared" si="14"/>
        <v>SEW17</v>
      </c>
      <c r="D84" s="147">
        <f>EXP(Coeffs!$D$13+(Coeffs!$D$6*Drivers!$D85)+(Coeffs!$D$7*Drivers!$E85))</f>
        <v>17.994768309626036</v>
      </c>
      <c r="E84" s="147">
        <f>EXP(Coeffs!E$13+(Coeffs!E$6*Drivers!$D85)+(Coeffs!E$7*Drivers!$E85)+(Coeffs!E$8*Drivers!$F85))</f>
        <v>17.385217063121797</v>
      </c>
      <c r="F84" s="147">
        <f xml:space="preserve"> EXP(Coeffs!F$13 + Coeffs!F$9*Drivers!$G85 + Coeffs!F$10*Drivers!$H85)</f>
        <v>5.4208136185765765</v>
      </c>
      <c r="G84" s="147">
        <f xml:space="preserve"> EXP( Coeffs!G$13 + Coeffs!G$9*Drivers!$G85 + Coeffs!G$11*Drivers!$I85 + Coeffs!G$12*Drivers!$J85)</f>
        <v>5.3955433808227573</v>
      </c>
      <c r="H84" s="147">
        <f xml:space="preserve"> EXP( Coeffs!H$13 + Coeffs!H$7*Drivers!$E85 + Coeffs!H$9*Drivers!$G85 + Coeffs!H$10*Drivers!$H85 )</f>
        <v>23.661509745846271</v>
      </c>
      <c r="I84" s="147">
        <f xml:space="preserve"> EXP( Coeffs!I$13 + Coeffs!I$7*Drivers!$E85 + Coeffs!I$8*Drivers!$F85 + Coeffs!I$9*Drivers!$G85 + Coeffs!I$10*Drivers!$H85 )</f>
        <v>23.001875097368973</v>
      </c>
      <c r="J84" s="147">
        <f xml:space="preserve"> EXP( Coeffs!J$13 + Coeffs!J$7*Drivers!$E85 + Coeffs!J$8*Drivers!$F85 + Coeffs!J$9*Drivers!$G85 + Coeffs!J$11*Drivers!$I85 + Coeffs!$J$12*Drivers!$J85)</f>
        <v>19.616518062308835</v>
      </c>
      <c r="K84" s="180">
        <f>INDEX(Drivers!$C$2:$S$93, MATCH('Modelled costs'!$C84, Drivers!$C$2:$C$93, 0), MATCH('Modelled costs'!K$3, Drivers!$C$2:$S$2, 0))</f>
        <v>845.88800000000003</v>
      </c>
      <c r="M84" s="146">
        <f t="shared" si="15"/>
        <v>15.221558575892947</v>
      </c>
      <c r="N84" s="146">
        <f t="shared" si="8"/>
        <v>14.705946491089971</v>
      </c>
      <c r="O84" s="146">
        <f t="shared" si="9"/>
        <v>4.5854011901905034</v>
      </c>
      <c r="P84" s="146">
        <f t="shared" si="10"/>
        <v>4.5640253993174014</v>
      </c>
      <c r="Q84" s="146">
        <f t="shared" si="11"/>
        <v>20.01498715589441</v>
      </c>
      <c r="R84" s="146">
        <f t="shared" si="12"/>
        <v>19.457010122363247</v>
      </c>
      <c r="S84" s="146">
        <f t="shared" si="13"/>
        <v>16.593377230690297</v>
      </c>
    </row>
    <row r="85" spans="1:19">
      <c r="A85" s="115" t="s">
        <v>115</v>
      </c>
      <c r="B85" s="115">
        <v>2018</v>
      </c>
      <c r="C85" s="115" t="str">
        <f t="shared" si="14"/>
        <v>SEW18</v>
      </c>
      <c r="D85" s="147">
        <f>EXP(Coeffs!$D$13+(Coeffs!$D$6*Drivers!$D86)+(Coeffs!$D$7*Drivers!$E86))</f>
        <v>18.511927385165439</v>
      </c>
      <c r="E85" s="147">
        <f>EXP(Coeffs!E$13+(Coeffs!E$6*Drivers!$D86)+(Coeffs!E$7*Drivers!$E86)+(Coeffs!E$8*Drivers!$F86))</f>
        <v>17.861412250007621</v>
      </c>
      <c r="F85" s="147">
        <f xml:space="preserve"> EXP(Coeffs!F$13 + Coeffs!F$9*Drivers!$G86 + Coeffs!F$10*Drivers!$H86)</f>
        <v>5.328511058088095</v>
      </c>
      <c r="G85" s="147">
        <f xml:space="preserve"> EXP( Coeffs!G$13 + Coeffs!G$9*Drivers!$G86 + Coeffs!G$11*Drivers!$I86 + Coeffs!G$12*Drivers!$J86)</f>
        <v>5.3046890159331976</v>
      </c>
      <c r="H85" s="147">
        <f xml:space="preserve"> EXP( Coeffs!H$13 + Coeffs!H$7*Drivers!$E86 + Coeffs!H$9*Drivers!$G86 + Coeffs!H$10*Drivers!$H86 )</f>
        <v>23.79912178580997</v>
      </c>
      <c r="I85" s="147">
        <f xml:space="preserve"> EXP( Coeffs!I$13 + Coeffs!I$7*Drivers!$E86 + Coeffs!I$8*Drivers!$F86 + Coeffs!I$9*Drivers!$G86 + Coeffs!I$10*Drivers!$H86 )</f>
        <v>23.206030625078899</v>
      </c>
      <c r="J85" s="147">
        <f xml:space="preserve"> EXP( Coeffs!J$13 + Coeffs!J$7*Drivers!$E86 + Coeffs!J$8*Drivers!$F86 + Coeffs!J$9*Drivers!$G86 + Coeffs!J$11*Drivers!$I86 + Coeffs!$J$12*Drivers!$J86)</f>
        <v>19.69658900763234</v>
      </c>
      <c r="K85" s="180">
        <f>INDEX(Drivers!$C$2:$S$93, MATCH('Modelled costs'!$C85, Drivers!$C$2:$C$93, 0), MATCH('Modelled costs'!K$3, Drivers!$C$2:$S$2, 0))</f>
        <v>854.36900000000003</v>
      </c>
      <c r="M85" s="146">
        <f t="shared" si="15"/>
        <v>15.816016888136412</v>
      </c>
      <c r="N85" s="146">
        <f t="shared" si="8"/>
        <v>15.260236922626762</v>
      </c>
      <c r="O85" s="146">
        <f t="shared" si="9"/>
        <v>4.5525146641876679</v>
      </c>
      <c r="P85" s="146">
        <f t="shared" si="10"/>
        <v>4.5321618498538303</v>
      </c>
      <c r="Q85" s="146">
        <f t="shared" si="11"/>
        <v>20.333231881020676</v>
      </c>
      <c r="R85" s="146">
        <f t="shared" si="12"/>
        <v>19.826513179118038</v>
      </c>
      <c r="S85" s="146">
        <f t="shared" si="13"/>
        <v>16.828155053861835</v>
      </c>
    </row>
    <row r="86" spans="1:19">
      <c r="A86" s="115" t="s">
        <v>116</v>
      </c>
      <c r="B86" s="115">
        <v>2014</v>
      </c>
      <c r="C86" s="115" t="str">
        <f t="shared" si="14"/>
        <v>SSC14</v>
      </c>
      <c r="D86" s="147">
        <f>EXP(Coeffs!$D$13+(Coeffs!$D$6*Drivers!$D87)+(Coeffs!$D$7*Drivers!$E87))</f>
        <v>14.514267289123881</v>
      </c>
      <c r="E86" s="147">
        <f>EXP(Coeffs!E$13+(Coeffs!E$6*Drivers!$D87)+(Coeffs!E$7*Drivers!$E87)+(Coeffs!E$8*Drivers!$F87))</f>
        <v>14.290607731867443</v>
      </c>
      <c r="F86" s="147">
        <f xml:space="preserve"> EXP(Coeffs!F$13 + Coeffs!F$9*Drivers!$G87 + Coeffs!F$10*Drivers!$H87)</f>
        <v>6.0123719220436627</v>
      </c>
      <c r="G86" s="147">
        <f xml:space="preserve"> EXP( Coeffs!G$13 + Coeffs!G$9*Drivers!$G87 + Coeffs!G$11*Drivers!$I87 + Coeffs!G$12*Drivers!$J87)</f>
        <v>6.0911414157028361</v>
      </c>
      <c r="H86" s="147">
        <f xml:space="preserve"> EXP( Coeffs!H$13 + Coeffs!H$7*Drivers!$E87 + Coeffs!H$9*Drivers!$G87 + Coeffs!H$10*Drivers!$H87 )</f>
        <v>21.622403201924016</v>
      </c>
      <c r="I86" s="147">
        <f xml:space="preserve"> EXP( Coeffs!I$13 + Coeffs!I$7*Drivers!$E87 + Coeffs!I$8*Drivers!$F87 + Coeffs!I$9*Drivers!$G87 + Coeffs!I$10*Drivers!$H87 )</f>
        <v>21.72133423025878</v>
      </c>
      <c r="J86" s="147">
        <f xml:space="preserve"> EXP( Coeffs!J$13 + Coeffs!J$7*Drivers!$E87 + Coeffs!J$8*Drivers!$F87 + Coeffs!J$9*Drivers!$G87 + Coeffs!J$11*Drivers!$I87 + Coeffs!$J$12*Drivers!$J87)</f>
        <v>22.723511988150594</v>
      </c>
      <c r="K86" s="180">
        <f>INDEX(Drivers!$C$2:$S$93, MATCH('Modelled costs'!$C86, Drivers!$C$2:$C$93, 0), MATCH('Modelled costs'!K$3, Drivers!$C$2:$S$2, 0))</f>
        <v>648.31650000000002</v>
      </c>
      <c r="M86" s="146">
        <f t="shared" si="15"/>
        <v>9.4098389689492823</v>
      </c>
      <c r="N86" s="146">
        <f t="shared" si="8"/>
        <v>9.2648367875972397</v>
      </c>
      <c r="O86" s="146">
        <f t="shared" si="9"/>
        <v>3.8979199211976203</v>
      </c>
      <c r="P86" s="146">
        <f t="shared" si="10"/>
        <v>3.9489874836335082</v>
      </c>
      <c r="Q86" s="146">
        <f t="shared" si="11"/>
        <v>14.018160765460173</v>
      </c>
      <c r="R86" s="146">
        <f t="shared" si="12"/>
        <v>14.082299383491566</v>
      </c>
      <c r="S86" s="146">
        <f t="shared" si="13"/>
        <v>14.732027759865835</v>
      </c>
    </row>
    <row r="87" spans="1:19">
      <c r="A87" s="115" t="s">
        <v>116</v>
      </c>
      <c r="B87" s="115">
        <v>2015</v>
      </c>
      <c r="C87" s="115" t="str">
        <f t="shared" si="14"/>
        <v>SSC15</v>
      </c>
      <c r="D87" s="147">
        <f>EXP(Coeffs!$D$13+(Coeffs!$D$6*Drivers!$D88)+(Coeffs!$D$7*Drivers!$E88))</f>
        <v>14.645792347293854</v>
      </c>
      <c r="E87" s="147">
        <f>EXP(Coeffs!E$13+(Coeffs!E$6*Drivers!$D88)+(Coeffs!E$7*Drivers!$E88)+(Coeffs!E$8*Drivers!$F88))</f>
        <v>14.411087051899536</v>
      </c>
      <c r="F87" s="147">
        <f xml:space="preserve"> EXP(Coeffs!F$13 + Coeffs!F$9*Drivers!$G88 + Coeffs!F$10*Drivers!$H88)</f>
        <v>6.3463593177027944</v>
      </c>
      <c r="G87" s="147">
        <f xml:space="preserve"> EXP( Coeffs!G$13 + Coeffs!G$9*Drivers!$G88 + Coeffs!G$11*Drivers!$I88 + Coeffs!G$12*Drivers!$J88)</f>
        <v>6.2579140660264843</v>
      </c>
      <c r="H87" s="147">
        <f xml:space="preserve"> EXP( Coeffs!H$13 + Coeffs!H$7*Drivers!$E88 + Coeffs!H$9*Drivers!$G88 + Coeffs!H$10*Drivers!$H88 )</f>
        <v>22.148777900350833</v>
      </c>
      <c r="I87" s="147">
        <f xml:space="preserve"> EXP( Coeffs!I$13 + Coeffs!I$7*Drivers!$E88 + Coeffs!I$8*Drivers!$F88 + Coeffs!I$9*Drivers!$G88 + Coeffs!I$10*Drivers!$H88 )</f>
        <v>22.392505522833538</v>
      </c>
      <c r="J87" s="147">
        <f xml:space="preserve"> EXP( Coeffs!J$13 + Coeffs!J$7*Drivers!$E88 + Coeffs!J$8*Drivers!$F88 + Coeffs!J$9*Drivers!$G88 + Coeffs!J$11*Drivers!$I88 + Coeffs!$J$12*Drivers!$J88)</f>
        <v>23.135156556714179</v>
      </c>
      <c r="K87" s="180">
        <f>INDEX(Drivers!$C$2:$S$93, MATCH('Modelled costs'!$C87, Drivers!$C$2:$C$93, 0), MATCH('Modelled costs'!K$3, Drivers!$C$2:$S$2, 0))</f>
        <v>653.25250000000005</v>
      </c>
      <c r="M87" s="146">
        <f t="shared" si="15"/>
        <v>9.5674004653505786</v>
      </c>
      <c r="N87" s="146">
        <f t="shared" si="8"/>
        <v>9.4140786443710027</v>
      </c>
      <c r="O87" s="146">
        <f t="shared" si="9"/>
        <v>4.1457750901876453</v>
      </c>
      <c r="P87" s="146">
        <f t="shared" si="10"/>
        <v>4.0879980084169665</v>
      </c>
      <c r="Q87" s="146">
        <f t="shared" si="11"/>
        <v>14.468744535348932</v>
      </c>
      <c r="R87" s="146">
        <f t="shared" si="12"/>
        <v>14.627960214054818</v>
      </c>
      <c r="S87" s="146">
        <f t="shared" si="13"/>
        <v>15.11309885856493</v>
      </c>
    </row>
    <row r="88" spans="1:19">
      <c r="A88" s="115" t="s">
        <v>116</v>
      </c>
      <c r="B88" s="115">
        <v>2016</v>
      </c>
      <c r="C88" s="115" t="str">
        <f t="shared" si="14"/>
        <v>SSC16</v>
      </c>
      <c r="D88" s="147">
        <f>EXP(Coeffs!$D$13+(Coeffs!$D$6*Drivers!$D89)+(Coeffs!$D$7*Drivers!$E89))</f>
        <v>14.764077960269638</v>
      </c>
      <c r="E88" s="147">
        <f>EXP(Coeffs!E$13+(Coeffs!E$6*Drivers!$D89)+(Coeffs!E$7*Drivers!$E89)+(Coeffs!E$8*Drivers!$F89))</f>
        <v>14.517634056849404</v>
      </c>
      <c r="F88" s="147">
        <f xml:space="preserve"> EXP(Coeffs!F$13 + Coeffs!F$9*Drivers!$G89 + Coeffs!F$10*Drivers!$H89)</f>
        <v>5.6276418097426788</v>
      </c>
      <c r="G88" s="147">
        <f xml:space="preserve"> EXP( Coeffs!G$13 + Coeffs!G$9*Drivers!$G89 + Coeffs!G$11*Drivers!$I89 + Coeffs!G$12*Drivers!$J89)</f>
        <v>5.6446363893659797</v>
      </c>
      <c r="H88" s="147">
        <f xml:space="preserve"> EXP( Coeffs!H$13 + Coeffs!H$7*Drivers!$E89 + Coeffs!H$9*Drivers!$G89 + Coeffs!H$10*Drivers!$H89 )</f>
        <v>21.18792350993014</v>
      </c>
      <c r="I88" s="147">
        <f xml:space="preserve"> EXP( Coeffs!I$13 + Coeffs!I$7*Drivers!$E89 + Coeffs!I$8*Drivers!$F89 + Coeffs!I$9*Drivers!$G89 + Coeffs!I$10*Drivers!$H89 )</f>
        <v>21.278086231087165</v>
      </c>
      <c r="J88" s="147">
        <f xml:space="preserve"> EXP( Coeffs!J$13 + Coeffs!J$7*Drivers!$E89 + Coeffs!J$8*Drivers!$F89 + Coeffs!J$9*Drivers!$G89 + Coeffs!J$11*Drivers!$I89 + Coeffs!$J$12*Drivers!$J89)</f>
        <v>21.982237035733611</v>
      </c>
      <c r="K88" s="180">
        <f>INDEX(Drivers!$C$2:$S$93, MATCH('Modelled costs'!$C88, Drivers!$C$2:$C$93, 0), MATCH('Modelled costs'!K$3, Drivers!$C$2:$S$2, 0))</f>
        <v>659.35900000000004</v>
      </c>
      <c r="M88" s="146">
        <f t="shared" si="15"/>
        <v>9.7348276798054272</v>
      </c>
      <c r="N88" s="146">
        <f t="shared" si="8"/>
        <v>9.572332674090168</v>
      </c>
      <c r="O88" s="146">
        <f t="shared" si="9"/>
        <v>3.7106362760301232</v>
      </c>
      <c r="P88" s="146">
        <f t="shared" si="10"/>
        <v>3.7218418050559627</v>
      </c>
      <c r="Q88" s="146">
        <f t="shared" si="11"/>
        <v>13.970448057584029</v>
      </c>
      <c r="R88" s="146">
        <f t="shared" si="12"/>
        <v>14.029897659243403</v>
      </c>
      <c r="S88" s="146">
        <f t="shared" si="13"/>
        <v>14.49418582964428</v>
      </c>
    </row>
    <row r="89" spans="1:19">
      <c r="A89" s="115" t="s">
        <v>116</v>
      </c>
      <c r="B89" s="115">
        <v>2017</v>
      </c>
      <c r="C89" s="115" t="str">
        <f t="shared" si="14"/>
        <v>SSC17</v>
      </c>
      <c r="D89" s="147">
        <f>EXP(Coeffs!$D$13+(Coeffs!$D$6*Drivers!$D90)+(Coeffs!$D$7*Drivers!$E90))</f>
        <v>14.892565670834365</v>
      </c>
      <c r="E89" s="147">
        <f>EXP(Coeffs!E$13+(Coeffs!E$6*Drivers!$D90)+(Coeffs!E$7*Drivers!$E90)+(Coeffs!E$8*Drivers!$F90))</f>
        <v>14.639429710424924</v>
      </c>
      <c r="F89" s="147">
        <f xml:space="preserve"> EXP(Coeffs!F$13 + Coeffs!F$9*Drivers!$G90 + Coeffs!F$10*Drivers!$H90)</f>
        <v>5.3073724210595916</v>
      </c>
      <c r="G89" s="147">
        <f xml:space="preserve"> EXP( Coeffs!G$13 + Coeffs!G$9*Drivers!$G90 + Coeffs!G$11*Drivers!$I90 + Coeffs!G$12*Drivers!$J90)</f>
        <v>5.5579106680274721</v>
      </c>
      <c r="H89" s="147">
        <f xml:space="preserve"> EXP( Coeffs!H$13 + Coeffs!H$7*Drivers!$E90 + Coeffs!H$9*Drivers!$G90 + Coeffs!H$10*Drivers!$H90 )</f>
        <v>20.837230657437846</v>
      </c>
      <c r="I89" s="147">
        <f xml:space="preserve"> EXP( Coeffs!I$13 + Coeffs!I$7*Drivers!$E90 + Coeffs!I$8*Drivers!$F90 + Coeffs!I$9*Drivers!$G90 + Coeffs!I$10*Drivers!$H90 )</f>
        <v>20.802855355938309</v>
      </c>
      <c r="J89" s="147">
        <f xml:space="preserve"> EXP( Coeffs!J$13 + Coeffs!J$7*Drivers!$E90 + Coeffs!J$8*Drivers!$F90 + Coeffs!J$9*Drivers!$G90 + Coeffs!J$11*Drivers!$I90 + Coeffs!$J$12*Drivers!$J90)</f>
        <v>21.901473389966377</v>
      </c>
      <c r="K89" s="180">
        <f>INDEX(Drivers!$C$2:$S$93, MATCH('Modelled costs'!$C89, Drivers!$C$2:$C$93, 0), MATCH('Modelled costs'!K$3, Drivers!$C$2:$S$2, 0))</f>
        <v>660.10500000000002</v>
      </c>
      <c r="M89" s="146">
        <f t="shared" si="15"/>
        <v>9.8306570621461198</v>
      </c>
      <c r="N89" s="146">
        <f t="shared" si="8"/>
        <v>9.6635607490000446</v>
      </c>
      <c r="O89" s="146">
        <f t="shared" si="9"/>
        <v>3.5034230720035415</v>
      </c>
      <c r="P89" s="146">
        <f t="shared" si="10"/>
        <v>3.6688046215182744</v>
      </c>
      <c r="Q89" s="146">
        <f t="shared" si="11"/>
        <v>13.75476014312801</v>
      </c>
      <c r="R89" s="146">
        <f t="shared" si="12"/>
        <v>13.732068834731656</v>
      </c>
      <c r="S89" s="146">
        <f t="shared" si="13"/>
        <v>14.457272092083754</v>
      </c>
    </row>
    <row r="90" spans="1:19">
      <c r="A90" s="115" t="s">
        <v>116</v>
      </c>
      <c r="B90" s="115">
        <v>2018</v>
      </c>
      <c r="C90" s="115" t="str">
        <f t="shared" si="14"/>
        <v>SSC18</v>
      </c>
      <c r="D90" s="147">
        <f>EXP(Coeffs!$D$13+(Coeffs!$D$6*Drivers!$D91)+(Coeffs!$D$7*Drivers!$E91))</f>
        <v>14.899183771021882</v>
      </c>
      <c r="E90" s="147">
        <f>EXP(Coeffs!E$13+(Coeffs!E$6*Drivers!$D91)+(Coeffs!E$7*Drivers!$E91)+(Coeffs!E$8*Drivers!$F91))</f>
        <v>14.634783975157776</v>
      </c>
      <c r="F90" s="147">
        <f xml:space="preserve"> EXP(Coeffs!F$13 + Coeffs!F$9*Drivers!$G91 + Coeffs!F$10*Drivers!$H91)</f>
        <v>5.3151359854163891</v>
      </c>
      <c r="G90" s="147">
        <f xml:space="preserve"> EXP( Coeffs!G$13 + Coeffs!G$9*Drivers!$G91 + Coeffs!G$11*Drivers!$I91 + Coeffs!G$12*Drivers!$J91)</f>
        <v>5.5659498042923712</v>
      </c>
      <c r="H90" s="147">
        <f xml:space="preserve"> EXP( Coeffs!H$13 + Coeffs!H$7*Drivers!$E91 + Coeffs!H$9*Drivers!$G91 + Coeffs!H$10*Drivers!$H91 )</f>
        <v>20.853877120172339</v>
      </c>
      <c r="I90" s="147">
        <f xml:space="preserve"> EXP( Coeffs!I$13 + Coeffs!I$7*Drivers!$E91 + Coeffs!I$8*Drivers!$F91 + Coeffs!I$9*Drivers!$G91 + Coeffs!I$10*Drivers!$H91 )</f>
        <v>20.802071919815564</v>
      </c>
      <c r="J90" s="147">
        <f xml:space="preserve"> EXP( Coeffs!J$13 + Coeffs!J$7*Drivers!$E91 + Coeffs!J$8*Drivers!$F91 + Coeffs!J$9*Drivers!$G91 + Coeffs!J$11*Drivers!$I91 + Coeffs!$J$12*Drivers!$J91)</f>
        <v>21.879750243895383</v>
      </c>
      <c r="K90" s="180">
        <f>INDEX(Drivers!$C$2:$S$93, MATCH('Modelled costs'!$C90, Drivers!$C$2:$C$93, 0), MATCH('Modelled costs'!K$3, Drivers!$C$2:$S$2, 0))</f>
        <v>670.66071506818105</v>
      </c>
      <c r="M90" s="146">
        <f t="shared" si="15"/>
        <v>9.9922972418057743</v>
      </c>
      <c r="N90" s="146">
        <f t="shared" si="8"/>
        <v>9.8149746856476696</v>
      </c>
      <c r="O90" s="146">
        <f t="shared" si="9"/>
        <v>3.5646529006639764</v>
      </c>
      <c r="P90" s="146">
        <f t="shared" si="10"/>
        <v>3.7328638757803239</v>
      </c>
      <c r="Q90" s="146">
        <f t="shared" si="11"/>
        <v>13.985876141358759</v>
      </c>
      <c r="R90" s="146">
        <f t="shared" si="12"/>
        <v>13.951132428643236</v>
      </c>
      <c r="S90" s="146">
        <f t="shared" si="13"/>
        <v>14.673888944084087</v>
      </c>
    </row>
    <row r="91" spans="1:19">
      <c r="A91" s="115" t="s">
        <v>117</v>
      </c>
      <c r="B91" s="115">
        <v>2017</v>
      </c>
      <c r="C91" s="115" t="str">
        <f t="shared" si="14"/>
        <v>SWB17</v>
      </c>
      <c r="D91" s="147">
        <f>EXP(Coeffs!$D$13+(Coeffs!$D$6*Drivers!$D92)+(Coeffs!$D$7*Drivers!$E92))</f>
        <v>20.346745683678161</v>
      </c>
      <c r="E91" s="147">
        <f>EXP(Coeffs!E$13+(Coeffs!E$6*Drivers!$D92)+(Coeffs!E$7*Drivers!$E92)+(Coeffs!E$8*Drivers!$F92))</f>
        <v>20.904265589606073</v>
      </c>
      <c r="F91" s="147">
        <f xml:space="preserve"> EXP(Coeffs!F$13 + Coeffs!F$9*Drivers!$G92 + Coeffs!F$10*Drivers!$H92)</f>
        <v>14.454156889640181</v>
      </c>
      <c r="G91" s="147">
        <f xml:space="preserve"> EXP( Coeffs!G$13 + Coeffs!G$9*Drivers!$G92 + Coeffs!G$11*Drivers!$I92 + Coeffs!G$12*Drivers!$J92)</f>
        <v>16.181109150954502</v>
      </c>
      <c r="H91" s="147">
        <f xml:space="preserve"> EXP( Coeffs!H$13 + Coeffs!H$7*Drivers!$E92 + Coeffs!H$9*Drivers!$G92 + Coeffs!H$10*Drivers!$H92 )</f>
        <v>35.18743037965347</v>
      </c>
      <c r="I91" s="147">
        <f xml:space="preserve"> EXP( Coeffs!I$13 + Coeffs!I$7*Drivers!$E92 + Coeffs!I$8*Drivers!$F92 + Coeffs!I$9*Drivers!$G92 + Coeffs!I$10*Drivers!$H92 )</f>
        <v>35.968454998605608</v>
      </c>
      <c r="J91" s="147">
        <f xml:space="preserve"> EXP( Coeffs!J$13 + Coeffs!J$7*Drivers!$E92 + Coeffs!J$8*Drivers!$F92 + Coeffs!J$9*Drivers!$G92 + Coeffs!J$11*Drivers!$I92 + Coeffs!$J$12*Drivers!$J92)</f>
        <v>36.521449737769018</v>
      </c>
      <c r="K91" s="180">
        <f>INDEX(Drivers!$C$2:$S$93, MATCH('Modelled costs'!$C91, Drivers!$C$2:$C$93, 0), MATCH('Modelled costs'!K$3, Drivers!$C$2:$S$2, 0))</f>
        <v>939.37900000000002</v>
      </c>
      <c r="M91" s="146">
        <f t="shared" si="15"/>
        <v>19.113305613587908</v>
      </c>
      <c r="N91" s="146">
        <f t="shared" si="8"/>
        <v>19.637028105298565</v>
      </c>
      <c r="O91" s="146">
        <f t="shared" si="9"/>
        <v>13.577931444833304</v>
      </c>
      <c r="P91" s="146">
        <f t="shared" si="10"/>
        <v>15.20019413311449</v>
      </c>
      <c r="Q91" s="146">
        <f t="shared" si="11"/>
        <v>33.054333162608494</v>
      </c>
      <c r="R91" s="146">
        <f t="shared" si="12"/>
        <v>33.788011288135138</v>
      </c>
      <c r="S91" s="146">
        <f t="shared" si="13"/>
        <v>34.307482933215724</v>
      </c>
    </row>
    <row r="92" spans="1:19">
      <c r="A92" s="115" t="s">
        <v>117</v>
      </c>
      <c r="B92" s="115">
        <v>2018</v>
      </c>
      <c r="C92" s="115" t="str">
        <f t="shared" si="14"/>
        <v>SWB18</v>
      </c>
      <c r="D92" s="147">
        <f>EXP(Coeffs!$D$13+(Coeffs!$D$6*Drivers!$D93)+(Coeffs!$D$7*Drivers!$E93))</f>
        <v>20.355436319564252</v>
      </c>
      <c r="E92" s="147">
        <f>EXP(Coeffs!E$13+(Coeffs!E$6*Drivers!$D93)+(Coeffs!E$7*Drivers!$E93)+(Coeffs!E$8*Drivers!$F93))</f>
        <v>20.909899232675773</v>
      </c>
      <c r="F92" s="147">
        <f xml:space="preserve"> EXP(Coeffs!F$13 + Coeffs!F$9*Drivers!$G93 + Coeffs!F$10*Drivers!$H93)</f>
        <v>14.179859099711166</v>
      </c>
      <c r="G92" s="147">
        <f xml:space="preserve"> EXP( Coeffs!G$13 + Coeffs!G$9*Drivers!$G93 + Coeffs!G$11*Drivers!$I93 + Coeffs!G$12*Drivers!$J93)</f>
        <v>15.877437706728292</v>
      </c>
      <c r="H92" s="147">
        <f xml:space="preserve"> EXP( Coeffs!H$13 + Coeffs!H$7*Drivers!$E93 + Coeffs!H$9*Drivers!$G93 + Coeffs!H$10*Drivers!$H93 )</f>
        <v>34.915431369890221</v>
      </c>
      <c r="I92" s="147">
        <f xml:space="preserve"> EXP( Coeffs!I$13 + Coeffs!I$7*Drivers!$E93 + Coeffs!I$8*Drivers!$F93 + Coeffs!I$9*Drivers!$G93 + Coeffs!I$10*Drivers!$H93 )</f>
        <v>35.643513688724262</v>
      </c>
      <c r="J92" s="147">
        <f xml:space="preserve"> EXP( Coeffs!J$13 + Coeffs!J$7*Drivers!$E93 + Coeffs!J$8*Drivers!$F93 + Coeffs!J$9*Drivers!$G93 + Coeffs!J$11*Drivers!$I93 + Coeffs!$J$12*Drivers!$J93)</f>
        <v>36.131149466244402</v>
      </c>
      <c r="K92" s="180">
        <f>INDEX(Drivers!$C$2:$S$93, MATCH('Modelled costs'!$C92, Drivers!$C$2:$C$93, 0), MATCH('Modelled costs'!K$3, Drivers!$C$2:$S$2, 0))</f>
        <v>945.42600000000004</v>
      </c>
      <c r="M92" s="146">
        <f t="shared" si="15"/>
        <v>19.244558737860352</v>
      </c>
      <c r="N92" s="146">
        <f t="shared" si="8"/>
        <v>19.768762391951729</v>
      </c>
      <c r="O92" s="146">
        <f t="shared" si="9"/>
        <v>13.406007469203528</v>
      </c>
      <c r="P92" s="146">
        <f t="shared" si="10"/>
        <v>15.010942421321303</v>
      </c>
      <c r="Q92" s="146">
        <f t="shared" si="11"/>
        <v>33.009956618309836</v>
      </c>
      <c r="R92" s="146">
        <f t="shared" si="12"/>
        <v>33.698304572675831</v>
      </c>
      <c r="S92" s="146">
        <f t="shared" si="13"/>
        <v>34.159328115273581</v>
      </c>
    </row>
    <row r="94" spans="1:19">
      <c r="D94" s="143"/>
      <c r="M94" s="143"/>
      <c r="N94" s="143"/>
      <c r="O94" s="143"/>
      <c r="P94" s="143"/>
      <c r="Q94" s="143"/>
      <c r="R94" s="143"/>
      <c r="S94" s="143"/>
    </row>
    <row r="95" spans="1:19">
      <c r="D95" s="129"/>
      <c r="M95" s="143"/>
      <c r="N95" s="143"/>
      <c r="O95" s="143"/>
      <c r="P95" s="143"/>
      <c r="Q95" s="143"/>
      <c r="R95" s="143"/>
      <c r="S95" s="143"/>
    </row>
    <row r="97" spans="4:19">
      <c r="D97" s="143"/>
      <c r="M97" s="143"/>
      <c r="N97" s="143"/>
      <c r="O97" s="143"/>
      <c r="P97" s="143"/>
      <c r="Q97" s="143"/>
      <c r="R97" s="143"/>
      <c r="S97" s="143"/>
    </row>
    <row r="98" spans="4:19">
      <c r="D98" s="143"/>
      <c r="M98" s="144"/>
      <c r="N98" s="144"/>
      <c r="O98" s="144"/>
      <c r="P98" s="144"/>
      <c r="Q98" s="144"/>
      <c r="R98" s="144"/>
      <c r="S98" s="14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78"/>
  <sheetViews>
    <sheetView showGridLines="0" zoomScale="80" zoomScaleNormal="80" workbookViewId="0"/>
  </sheetViews>
  <sheetFormatPr defaultColWidth="9" defaultRowHeight="12.75"/>
  <cols>
    <col min="1" max="1" width="1.375" style="2" customWidth="1"/>
    <col min="2" max="2" width="9.875" style="2" customWidth="1"/>
    <col min="3" max="15" width="10.125" style="12" customWidth="1"/>
    <col min="16" max="22" width="10.125" style="2" customWidth="1"/>
    <col min="23" max="25" width="9.125" style="2" customWidth="1"/>
    <col min="26" max="43" width="9" style="2"/>
    <col min="44" max="44" width="13.875" style="2" customWidth="1"/>
    <col min="45" max="45" width="12.375" style="2" customWidth="1"/>
    <col min="46" max="16384" width="9" style="2"/>
  </cols>
  <sheetData>
    <row r="1" spans="1:20" ht="21">
      <c r="B1" s="11" t="s">
        <v>150</v>
      </c>
      <c r="G1" s="13"/>
      <c r="H1" s="14"/>
      <c r="I1" s="14"/>
      <c r="J1" s="14"/>
      <c r="K1" s="14"/>
      <c r="L1" s="14"/>
      <c r="M1" s="14"/>
    </row>
    <row r="2" spans="1:20" ht="15.75">
      <c r="B2" s="15" t="s">
        <v>198</v>
      </c>
      <c r="G2" s="13"/>
      <c r="H2" s="14"/>
      <c r="I2" s="14"/>
      <c r="J2" s="14"/>
      <c r="K2" s="14"/>
      <c r="L2" s="14"/>
      <c r="M2" s="14"/>
    </row>
    <row r="3" spans="1:20" ht="15">
      <c r="A3" s="16"/>
      <c r="G3" s="14"/>
      <c r="H3" s="14"/>
      <c r="I3" s="14"/>
      <c r="J3" s="14"/>
      <c r="K3" s="14"/>
      <c r="L3" s="14"/>
    </row>
    <row r="4" spans="1:20" s="19" customFormat="1" ht="18.75">
      <c r="A4" s="17"/>
      <c r="B4" s="18" t="s">
        <v>163</v>
      </c>
      <c r="T4" s="20"/>
    </row>
    <row r="5" spans="1:20" s="28" customFormat="1" ht="18.75">
      <c r="A5" s="17"/>
      <c r="B5" s="96"/>
      <c r="T5" s="97"/>
    </row>
    <row r="6" spans="1:20" s="28" customFormat="1" ht="18.75">
      <c r="A6" s="17"/>
      <c r="B6" s="98" t="s">
        <v>204</v>
      </c>
      <c r="F6" s="218">
        <f>C14</f>
        <v>0.88106700252838566</v>
      </c>
      <c r="T6" s="97"/>
    </row>
    <row r="7" spans="1:20" s="17" customFormat="1" ht="15">
      <c r="A7" s="21"/>
      <c r="C7" s="14"/>
      <c r="D7" s="14"/>
      <c r="E7" s="14"/>
      <c r="F7" s="14"/>
      <c r="G7" s="14"/>
      <c r="H7" s="14"/>
      <c r="I7" s="14"/>
      <c r="J7" s="14"/>
      <c r="K7" s="14"/>
      <c r="L7" s="28"/>
      <c r="M7" s="28"/>
      <c r="N7" s="28"/>
      <c r="O7" s="28"/>
      <c r="P7" s="28"/>
      <c r="Q7" s="28"/>
      <c r="R7" s="28"/>
      <c r="S7" s="28"/>
      <c r="T7" s="28"/>
    </row>
    <row r="8" spans="1:20" s="17" customFormat="1" ht="15">
      <c r="A8" s="21"/>
      <c r="B8" s="22" t="s">
        <v>151</v>
      </c>
      <c r="C8" s="22" t="s">
        <v>245</v>
      </c>
      <c r="D8" s="188" t="s">
        <v>152</v>
      </c>
      <c r="E8" s="189"/>
      <c r="G8" s="154" t="s">
        <v>275</v>
      </c>
      <c r="H8" s="155"/>
      <c r="I8" s="164"/>
      <c r="J8" s="156">
        <v>5</v>
      </c>
      <c r="L8" s="28"/>
      <c r="M8" s="28"/>
      <c r="N8" s="28"/>
      <c r="O8" s="28"/>
      <c r="P8" s="28"/>
      <c r="Q8" s="28"/>
      <c r="R8" s="28"/>
      <c r="S8" s="28"/>
      <c r="T8" s="28"/>
    </row>
    <row r="9" spans="1:20" s="17" customFormat="1" ht="15">
      <c r="A9" s="21"/>
      <c r="B9" s="23">
        <v>0</v>
      </c>
      <c r="C9" s="24">
        <f t="shared" ref="C9:C15" si="0">PERCENTILE($G$52:$G$68,(1-B9))</f>
        <v>1.4270658307304589</v>
      </c>
      <c r="D9" s="25" t="s">
        <v>153</v>
      </c>
      <c r="E9" s="26"/>
      <c r="G9" s="157"/>
      <c r="H9" s="158"/>
      <c r="I9" s="52"/>
      <c r="J9" s="159"/>
      <c r="L9" s="28"/>
      <c r="M9" s="28"/>
      <c r="N9" s="28"/>
      <c r="O9" s="28"/>
      <c r="P9" s="28"/>
      <c r="Q9" s="28"/>
      <c r="R9" s="28"/>
      <c r="S9" s="28"/>
      <c r="T9" s="28"/>
    </row>
    <row r="10" spans="1:20" s="17" customFormat="1" ht="15">
      <c r="A10" s="21"/>
      <c r="B10" s="23">
        <v>0.25</v>
      </c>
      <c r="C10" s="24">
        <f t="shared" si="0"/>
        <v>1.0449370689140116</v>
      </c>
      <c r="D10" s="25" t="s">
        <v>154</v>
      </c>
      <c r="E10" s="26"/>
      <c r="G10" s="160" t="s">
        <v>246</v>
      </c>
      <c r="H10" s="160" t="s">
        <v>247</v>
      </c>
      <c r="I10" s="52"/>
      <c r="J10" s="159"/>
      <c r="L10" s="28"/>
      <c r="N10" s="28"/>
      <c r="O10" s="28"/>
      <c r="P10" s="28"/>
      <c r="Q10" s="28"/>
      <c r="R10" s="28"/>
      <c r="S10" s="28"/>
      <c r="T10" s="28"/>
    </row>
    <row r="11" spans="1:20" s="17" customFormat="1" ht="15">
      <c r="A11" s="21"/>
      <c r="B11" s="23">
        <v>0.33333333333333331</v>
      </c>
      <c r="C11" s="24">
        <f t="shared" si="0"/>
        <v>1.0378767571925651</v>
      </c>
      <c r="D11" s="25" t="s">
        <v>155</v>
      </c>
      <c r="E11" s="26"/>
      <c r="G11" s="160">
        <f>2019-J8</f>
        <v>2014</v>
      </c>
      <c r="H11" s="160">
        <v>2018</v>
      </c>
      <c r="I11" s="52"/>
      <c r="J11" s="159"/>
      <c r="L11" s="28"/>
      <c r="M11" s="28"/>
      <c r="N11" s="28"/>
      <c r="O11" s="28"/>
      <c r="P11" s="28"/>
      <c r="Q11" s="28"/>
      <c r="R11" s="28"/>
      <c r="S11" s="28"/>
      <c r="T11" s="28"/>
    </row>
    <row r="12" spans="1:20" s="17" customFormat="1" ht="15">
      <c r="A12" s="21"/>
      <c r="B12" s="23">
        <v>0.5</v>
      </c>
      <c r="C12" s="24">
        <f t="shared" si="0"/>
        <v>1.0219710448000729</v>
      </c>
      <c r="D12" s="25" t="s">
        <v>156</v>
      </c>
      <c r="E12" s="26"/>
      <c r="G12" s="161"/>
      <c r="H12" s="162"/>
      <c r="I12" s="105"/>
      <c r="J12" s="163"/>
      <c r="L12" s="28"/>
      <c r="M12" s="28"/>
      <c r="N12" s="28"/>
      <c r="O12" s="28"/>
      <c r="P12" s="28"/>
      <c r="Q12" s="28"/>
      <c r="R12" s="28"/>
      <c r="S12" s="28"/>
      <c r="T12" s="28"/>
    </row>
    <row r="13" spans="1:20" s="17" customFormat="1" ht="15">
      <c r="A13" s="21"/>
      <c r="B13" s="23">
        <v>0.66666666666666663</v>
      </c>
      <c r="C13" s="24">
        <f t="shared" si="0"/>
        <v>0.89020897067202143</v>
      </c>
      <c r="D13" s="25" t="s">
        <v>157</v>
      </c>
      <c r="E13" s="26"/>
      <c r="L13" s="28"/>
      <c r="M13" s="28"/>
      <c r="N13" s="28"/>
      <c r="O13" s="28"/>
      <c r="P13" s="28"/>
      <c r="Q13" s="28"/>
      <c r="R13" s="28"/>
      <c r="S13" s="28"/>
      <c r="T13" s="28"/>
    </row>
    <row r="14" spans="1:20" s="17" customFormat="1" ht="15">
      <c r="A14" s="21"/>
      <c r="B14" s="174">
        <v>0.75</v>
      </c>
      <c r="C14" s="175">
        <f t="shared" si="0"/>
        <v>0.88106700252838566</v>
      </c>
      <c r="D14" s="176" t="s">
        <v>158</v>
      </c>
      <c r="E14" s="177"/>
      <c r="L14" s="28"/>
      <c r="M14" s="28"/>
      <c r="N14" s="28"/>
      <c r="O14" s="28"/>
      <c r="P14" s="28"/>
      <c r="Q14" s="28"/>
      <c r="R14" s="28"/>
      <c r="S14" s="28"/>
      <c r="T14" s="28"/>
    </row>
    <row r="15" spans="1:20" s="17" customFormat="1" ht="15">
      <c r="A15" s="21"/>
      <c r="B15" s="23">
        <v>1</v>
      </c>
      <c r="C15" s="24">
        <f t="shared" si="0"/>
        <v>0.8012997012872739</v>
      </c>
      <c r="D15" s="25" t="s">
        <v>159</v>
      </c>
      <c r="E15" s="26"/>
      <c r="L15" s="28"/>
      <c r="M15" s="28"/>
      <c r="N15" s="28"/>
      <c r="O15" s="28"/>
      <c r="P15" s="28"/>
      <c r="Q15" s="28"/>
      <c r="R15" s="28"/>
      <c r="S15" s="28"/>
      <c r="T15" s="28"/>
    </row>
    <row r="16" spans="1:20" s="17" customFormat="1" ht="15">
      <c r="A16" s="21"/>
      <c r="C16" s="14"/>
      <c r="D16" s="14"/>
      <c r="E16" s="14"/>
      <c r="F16" s="14"/>
      <c r="G16" s="14"/>
      <c r="H16" s="14"/>
      <c r="I16" s="14"/>
      <c r="L16" s="28"/>
      <c r="M16" s="28"/>
      <c r="N16" s="28"/>
      <c r="O16" s="28"/>
      <c r="P16" s="28"/>
      <c r="Q16" s="28"/>
      <c r="R16" s="28"/>
      <c r="S16" s="28"/>
      <c r="T16" s="28"/>
    </row>
    <row r="17" spans="1:45" s="19" customFormat="1" ht="18.75">
      <c r="A17" s="17"/>
      <c r="B17" s="18" t="s">
        <v>172</v>
      </c>
      <c r="T17" s="20"/>
    </row>
    <row r="18" spans="1:45" s="17" customFormat="1" ht="10.5" customHeight="1">
      <c r="A18" s="21"/>
      <c r="B18" s="27"/>
      <c r="C18" s="14"/>
      <c r="D18" s="14"/>
      <c r="E18" s="14"/>
      <c r="F18" s="14"/>
      <c r="G18" s="14"/>
      <c r="H18" s="14"/>
      <c r="I18" s="14"/>
      <c r="J18" s="14"/>
      <c r="K18" s="14"/>
      <c r="L18" s="14"/>
      <c r="M18" s="14"/>
      <c r="N18" s="14"/>
      <c r="O18" s="14"/>
    </row>
    <row r="19" spans="1:45" s="28" customFormat="1" ht="14.85" customHeight="1">
      <c r="E19" s="29"/>
      <c r="F19" s="193" t="s">
        <v>169</v>
      </c>
      <c r="G19" s="193"/>
      <c r="H19" s="193" t="s">
        <v>170</v>
      </c>
      <c r="I19" s="193"/>
      <c r="J19" s="194" t="s">
        <v>171</v>
      </c>
      <c r="K19" s="195"/>
      <c r="L19" s="196"/>
      <c r="M19" s="40"/>
      <c r="N19" s="30"/>
      <c r="O19" s="191" t="s">
        <v>168</v>
      </c>
      <c r="P19" s="191"/>
      <c r="R19" s="2"/>
      <c r="S19" s="31"/>
      <c r="T19" s="32"/>
      <c r="U19" s="32"/>
      <c r="V19" s="32"/>
      <c r="W19" s="32"/>
      <c r="X19" s="33"/>
      <c r="Y19" s="31"/>
      <c r="Z19" s="190"/>
      <c r="AA19" s="190"/>
      <c r="AB19" s="190"/>
      <c r="AC19" s="190"/>
      <c r="AD19" s="190"/>
      <c r="AE19" s="190"/>
      <c r="AF19" s="33"/>
      <c r="AG19" s="33"/>
      <c r="AH19" s="33"/>
      <c r="AI19" s="190"/>
      <c r="AJ19" s="190"/>
      <c r="AK19" s="190"/>
      <c r="AL19" s="190"/>
      <c r="AM19" s="190"/>
      <c r="AN19" s="190"/>
      <c r="AO19" s="31"/>
      <c r="AP19" s="34"/>
      <c r="AQ19" s="34"/>
      <c r="AR19" s="34"/>
    </row>
    <row r="20" spans="1:45" ht="25.5">
      <c r="B20" s="17"/>
      <c r="C20" s="14"/>
      <c r="D20" s="14"/>
      <c r="E20" s="29"/>
      <c r="F20" s="35" t="s">
        <v>235</v>
      </c>
      <c r="G20" s="35" t="s">
        <v>236</v>
      </c>
      <c r="H20" s="35" t="s">
        <v>237</v>
      </c>
      <c r="I20" s="35" t="s">
        <v>238</v>
      </c>
      <c r="J20" s="35" t="s">
        <v>239</v>
      </c>
      <c r="K20" s="35" t="s">
        <v>240</v>
      </c>
      <c r="L20" s="35" t="s">
        <v>241</v>
      </c>
      <c r="M20" s="30"/>
      <c r="N20" s="30"/>
      <c r="O20" s="36" t="s">
        <v>149</v>
      </c>
      <c r="P20" s="36" t="s">
        <v>148</v>
      </c>
      <c r="R20" s="31"/>
      <c r="T20" s="29"/>
      <c r="U20" s="29"/>
      <c r="V20" s="29"/>
      <c r="W20" s="29"/>
      <c r="X20" s="33"/>
      <c r="Y20" s="34"/>
      <c r="Z20" s="33"/>
      <c r="AA20" s="33"/>
      <c r="AB20" s="33"/>
      <c r="AC20" s="33"/>
      <c r="AD20" s="33"/>
      <c r="AE20" s="33"/>
      <c r="AF20" s="33"/>
      <c r="AG20" s="33"/>
      <c r="AH20" s="33"/>
      <c r="AI20" s="33"/>
      <c r="AJ20" s="33"/>
      <c r="AK20" s="33"/>
      <c r="AL20" s="33"/>
      <c r="AM20" s="33"/>
      <c r="AN20" s="33"/>
      <c r="AO20" s="31"/>
      <c r="AP20" s="37"/>
      <c r="AQ20" s="37"/>
      <c r="AR20" s="37"/>
    </row>
    <row r="21" spans="1:45" s="17" customFormat="1" ht="15">
      <c r="A21" s="21"/>
      <c r="E21" s="38"/>
      <c r="F21" s="39">
        <v>0.5</v>
      </c>
      <c r="G21" s="39">
        <f>Controls!$C$6</f>
        <v>0.5</v>
      </c>
      <c r="H21" s="39">
        <f>Controls!$C$7</f>
        <v>0.5</v>
      </c>
      <c r="I21" s="39">
        <f>Controls!$C$8</f>
        <v>0.5</v>
      </c>
      <c r="J21" s="39">
        <f>Controls!$C$9</f>
        <v>0.33333333333333331</v>
      </c>
      <c r="K21" s="39">
        <f>Controls!$C$10</f>
        <v>0.33333333333333331</v>
      </c>
      <c r="L21" s="39">
        <f>Controls!$C$11</f>
        <v>0.33333333333333331</v>
      </c>
      <c r="M21" s="40"/>
      <c r="N21" s="40"/>
      <c r="O21" s="39">
        <f>Controls!$G$5</f>
        <v>0.5</v>
      </c>
      <c r="P21" s="39">
        <f>Controls!$G$6</f>
        <v>0.5</v>
      </c>
    </row>
    <row r="22" spans="1:45" s="17" customFormat="1" ht="13.35" customHeight="1">
      <c r="A22" s="21"/>
      <c r="C22" s="14"/>
      <c r="D22" s="14"/>
      <c r="E22" s="14"/>
      <c r="F22" s="14"/>
      <c r="G22" s="14"/>
      <c r="H22" s="14"/>
      <c r="I22" s="14"/>
      <c r="J22" s="14"/>
      <c r="K22" s="14"/>
      <c r="L22" s="14"/>
      <c r="M22" s="14"/>
      <c r="N22" s="14"/>
      <c r="O22" s="14"/>
    </row>
    <row r="23" spans="1:45" s="19" customFormat="1" ht="18.75">
      <c r="A23" s="17"/>
      <c r="B23" s="18" t="s">
        <v>272</v>
      </c>
      <c r="F23" s="18"/>
      <c r="T23" s="18"/>
    </row>
    <row r="24" spans="1:45" s="28" customFormat="1" ht="15.75" thickBot="1">
      <c r="B24" s="42"/>
      <c r="N24" s="42"/>
      <c r="R24" s="43"/>
      <c r="S24" s="2"/>
      <c r="Z24" s="12"/>
      <c r="AP24" s="2"/>
    </row>
    <row r="25" spans="1:45" s="28" customFormat="1" ht="14.25" customHeight="1" thickTop="1">
      <c r="B25" s="198" t="s">
        <v>125</v>
      </c>
      <c r="C25" s="199" t="s">
        <v>119</v>
      </c>
      <c r="D25" s="199"/>
      <c r="E25" s="199"/>
      <c r="F25" s="204" t="s">
        <v>126</v>
      </c>
      <c r="G25" s="205"/>
      <c r="H25" s="205"/>
      <c r="I25" s="205"/>
      <c r="J25" s="205"/>
      <c r="K25" s="205"/>
      <c r="L25" s="206"/>
      <c r="M25" s="207" t="s">
        <v>161</v>
      </c>
      <c r="N25" s="207"/>
      <c r="O25" s="207"/>
      <c r="P25" s="207"/>
      <c r="Q25" s="200" t="s">
        <v>173</v>
      </c>
      <c r="S25" s="2"/>
      <c r="Z25" s="12"/>
      <c r="AP25" s="2"/>
      <c r="AQ25" s="45"/>
      <c r="AR25" s="40"/>
      <c r="AS25" s="40"/>
    </row>
    <row r="26" spans="1:45" s="28" customFormat="1" ht="30" customHeight="1">
      <c r="B26" s="198"/>
      <c r="C26" s="182" t="s">
        <v>134</v>
      </c>
      <c r="D26" s="182" t="s">
        <v>133</v>
      </c>
      <c r="E26" s="182" t="s">
        <v>135</v>
      </c>
      <c r="F26" s="202" t="s">
        <v>134</v>
      </c>
      <c r="G26" s="203"/>
      <c r="H26" s="202" t="s">
        <v>133</v>
      </c>
      <c r="I26" s="203"/>
      <c r="J26" s="197" t="s">
        <v>135</v>
      </c>
      <c r="K26" s="197"/>
      <c r="L26" s="197"/>
      <c r="M26" s="208"/>
      <c r="N26" s="208"/>
      <c r="O26" s="208"/>
      <c r="P26" s="208"/>
      <c r="Q26" s="201"/>
      <c r="S26" s="2"/>
      <c r="Z26" s="31"/>
      <c r="AP26" s="2"/>
      <c r="AQ26" s="40"/>
      <c r="AR26" s="40"/>
      <c r="AS26" s="40"/>
    </row>
    <row r="27" spans="1:45" ht="39.6" customHeight="1">
      <c r="B27" s="198"/>
      <c r="C27" s="182" t="s">
        <v>92</v>
      </c>
      <c r="D27" s="182" t="s">
        <v>91</v>
      </c>
      <c r="E27" s="182" t="s">
        <v>93</v>
      </c>
      <c r="F27" s="4" t="s">
        <v>208</v>
      </c>
      <c r="G27" s="4" t="s">
        <v>210</v>
      </c>
      <c r="H27" s="4" t="s">
        <v>212</v>
      </c>
      <c r="I27" s="4" t="s">
        <v>213</v>
      </c>
      <c r="J27" s="4" t="s">
        <v>214</v>
      </c>
      <c r="K27" s="4" t="s">
        <v>215</v>
      </c>
      <c r="L27" s="4" t="s">
        <v>216</v>
      </c>
      <c r="M27" s="5" t="s">
        <v>134</v>
      </c>
      <c r="N27" s="5" t="s">
        <v>133</v>
      </c>
      <c r="O27" s="6" t="s">
        <v>149</v>
      </c>
      <c r="P27" s="6" t="s">
        <v>148</v>
      </c>
      <c r="Q27" s="49" t="s">
        <v>141</v>
      </c>
      <c r="R27" s="31"/>
      <c r="Y27" s="12"/>
      <c r="AO27" s="31"/>
      <c r="AP27" s="51"/>
      <c r="AQ27" s="51"/>
      <c r="AR27" s="51"/>
      <c r="AS27" s="52"/>
    </row>
    <row r="28" spans="1:45" ht="16.5" customHeight="1">
      <c r="B28" s="53" t="s">
        <v>102</v>
      </c>
      <c r="C28" s="8">
        <f>SUMIFS('Actual costs'!E$5:E$92,'Actual costs'!$A$5:$A$92,$B28,'Actual costs'!$C$5:$C$92,"&gt;="&amp;$G$11)</f>
        <v>179.85348363159062</v>
      </c>
      <c r="D28" s="8">
        <f>SUMIFS('Actual costs'!F$5:F$92,'Actual costs'!$A$5:$A$92,$B28,'Actual costs'!$C$5:$C$92,"&gt;="&amp;$G$11)</f>
        <v>194.2198363321674</v>
      </c>
      <c r="E28" s="8">
        <f>SUMIFS('Actual costs'!G$5:G$92,'Actual costs'!$A$5:$A$92,$B28,'Actual costs'!$C$5:$C$92,"&gt;="&amp;$G$11)</f>
        <v>374.07331996375797</v>
      </c>
      <c r="F28" s="8">
        <f>SUMIFS('Modelled costs'!M$5:M$92,'Modelled costs'!$A$5:$A$92,$B28,'Modelled costs'!$B$5:$B$92,"&gt;="&amp;$G$11)</f>
        <v>268.34147095787966</v>
      </c>
      <c r="G28" s="8">
        <f>SUMIFS('Modelled costs'!N$5:N$92,'Modelled costs'!$A$5:$A$92,$B28,'Modelled costs'!$B$5:$B$92,"&gt;="&amp;$G$11)</f>
        <v>259.93995217072074</v>
      </c>
      <c r="H28" s="8">
        <f>SUMIFS('Modelled costs'!O$5:O$92,'Modelled costs'!$A$5:$A$92,$B28,'Modelled costs'!$B$5:$B$92,"&gt;="&amp;$G$11)</f>
        <v>190.03622059487267</v>
      </c>
      <c r="I28" s="8">
        <f>SUMIFS('Modelled costs'!P$5:P$92,'Modelled costs'!$A$5:$A$92,$B28,'Modelled costs'!$B$5:$B$92,"&gt;="&amp;$G$11)</f>
        <v>176.60923445321754</v>
      </c>
      <c r="J28" s="8">
        <f>SUMIFS('Modelled costs'!Q$5:Q$92,'Modelled costs'!$A$5:$A$92,$B28,'Modelled costs'!$B$5:$B$92,"&gt;="&amp;$G$11)</f>
        <v>461.18335223755889</v>
      </c>
      <c r="K28" s="8">
        <f>SUMIFS('Modelled costs'!R$5:R$92,'Modelled costs'!$A$5:$A$92,$B28,'Modelled costs'!$B$5:$B$92,"&gt;="&amp;$G$11)</f>
        <v>448.38297071403372</v>
      </c>
      <c r="L28" s="8">
        <f>SUMIFS('Modelled costs'!S$5:S$92,'Modelled costs'!$A$5:$A$92,$B28,'Modelled costs'!$B$5:$B$92,"&gt;="&amp;$G$11)</f>
        <v>395.2915668382459</v>
      </c>
      <c r="M28" s="54">
        <f>F28*F$21+G28*G$21</f>
        <v>264.1407115643002</v>
      </c>
      <c r="N28" s="54">
        <f>H28*H$21+I28*I$21</f>
        <v>183.32272752404509</v>
      </c>
      <c r="O28" s="55">
        <f xml:space="preserve"> SUM(M28:N28)</f>
        <v>447.4634390883453</v>
      </c>
      <c r="P28" s="55">
        <f>J28*J$21+K28*K$21+L28*L$21</f>
        <v>434.95262992994611</v>
      </c>
      <c r="Q28" s="56">
        <f t="shared" ref="Q28:Q44" si="1">O28*O$21+P28*P$21</f>
        <v>441.2080345091457</v>
      </c>
      <c r="Y28" s="12"/>
      <c r="AP28" s="63"/>
      <c r="AQ28" s="64"/>
      <c r="AR28" s="40"/>
      <c r="AS28" s="52"/>
    </row>
    <row r="29" spans="1:45" ht="15.6" customHeight="1">
      <c r="B29" s="57" t="s">
        <v>103</v>
      </c>
      <c r="C29" s="8">
        <f>SUMIFS('Actual costs'!E$5:E$92,'Actual costs'!$A$5:$A$92,$B29,'Actual costs'!$C$5:$C$92,"&gt;="&amp;$G$11)</f>
        <v>142.5271326651586</v>
      </c>
      <c r="D29" s="8">
        <f>SUMIFS('Actual costs'!F$5:F$92,'Actual costs'!$A$5:$A$92,$B29,'Actual costs'!$C$5:$C$92,"&gt;="&amp;$G$11)</f>
        <v>114.71947885709061</v>
      </c>
      <c r="E29" s="8">
        <f>SUMIFS('Actual costs'!G$5:G$92,'Actual costs'!$A$5:$A$92,$B29,'Actual costs'!$C$5:$C$92,"&gt;="&amp;$G$11)</f>
        <v>257.24661152224928</v>
      </c>
      <c r="F29" s="8">
        <f>SUMIFS('Modelled costs'!M$5:M$92,'Modelled costs'!$A$5:$A$92,$B29,'Modelled costs'!$B$5:$B$92,"&gt;="&amp;$G$11)</f>
        <v>152.05563479542147</v>
      </c>
      <c r="G29" s="8">
        <f>SUMIFS('Modelled costs'!N$5:N$92,'Modelled costs'!$A$5:$A$92,$B29,'Modelled costs'!$B$5:$B$92,"&gt;="&amp;$G$11)</f>
        <v>150.0709980274149</v>
      </c>
      <c r="H29" s="8">
        <f>SUMIFS('Modelled costs'!O$5:O$92,'Modelled costs'!$A$5:$A$92,$B29,'Modelled costs'!$B$5:$B$92,"&gt;="&amp;$G$11)</f>
        <v>151.94112817408126</v>
      </c>
      <c r="I29" s="8">
        <f>SUMIFS('Modelled costs'!P$5:P$92,'Modelled costs'!$A$5:$A$92,$B29,'Modelled costs'!$B$5:$B$92,"&gt;="&amp;$G$11)</f>
        <v>141.55505805454843</v>
      </c>
      <c r="J29" s="8">
        <f>SUMIFS('Modelled costs'!Q$5:Q$92,'Modelled costs'!$A$5:$A$92,$B29,'Modelled costs'!$B$5:$B$92,"&gt;="&amp;$G$11)</f>
        <v>303.01471572964664</v>
      </c>
      <c r="K29" s="8">
        <f>SUMIFS('Modelled costs'!R$5:R$92,'Modelled costs'!$A$5:$A$92,$B29,'Modelled costs'!$B$5:$B$92,"&gt;="&amp;$G$11)</f>
        <v>304.61901988248502</v>
      </c>
      <c r="L29" s="8">
        <f>SUMIFS('Modelled costs'!S$5:S$92,'Modelled costs'!$A$5:$A$92,$B29,'Modelled costs'!$B$5:$B$92,"&gt;="&amp;$G$11)</f>
        <v>304.18671051943448</v>
      </c>
      <c r="M29" s="54">
        <f t="shared" ref="M29:M44" si="2">F29*F$21+G29*G$21</f>
        <v>151.06331641141819</v>
      </c>
      <c r="N29" s="54">
        <f t="shared" ref="N29:N44" si="3">H29*H$21+I29*I$21</f>
        <v>146.74809311431483</v>
      </c>
      <c r="O29" s="55">
        <f t="shared" ref="O29:O44" si="4" xml:space="preserve"> SUM(M29:N29)</f>
        <v>297.81140952573298</v>
      </c>
      <c r="P29" s="55">
        <f t="shared" ref="P29:P44" si="5">J29*J$21+K29*K$21+L29*L$21</f>
        <v>303.94014871052207</v>
      </c>
      <c r="Q29" s="56">
        <f t="shared" si="1"/>
        <v>300.87577911812753</v>
      </c>
      <c r="Y29" s="12"/>
      <c r="AP29" s="63"/>
      <c r="AQ29" s="64"/>
      <c r="AR29" s="40"/>
      <c r="AS29" s="52"/>
    </row>
    <row r="30" spans="1:45" ht="15">
      <c r="B30" s="57" t="s">
        <v>104</v>
      </c>
      <c r="C30" s="8">
        <f>SUMIFS('Actual costs'!E$5:E$92,'Actual costs'!$A$5:$A$92,$B30,'Actual costs'!$C$5:$C$92,"&gt;="&amp;$G$11)</f>
        <v>279.47551572368582</v>
      </c>
      <c r="D30" s="8">
        <f>SUMIFS('Actual costs'!F$5:F$92,'Actual costs'!$A$5:$A$92,$B30,'Actual costs'!$C$5:$C$92,"&gt;="&amp;$G$11)</f>
        <v>370.84086400224118</v>
      </c>
      <c r="E30" s="8">
        <f>SUMIFS('Actual costs'!G$5:G$92,'Actual costs'!$A$5:$A$92,$B30,'Actual costs'!$C$5:$C$92,"&gt;="&amp;$G$11)</f>
        <v>650.31637972592694</v>
      </c>
      <c r="F30" s="8">
        <f>SUMIFS('Modelled costs'!M$5:M$92,'Modelled costs'!$A$5:$A$92,$B30,'Modelled costs'!$B$5:$B$92,"&gt;="&amp;$G$11)</f>
        <v>251.02983007107292</v>
      </c>
      <c r="G30" s="8">
        <f>SUMIFS('Modelled costs'!N$5:N$92,'Modelled costs'!$A$5:$A$92,$B30,'Modelled costs'!$B$5:$B$92,"&gt;="&amp;$G$11)</f>
        <v>251.46729070312017</v>
      </c>
      <c r="H30" s="8">
        <f>SUMIFS('Modelled costs'!O$5:O$92,'Modelled costs'!$A$5:$A$92,$B30,'Modelled costs'!$B$5:$B$92,"&gt;="&amp;$G$11)</f>
        <v>331.5981343514668</v>
      </c>
      <c r="I30" s="8">
        <f>SUMIFS('Modelled costs'!P$5:P$92,'Modelled costs'!$A$5:$A$92,$B30,'Modelled costs'!$B$5:$B$92,"&gt;="&amp;$G$11)</f>
        <v>313.67783817182089</v>
      </c>
      <c r="J30" s="8">
        <f>SUMIFS('Modelled costs'!Q$5:Q$92,'Modelled costs'!$A$5:$A$92,$B30,'Modelled costs'!$B$5:$B$92,"&gt;="&amp;$G$11)</f>
        <v>539.75659356009407</v>
      </c>
      <c r="K30" s="8">
        <f>SUMIFS('Modelled costs'!R$5:R$92,'Modelled costs'!$A$5:$A$92,$B30,'Modelled costs'!$B$5:$B$92,"&gt;="&amp;$G$11)</f>
        <v>536.3046511797902</v>
      </c>
      <c r="L30" s="8">
        <f>SUMIFS('Modelled costs'!S$5:S$92,'Modelled costs'!$A$5:$A$92,$B30,'Modelled costs'!$B$5:$B$92,"&gt;="&amp;$G$11)</f>
        <v>562.33621236729323</v>
      </c>
      <c r="M30" s="54">
        <f t="shared" si="2"/>
        <v>251.24856038709655</v>
      </c>
      <c r="N30" s="54">
        <f t="shared" si="3"/>
        <v>322.63798626164385</v>
      </c>
      <c r="O30" s="55">
        <f t="shared" si="4"/>
        <v>573.88654664874036</v>
      </c>
      <c r="P30" s="55">
        <f t="shared" si="5"/>
        <v>546.13248570239239</v>
      </c>
      <c r="Q30" s="56">
        <f t="shared" si="1"/>
        <v>560.00951617556643</v>
      </c>
      <c r="Y30" s="12"/>
      <c r="AP30" s="63"/>
      <c r="AQ30" s="64"/>
      <c r="AR30" s="40"/>
      <c r="AS30" s="52"/>
    </row>
    <row r="31" spans="1:45" ht="15">
      <c r="B31" s="57" t="s">
        <v>105</v>
      </c>
      <c r="C31" s="8">
        <f>SUMIFS('Actual costs'!E$5:E$92,'Actual costs'!$A$5:$A$92,$B31,'Actual costs'!$C$5:$C$92,"&gt;="&amp;$G$11)</f>
        <v>235.92995279022881</v>
      </c>
      <c r="D31" s="8">
        <f>SUMIFS('Actual costs'!F$5:F$92,'Actual costs'!$A$5:$A$92,$B31,'Actual costs'!$C$5:$C$92,"&gt;="&amp;$G$11)</f>
        <v>189.94733865729728</v>
      </c>
      <c r="E31" s="8">
        <f>SUMIFS('Actual costs'!G$5:G$92,'Actual costs'!$A$5:$A$92,$B31,'Actual costs'!$C$5:$C$92,"&gt;="&amp;$G$11)</f>
        <v>425.87729144752598</v>
      </c>
      <c r="F31" s="8">
        <f>SUMIFS('Modelled costs'!M$5:M$92,'Modelled costs'!$A$5:$A$92,$B31,'Modelled costs'!$B$5:$B$92,"&gt;="&amp;$G$11)</f>
        <v>177.05524975135367</v>
      </c>
      <c r="G31" s="8">
        <f>SUMIFS('Modelled costs'!N$5:N$92,'Modelled costs'!$A$5:$A$92,$B31,'Modelled costs'!$B$5:$B$92,"&gt;="&amp;$G$11)</f>
        <v>172.5542402178362</v>
      </c>
      <c r="H31" s="8">
        <f>SUMIFS('Modelled costs'!O$5:O$92,'Modelled costs'!$A$5:$A$92,$B31,'Modelled costs'!$B$5:$B$92,"&gt;="&amp;$G$11)</f>
        <v>122.05057713326565</v>
      </c>
      <c r="I31" s="8">
        <f>SUMIFS('Modelled costs'!P$5:P$92,'Modelled costs'!$A$5:$A$92,$B31,'Modelled costs'!$B$5:$B$92,"&gt;="&amp;$G$11)</f>
        <v>122.37261368389632</v>
      </c>
      <c r="J31" s="8">
        <f>SUMIFS('Modelled costs'!Q$5:Q$92,'Modelled costs'!$A$5:$A$92,$B31,'Modelled costs'!$B$5:$B$92,"&gt;="&amp;$G$11)</f>
        <v>306.54520790212905</v>
      </c>
      <c r="K31" s="8">
        <f>SUMIFS('Modelled costs'!R$5:R$92,'Modelled costs'!$A$5:$A$92,$B31,'Modelled costs'!$B$5:$B$92,"&gt;="&amp;$G$11)</f>
        <v>301.6767199799051</v>
      </c>
      <c r="L31" s="8">
        <f>SUMIFS('Modelled costs'!S$5:S$92,'Modelled costs'!$A$5:$A$92,$B31,'Modelled costs'!$B$5:$B$92,"&gt;="&amp;$G$11)</f>
        <v>291.30079168092135</v>
      </c>
      <c r="M31" s="54">
        <f t="shared" si="2"/>
        <v>174.80474498459495</v>
      </c>
      <c r="N31" s="54">
        <f t="shared" si="3"/>
        <v>122.21159540858099</v>
      </c>
      <c r="O31" s="55">
        <f t="shared" si="4"/>
        <v>297.01634039317594</v>
      </c>
      <c r="P31" s="55">
        <f t="shared" si="5"/>
        <v>299.84090652098513</v>
      </c>
      <c r="Q31" s="56">
        <f t="shared" si="1"/>
        <v>298.42862345708056</v>
      </c>
      <c r="Y31" s="12"/>
      <c r="AP31" s="63"/>
      <c r="AQ31" s="64"/>
      <c r="AR31" s="40"/>
      <c r="AS31" s="52"/>
    </row>
    <row r="32" spans="1:45" ht="15">
      <c r="B32" s="57" t="s">
        <v>106</v>
      </c>
      <c r="C32" s="8">
        <f>SUMIFS('Actual costs'!E$5:E$92,'Actual costs'!$A$5:$A$92,$B32,'Actual costs'!$C$5:$C$92,"&gt;="&amp;$G$11)</f>
        <v>333.02761595464409</v>
      </c>
      <c r="D32" s="8">
        <f>SUMIFS('Actual costs'!F$5:F$92,'Actual costs'!$A$5:$A$92,$B32,'Actual costs'!$C$5:$C$92,"&gt;="&amp;$G$11)</f>
        <v>169.18680528801579</v>
      </c>
      <c r="E32" s="8">
        <f>SUMIFS('Actual costs'!G$5:G$92,'Actual costs'!$A$5:$A$92,$B32,'Actual costs'!$C$5:$C$92,"&gt;="&amp;$G$11)</f>
        <v>502.21442124265997</v>
      </c>
      <c r="F32" s="8">
        <f>SUMIFS('Modelled costs'!M$5:M$92,'Modelled costs'!$A$5:$A$92,$B32,'Modelled costs'!$B$5:$B$92,"&gt;="&amp;$G$11)</f>
        <v>327.08945759090648</v>
      </c>
      <c r="G32" s="8">
        <f>SUMIFS('Modelled costs'!N$5:N$92,'Modelled costs'!$A$5:$A$92,$B32,'Modelled costs'!$B$5:$B$92,"&gt;="&amp;$G$11)</f>
        <v>316.83107866423939</v>
      </c>
      <c r="H32" s="8">
        <f>SUMIFS('Modelled costs'!O$5:O$92,'Modelled costs'!$A$5:$A$92,$B32,'Modelled costs'!$B$5:$B$92,"&gt;="&amp;$G$11)</f>
        <v>254.08972284703762</v>
      </c>
      <c r="I32" s="8">
        <f>SUMIFS('Modelled costs'!P$5:P$92,'Modelled costs'!$A$5:$A$92,$B32,'Modelled costs'!$B$5:$B$92,"&gt;="&amp;$G$11)</f>
        <v>257.18100583947938</v>
      </c>
      <c r="J32" s="8">
        <f>SUMIFS('Modelled costs'!Q$5:Q$92,'Modelled costs'!$A$5:$A$92,$B32,'Modelled costs'!$B$5:$B$92,"&gt;="&amp;$G$11)</f>
        <v>585.21520167943959</v>
      </c>
      <c r="K32" s="8">
        <f>SUMIFS('Modelled costs'!R$5:R$92,'Modelled costs'!$A$5:$A$92,$B32,'Modelled costs'!$B$5:$B$92,"&gt;="&amp;$G$11)</f>
        <v>546.3938721648733</v>
      </c>
      <c r="L32" s="8">
        <f>SUMIFS('Modelled costs'!S$5:S$92,'Modelled costs'!$A$5:$A$92,$B32,'Modelled costs'!$B$5:$B$92,"&gt;="&amp;$G$11)</f>
        <v>542.15125989209105</v>
      </c>
      <c r="M32" s="54">
        <f t="shared" si="2"/>
        <v>321.96026812757293</v>
      </c>
      <c r="N32" s="54">
        <f t="shared" si="3"/>
        <v>255.63536434325852</v>
      </c>
      <c r="O32" s="55">
        <f t="shared" si="4"/>
        <v>577.59563247083145</v>
      </c>
      <c r="P32" s="55">
        <f t="shared" si="5"/>
        <v>557.92011124546798</v>
      </c>
      <c r="Q32" s="56">
        <f t="shared" si="1"/>
        <v>567.75787185814966</v>
      </c>
      <c r="Y32" s="12"/>
      <c r="AP32" s="63"/>
      <c r="AQ32" s="64"/>
      <c r="AR32" s="40"/>
      <c r="AS32" s="52"/>
    </row>
    <row r="33" spans="1:45" ht="15" customHeight="1">
      <c r="B33" s="57" t="s">
        <v>117</v>
      </c>
      <c r="C33" s="181">
        <f>SUMIFS('Actual costs'!E$5:E$92,'Actual costs'!$A$5:$A$92,$B33,'Actual costs'!$C$5:$C$92,"&gt;="&amp;$G$11)+SUMIFS('Actual costs'!E$5:E$92,'Actual costs'!$A$5:$A$92,"SWT",'Actual costs'!$C$5:$C$92,"&gt;="&amp;$G$11)+SUMIFS('Actual costs'!E$5:E$92,'Actual costs'!$A$5:$A$92,"BWH",'Actual costs'!$C$5:$C$92,"&gt;="&amp;$G$11)</f>
        <v>95.32555014312652</v>
      </c>
      <c r="D33" s="181">
        <f>SUMIFS('Actual costs'!F$5:F$92,'Actual costs'!$A$5:$A$92,$B33,'Actual costs'!$C$5:$C$92,"&gt;="&amp;$G$11)+SUMIFS('Actual costs'!F$5:F$92,'Actual costs'!$A$5:$A$92,"SWT",'Actual costs'!$C$5:$C$92,"&gt;="&amp;$G$11)+SUMIFS('Actual costs'!F$5:F$92,'Actual costs'!$A$5:$A$92,"BWH",'Actual costs'!$C$5:$C$92,"&gt;="&amp;$G$11)</f>
        <v>80.797432644331877</v>
      </c>
      <c r="E33" s="181">
        <f>SUMIFS('Actual costs'!G$5:G$92,'Actual costs'!$A$5:$A$92,$B33,'Actual costs'!$C$5:$C$92,"&gt;="&amp;$G$11)+SUMIFS('Actual costs'!G$5:G$92,'Actual costs'!$A$5:$A$92,"SWT",'Actual costs'!$C$5:$C$92,"&gt;="&amp;$G$11)+SUMIFS('Actual costs'!G$5:G$92,'Actual costs'!$A$5:$A$92,"BWH",'Actual costs'!$C$5:$C$92,"&gt;="&amp;$G$11)</f>
        <v>176.12298278745851</v>
      </c>
      <c r="F33" s="181">
        <f>SUMIFS('Modelled costs'!M$5:M$92,'Modelled costs'!$A$5:$A$92,$B33,'Modelled costs'!$B$5:$B$92,"&gt;="&amp;$G$11)+SUMIFS('Modelled costs'!M$5:M$92,'Modelled costs'!$A$5:$A$92,"SWT",'Modelled costs'!$B$5:$B$92,"&gt;="&amp;$G$11)+SUMIFS('Modelled costs'!M$5:M$92,'Modelled costs'!$A$5:$A$92,"BWH",'Modelled costs'!$B$5:$B$92,"&gt;="&amp;$G$11)</f>
        <v>92.972835450089462</v>
      </c>
      <c r="G33" s="181">
        <f>SUMIFS('Modelled costs'!N$5:N$92,'Modelled costs'!$A$5:$A$92,$B33,'Modelled costs'!$B$5:$B$92,"&gt;="&amp;$G$11)+SUMIFS('Modelled costs'!N$5:N$92,'Modelled costs'!$A$5:$A$92,"SWT",'Modelled costs'!$B$5:$B$92,"&gt;="&amp;$G$11)+SUMIFS('Modelled costs'!N$5:N$92,'Modelled costs'!$A$5:$A$92,"BWH",'Modelled costs'!$B$5:$B$92,"&gt;="&amp;$G$11)</f>
        <v>97.049553681161981</v>
      </c>
      <c r="H33" s="181">
        <f>SUMIFS('Modelled costs'!O$5:O$92,'Modelled costs'!$A$5:$A$92,$B33,'Modelled costs'!$B$5:$B$92,"&gt;="&amp;$G$11)+SUMIFS('Modelled costs'!O$5:O$92,'Modelled costs'!$A$5:$A$92,"SWT",'Modelled costs'!$B$5:$B$92,"&gt;="&amp;$G$11)+SUMIFS('Modelled costs'!O$5:O$92,'Modelled costs'!$A$5:$A$92,"BWH",'Modelled costs'!$B$5:$B$92,"&gt;="&amp;$G$11)</f>
        <v>73.02162332332594</v>
      </c>
      <c r="I33" s="181">
        <f>SUMIFS('Modelled costs'!P$5:P$92,'Modelled costs'!$A$5:$A$92,$B33,'Modelled costs'!$B$5:$B$92,"&gt;="&amp;$G$11)+SUMIFS('Modelled costs'!P$5:P$92,'Modelled costs'!$A$5:$A$92,"SWT",'Modelled costs'!$B$5:$B$92,"&gt;="&amp;$G$11)+SUMIFS('Modelled costs'!P$5:P$92,'Modelled costs'!$A$5:$A$92,"BWH",'Modelled costs'!$B$5:$B$92,"&gt;="&amp;$G$11)</f>
        <v>78.962588487118296</v>
      </c>
      <c r="J33" s="181">
        <f>SUMIFS('Modelled costs'!Q$5:Q$92,'Modelled costs'!$A$5:$A$92,$B33,'Modelled costs'!$B$5:$B$92,"&gt;="&amp;$G$11)+SUMIFS('Modelled costs'!Q$5:Q$92,'Modelled costs'!$A$5:$A$92,"SWT",'Modelled costs'!$B$5:$B$92,"&gt;="&amp;$G$11)+SUMIFS('Modelled costs'!Q$5:Q$92,'Modelled costs'!$A$5:$A$92,"BWH",'Modelled costs'!$B$5:$B$92,"&gt;="&amp;$G$11)</f>
        <v>164.24653189518855</v>
      </c>
      <c r="K33" s="181">
        <f>SUMIFS('Modelled costs'!R$5:R$92,'Modelled costs'!$A$5:$A$92,$B33,'Modelled costs'!$B$5:$B$92,"&gt;="&amp;$G$11)+SUMIFS('Modelled costs'!R$5:R$92,'Modelled costs'!$A$5:$A$92,"SWT",'Modelled costs'!$B$5:$B$92,"&gt;="&amp;$G$11)+SUMIFS('Modelled costs'!R$5:R$92,'Modelled costs'!$A$5:$A$92,"BWH",'Modelled costs'!$B$5:$B$92,"&gt;="&amp;$G$11)</f>
        <v>171.60645182122857</v>
      </c>
      <c r="L33" s="181">
        <f>SUMIFS('Modelled costs'!S$5:S$92,'Modelled costs'!$A$5:$A$92,$B33,'Modelled costs'!$B$5:$B$92,"&gt;="&amp;$G$11)+SUMIFS('Modelled costs'!S$5:S$92,'Modelled costs'!$A$5:$A$92,"SWT",'Modelled costs'!$B$5:$B$92,"&gt;="&amp;$G$11)+SUMIFS('Modelled costs'!S$5:S$92,'Modelled costs'!$A$5:$A$92,"BWH",'Modelled costs'!$B$5:$B$92,"&gt;="&amp;$G$11)</f>
        <v>176.09093357718194</v>
      </c>
      <c r="M33" s="54">
        <f t="shared" si="2"/>
        <v>95.011194565625715</v>
      </c>
      <c r="N33" s="54">
        <f t="shared" si="3"/>
        <v>75.992105905222118</v>
      </c>
      <c r="O33" s="55">
        <f t="shared" si="4"/>
        <v>171.00330047084782</v>
      </c>
      <c r="P33" s="55">
        <f t="shared" si="5"/>
        <v>170.64797243119969</v>
      </c>
      <c r="Q33" s="56">
        <f t="shared" si="1"/>
        <v>170.82563645102374</v>
      </c>
      <c r="Y33" s="12"/>
      <c r="AP33" s="63"/>
      <c r="AQ33" s="64"/>
      <c r="AR33" s="40"/>
      <c r="AS33" s="52"/>
    </row>
    <row r="34" spans="1:45" ht="15">
      <c r="B34" s="57" t="s">
        <v>107</v>
      </c>
      <c r="C34" s="8">
        <f>SUMIFS('Actual costs'!E$5:E$92,'Actual costs'!$A$5:$A$92,$B34,'Actual costs'!$C$5:$C$92,"&gt;="&amp;$G$11)</f>
        <v>472.45723804524664</v>
      </c>
      <c r="D34" s="8">
        <f>SUMIFS('Actual costs'!F$5:F$92,'Actual costs'!$A$5:$A$92,$B34,'Actual costs'!$C$5:$C$92,"&gt;="&amp;$G$11)</f>
        <v>377.05895514566453</v>
      </c>
      <c r="E34" s="8">
        <f>SUMIFS('Actual costs'!G$5:G$92,'Actual costs'!$A$5:$A$92,$B34,'Actual costs'!$C$5:$C$92,"&gt;="&amp;$G$11)</f>
        <v>849.51619319091105</v>
      </c>
      <c r="F34" s="8">
        <f>SUMIFS('Modelled costs'!M$5:M$92,'Modelled costs'!$A$5:$A$92,$B34,'Modelled costs'!$B$5:$B$92,"&gt;="&amp;$G$11)</f>
        <v>433.18386894924936</v>
      </c>
      <c r="G34" s="8">
        <f>SUMIFS('Modelled costs'!N$5:N$92,'Modelled costs'!$A$5:$A$92,$B34,'Modelled costs'!$B$5:$B$92,"&gt;="&amp;$G$11)</f>
        <v>409.40870502897974</v>
      </c>
      <c r="H34" s="8">
        <f>SUMIFS('Modelled costs'!O$5:O$92,'Modelled costs'!$A$5:$A$92,$B34,'Modelled costs'!$B$5:$B$92,"&gt;="&amp;$G$11)</f>
        <v>394.88283349154636</v>
      </c>
      <c r="I34" s="8">
        <f>SUMIFS('Modelled costs'!P$5:P$92,'Modelled costs'!$A$5:$A$92,$B34,'Modelled costs'!$B$5:$B$92,"&gt;="&amp;$G$11)</f>
        <v>397.33423082433887</v>
      </c>
      <c r="J34" s="8">
        <f>SUMIFS('Modelled costs'!Q$5:Q$92,'Modelled costs'!$A$5:$A$92,$B34,'Modelled costs'!$B$5:$B$92,"&gt;="&amp;$G$11)</f>
        <v>829.42298226228297</v>
      </c>
      <c r="K34" s="8">
        <f>SUMIFS('Modelled costs'!R$5:R$92,'Modelled costs'!$A$5:$A$92,$B34,'Modelled costs'!$B$5:$B$92,"&gt;="&amp;$G$11)</f>
        <v>773.149337110837</v>
      </c>
      <c r="L34" s="8">
        <f>SUMIFS('Modelled costs'!S$5:S$92,'Modelled costs'!$A$5:$A$92,$B34,'Modelled costs'!$B$5:$B$92,"&gt;="&amp;$G$11)</f>
        <v>865.89930204260463</v>
      </c>
      <c r="M34" s="54">
        <f t="shared" si="2"/>
        <v>421.29628698911455</v>
      </c>
      <c r="N34" s="54">
        <f t="shared" si="3"/>
        <v>396.10853215794259</v>
      </c>
      <c r="O34" s="55">
        <f t="shared" si="4"/>
        <v>817.4048191470572</v>
      </c>
      <c r="P34" s="55">
        <f t="shared" si="5"/>
        <v>822.82387380524142</v>
      </c>
      <c r="Q34" s="56">
        <f t="shared" si="1"/>
        <v>820.11434647614931</v>
      </c>
      <c r="Y34" s="12"/>
      <c r="AP34" s="63"/>
      <c r="AQ34" s="64"/>
      <c r="AR34" s="40"/>
      <c r="AS34" s="52"/>
    </row>
    <row r="35" spans="1:45" s="17" customFormat="1" ht="15">
      <c r="B35" s="57" t="s">
        <v>140</v>
      </c>
      <c r="C35" s="8">
        <f>SUMIFS('Actual costs'!E$5:E$92,'Actual costs'!$A$5:$A$92,$B35,'Actual costs'!$C$5:$C$92,"&gt;="&amp;$G$11)</f>
        <v>142.36751021536159</v>
      </c>
      <c r="D35" s="8">
        <f>SUMIFS('Actual costs'!F$5:F$92,'Actual costs'!$A$5:$A$92,$B35,'Actual costs'!$C$5:$C$92,"&gt;="&amp;$G$11)</f>
        <v>165.92641781995141</v>
      </c>
      <c r="E35" s="8">
        <f>SUMIFS('Actual costs'!G$5:G$92,'Actual costs'!$A$5:$A$92,$B35,'Actual costs'!$C$5:$C$92,"&gt;="&amp;$G$11)</f>
        <v>308.29392803531277</v>
      </c>
      <c r="F35" s="8">
        <f>SUMIFS('Modelled costs'!M$5:M$92,'Modelled costs'!$A$5:$A$92,$B35,'Modelled costs'!$B$5:$B$92,"&gt;="&amp;$G$11)</f>
        <v>115.94975251470984</v>
      </c>
      <c r="G35" s="8">
        <f>SUMIFS('Modelled costs'!N$5:N$92,'Modelled costs'!$A$5:$A$92,$B35,'Modelled costs'!$B$5:$B$92,"&gt;="&amp;$G$11)</f>
        <v>119.17885250680661</v>
      </c>
      <c r="H35" s="8">
        <f>SUMIFS('Modelled costs'!O$5:O$92,'Modelled costs'!$A$5:$A$92,$B35,'Modelled costs'!$B$5:$B$92,"&gt;="&amp;$G$11)</f>
        <v>128.65029826610129</v>
      </c>
      <c r="I35" s="8">
        <f>SUMIFS('Modelled costs'!P$5:P$92,'Modelled costs'!$A$5:$A$92,$B35,'Modelled costs'!$B$5:$B$92,"&gt;="&amp;$G$11)</f>
        <v>125.80744790339331</v>
      </c>
      <c r="J35" s="8">
        <f>SUMIFS('Modelled costs'!Q$5:Q$92,'Modelled costs'!$A$5:$A$92,$B35,'Modelled costs'!$B$5:$B$92,"&gt;="&amp;$G$11)</f>
        <v>237.74950367354029</v>
      </c>
      <c r="K35" s="8">
        <f>SUMIFS('Modelled costs'!R$5:R$92,'Modelled costs'!$A$5:$A$92,$B35,'Modelled costs'!$B$5:$B$92,"&gt;="&amp;$G$11)</f>
        <v>241.14987499174754</v>
      </c>
      <c r="L35" s="8">
        <f>SUMIFS('Modelled costs'!S$5:S$92,'Modelled costs'!$A$5:$A$92,$B35,'Modelled costs'!$B$5:$B$92,"&gt;="&amp;$G$11)</f>
        <v>245.32357727954383</v>
      </c>
      <c r="M35" s="54">
        <f t="shared" si="2"/>
        <v>117.56430251075822</v>
      </c>
      <c r="N35" s="54">
        <f t="shared" si="3"/>
        <v>127.22887308474731</v>
      </c>
      <c r="O35" s="55">
        <f t="shared" si="4"/>
        <v>244.79317559550555</v>
      </c>
      <c r="P35" s="55">
        <f t="shared" si="5"/>
        <v>241.40765198161054</v>
      </c>
      <c r="Q35" s="56">
        <f t="shared" si="1"/>
        <v>243.10041378855806</v>
      </c>
      <c r="R35" s="2"/>
      <c r="Y35" s="14"/>
      <c r="AO35" s="2"/>
      <c r="AP35" s="52"/>
      <c r="AQ35" s="52"/>
      <c r="AR35" s="52"/>
      <c r="AS35" s="52"/>
    </row>
    <row r="36" spans="1:45" ht="15">
      <c r="B36" s="57" t="s">
        <v>108</v>
      </c>
      <c r="C36" s="8">
        <f>SUMIFS('Actual costs'!E$5:E$92,'Actual costs'!$A$5:$A$92,$B36,'Actual costs'!$C$5:$C$92,"&gt;="&amp;$G$11)</f>
        <v>73.684193070005193</v>
      </c>
      <c r="D36" s="8">
        <f>SUMIFS('Actual costs'!F$5:F$92,'Actual costs'!$A$5:$A$92,$B36,'Actual costs'!$C$5:$C$92,"&gt;="&amp;$G$11)</f>
        <v>70.244686595683604</v>
      </c>
      <c r="E36" s="8">
        <f>SUMIFS('Actual costs'!G$5:G$92,'Actual costs'!$A$5:$A$92,$B36,'Actual costs'!$C$5:$C$92,"&gt;="&amp;$G$11)</f>
        <v>143.9288796656889</v>
      </c>
      <c r="F36" s="8">
        <f>SUMIFS('Modelled costs'!M$5:M$92,'Modelled costs'!$A$5:$A$92,$B36,'Modelled costs'!$B$5:$B$92,"&gt;="&amp;$G$11)</f>
        <v>99.346969577882163</v>
      </c>
      <c r="G36" s="8">
        <f>SUMIFS('Modelled costs'!N$5:N$92,'Modelled costs'!$A$5:$A$92,$B36,'Modelled costs'!$B$5:$B$92,"&gt;="&amp;$G$11)</f>
        <v>98.764453419593409</v>
      </c>
      <c r="H36" s="8">
        <f>SUMIFS('Modelled costs'!O$5:O$92,'Modelled costs'!$A$5:$A$92,$B36,'Modelled costs'!$B$5:$B$92,"&gt;="&amp;$G$11)</f>
        <v>62.432411232876859</v>
      </c>
      <c r="I36" s="8">
        <f>SUMIFS('Modelled costs'!P$5:P$92,'Modelled costs'!$A$5:$A$92,$B36,'Modelled costs'!$B$5:$B$92,"&gt;="&amp;$G$11)</f>
        <v>65.635108318611515</v>
      </c>
      <c r="J36" s="8">
        <f>SUMIFS('Modelled costs'!Q$5:Q$92,'Modelled costs'!$A$5:$A$92,$B36,'Modelled costs'!$B$5:$B$92,"&gt;="&amp;$G$11)</f>
        <v>171.18971123869321</v>
      </c>
      <c r="K36" s="8">
        <f>SUMIFS('Modelled costs'!R$5:R$92,'Modelled costs'!$A$5:$A$92,$B36,'Modelled costs'!$B$5:$B$92,"&gt;="&amp;$G$11)</f>
        <v>166.35064986997429</v>
      </c>
      <c r="L36" s="8">
        <f>SUMIFS('Modelled costs'!S$5:S$92,'Modelled costs'!$A$5:$A$92,$B36,'Modelled costs'!$B$5:$B$92,"&gt;="&amp;$G$11)</f>
        <v>159.35525928513186</v>
      </c>
      <c r="M36" s="54">
        <f t="shared" si="2"/>
        <v>99.055711498737793</v>
      </c>
      <c r="N36" s="54">
        <f t="shared" si="3"/>
        <v>64.033759775744187</v>
      </c>
      <c r="O36" s="55">
        <f t="shared" si="4"/>
        <v>163.08947127448198</v>
      </c>
      <c r="P36" s="55">
        <f t="shared" si="5"/>
        <v>165.63187346459978</v>
      </c>
      <c r="Q36" s="56">
        <f t="shared" si="1"/>
        <v>164.36067236954088</v>
      </c>
      <c r="R36" s="17"/>
      <c r="Y36" s="12"/>
      <c r="AO36" s="17"/>
      <c r="AP36" s="52"/>
      <c r="AQ36" s="52"/>
      <c r="AR36" s="52"/>
      <c r="AS36" s="52"/>
    </row>
    <row r="37" spans="1:45" ht="15">
      <c r="B37" s="57" t="s">
        <v>109</v>
      </c>
      <c r="C37" s="8">
        <f>SUMIFS('Actual costs'!E$5:E$92,'Actual costs'!$A$5:$A$92,$B37,'Actual costs'!$C$5:$C$92,"&gt;="&amp;$G$11)</f>
        <v>175.57988232084102</v>
      </c>
      <c r="D37" s="8">
        <f>SUMIFS('Actual costs'!F$5:F$92,'Actual costs'!$A$5:$A$92,$B37,'Actual costs'!$C$5:$C$92,"&gt;="&amp;$G$11)</f>
        <v>112.7642496483555</v>
      </c>
      <c r="E37" s="8">
        <f>SUMIFS('Actual costs'!G$5:G$92,'Actual costs'!$A$5:$A$92,$B37,'Actual costs'!$C$5:$C$92,"&gt;="&amp;$G$11)</f>
        <v>288.34413196919638</v>
      </c>
      <c r="F37" s="8">
        <f>SUMIFS('Modelled costs'!M$5:M$92,'Modelled costs'!$A$5:$A$92,$B37,'Modelled costs'!$B$5:$B$92,"&gt;="&amp;$G$11)</f>
        <v>190.40511998408948</v>
      </c>
      <c r="G37" s="8">
        <f>SUMIFS('Modelled costs'!N$5:N$92,'Modelled costs'!$A$5:$A$92,$B37,'Modelled costs'!$B$5:$B$92,"&gt;="&amp;$G$11)</f>
        <v>192.25394508680137</v>
      </c>
      <c r="H37" s="8">
        <f>SUMIFS('Modelled costs'!O$5:O$92,'Modelled costs'!$A$5:$A$92,$B37,'Modelled costs'!$B$5:$B$92,"&gt;="&amp;$G$11)</f>
        <v>175.69334934395027</v>
      </c>
      <c r="I37" s="8">
        <f>SUMIFS('Modelled costs'!P$5:P$92,'Modelled costs'!$A$5:$A$92,$B37,'Modelled costs'!$B$5:$B$92,"&gt;="&amp;$G$11)</f>
        <v>171.97238831307317</v>
      </c>
      <c r="J37" s="8">
        <f>SUMIFS('Modelled costs'!Q$5:Q$92,'Modelled costs'!$A$5:$A$92,$B37,'Modelled costs'!$B$5:$B$92,"&gt;="&amp;$G$11)</f>
        <v>357.59030051661557</v>
      </c>
      <c r="K37" s="8">
        <f>SUMIFS('Modelled costs'!R$5:R$92,'Modelled costs'!$A$5:$A$92,$B37,'Modelled costs'!$B$5:$B$92,"&gt;="&amp;$G$11)</f>
        <v>353.70525669042075</v>
      </c>
      <c r="L37" s="8">
        <f>SUMIFS('Modelled costs'!S$5:S$92,'Modelled costs'!$A$5:$A$92,$B37,'Modelled costs'!$B$5:$B$92,"&gt;="&amp;$G$11)</f>
        <v>352.29054053292805</v>
      </c>
      <c r="M37" s="54">
        <f t="shared" si="2"/>
        <v>191.32953253544542</v>
      </c>
      <c r="N37" s="54">
        <f t="shared" si="3"/>
        <v>173.83286882851172</v>
      </c>
      <c r="O37" s="55">
        <f t="shared" si="4"/>
        <v>365.16240136395714</v>
      </c>
      <c r="P37" s="55">
        <f t="shared" si="5"/>
        <v>354.52869924665481</v>
      </c>
      <c r="Q37" s="56">
        <f t="shared" si="1"/>
        <v>359.84555030530601</v>
      </c>
      <c r="Y37" s="12"/>
      <c r="AP37" s="52"/>
      <c r="AQ37" s="52"/>
      <c r="AR37" s="52"/>
      <c r="AS37" s="52"/>
    </row>
    <row r="38" spans="1:45" ht="15">
      <c r="B38" s="57" t="s">
        <v>110</v>
      </c>
      <c r="C38" s="8">
        <f>SUMIFS('Actual costs'!E$5:E$92,'Actual costs'!$A$5:$A$92,$B38,'Actual costs'!$C$5:$C$92,"&gt;="&amp;$G$11)</f>
        <v>108.76572647647612</v>
      </c>
      <c r="D38" s="8">
        <f>SUMIFS('Actual costs'!F$5:F$92,'Actual costs'!$A$5:$A$92,$B38,'Actual costs'!$C$5:$C$92,"&gt;="&amp;$G$11)</f>
        <v>49.489899694144817</v>
      </c>
      <c r="E38" s="8">
        <f>SUMIFS('Actual costs'!G$5:G$92,'Actual costs'!$A$5:$A$92,$B38,'Actual costs'!$C$5:$C$92,"&gt;="&amp;$G$11)</f>
        <v>158.2556261706211</v>
      </c>
      <c r="F38" s="8">
        <f>SUMIFS('Modelled costs'!M$5:M$92,'Modelled costs'!$A$5:$A$92,$B38,'Modelled costs'!$B$5:$B$92,"&gt;="&amp;$G$11)</f>
        <v>104.51261738586729</v>
      </c>
      <c r="G38" s="8">
        <f>SUMIFS('Modelled costs'!N$5:N$92,'Modelled costs'!$A$5:$A$92,$B38,'Modelled costs'!$B$5:$B$92,"&gt;="&amp;$G$11)</f>
        <v>99.211689064829514</v>
      </c>
      <c r="H38" s="8">
        <f>SUMIFS('Modelled costs'!O$5:O$92,'Modelled costs'!$A$5:$A$92,$B38,'Modelled costs'!$B$5:$B$92,"&gt;="&amp;$G$11)</f>
        <v>47.212349635438201</v>
      </c>
      <c r="I38" s="8">
        <f>SUMIFS('Modelled costs'!P$5:P$92,'Modelled costs'!$A$5:$A$92,$B38,'Modelled costs'!$B$5:$B$92,"&gt;="&amp;$G$11)</f>
        <v>44.817080324071981</v>
      </c>
      <c r="J38" s="8">
        <f>SUMIFS('Modelled costs'!Q$5:Q$92,'Modelled costs'!$A$5:$A$92,$B38,'Modelled costs'!$B$5:$B$92,"&gt;="&amp;$G$11)</f>
        <v>160.62991108768412</v>
      </c>
      <c r="K38" s="8">
        <f>SUMIFS('Modelled costs'!R$5:R$92,'Modelled costs'!$A$5:$A$92,$B38,'Modelled costs'!$B$5:$B$92,"&gt;="&amp;$G$11)</f>
        <v>155.93807426106574</v>
      </c>
      <c r="L38" s="8">
        <f>SUMIFS('Modelled costs'!S$5:S$92,'Modelled costs'!$A$5:$A$92,$B38,'Modelled costs'!$B$5:$B$92,"&gt;="&amp;$G$11)</f>
        <v>153.79042656929633</v>
      </c>
      <c r="M38" s="54">
        <f t="shared" si="2"/>
        <v>101.86215322534841</v>
      </c>
      <c r="N38" s="54">
        <f t="shared" si="3"/>
        <v>46.014714979755091</v>
      </c>
      <c r="O38" s="55">
        <f t="shared" si="4"/>
        <v>147.87686820510351</v>
      </c>
      <c r="P38" s="55">
        <f t="shared" si="5"/>
        <v>156.78613730601541</v>
      </c>
      <c r="Q38" s="56">
        <f t="shared" si="1"/>
        <v>152.33150275555946</v>
      </c>
      <c r="Y38" s="12"/>
      <c r="AP38" s="52"/>
      <c r="AQ38" s="52"/>
      <c r="AR38" s="52"/>
      <c r="AS38" s="52"/>
    </row>
    <row r="39" spans="1:45" ht="15">
      <c r="B39" s="57" t="s">
        <v>111</v>
      </c>
      <c r="C39" s="8">
        <f>SUMIFS('Actual costs'!E$5:E$92,'Actual costs'!$A$5:$A$92,$B39,'Actual costs'!$C$5:$C$92,"&gt;="&amp;$G$11)</f>
        <v>29.84753687407995</v>
      </c>
      <c r="D39" s="8">
        <f>SUMIFS('Actual costs'!F$5:F$92,'Actual costs'!$A$5:$A$92,$B39,'Actual costs'!$C$5:$C$92,"&gt;="&amp;$G$11)</f>
        <v>18.171664071845679</v>
      </c>
      <c r="E39" s="8">
        <f>SUMIFS('Actual costs'!G$5:G$92,'Actual costs'!$A$5:$A$92,$B39,'Actual costs'!$C$5:$C$92,"&gt;="&amp;$G$11)</f>
        <v>48.019200945925618</v>
      </c>
      <c r="F39" s="8">
        <f>SUMIFS('Modelled costs'!M$5:M$92,'Modelled costs'!$A$5:$A$92,$B39,'Modelled costs'!$B$5:$B$92,"&gt;="&amp;$G$11)</f>
        <v>36.516134379852993</v>
      </c>
      <c r="G39" s="8">
        <f>SUMIFS('Modelled costs'!N$5:N$92,'Modelled costs'!$A$5:$A$92,$B39,'Modelled costs'!$B$5:$B$92,"&gt;="&amp;$G$11)</f>
        <v>36.413882963281729</v>
      </c>
      <c r="H39" s="8">
        <f>SUMIFS('Modelled costs'!O$5:O$92,'Modelled costs'!$A$5:$A$92,$B39,'Modelled costs'!$B$5:$B$92,"&gt;="&amp;$G$11)</f>
        <v>14.28270834023408</v>
      </c>
      <c r="I39" s="8">
        <f>SUMIFS('Modelled costs'!P$5:P$92,'Modelled costs'!$A$5:$A$92,$B39,'Modelled costs'!$B$5:$B$92,"&gt;="&amp;$G$11)</f>
        <v>16.932651974957402</v>
      </c>
      <c r="J39" s="8">
        <f>SUMIFS('Modelled costs'!Q$5:Q$92,'Modelled costs'!$A$5:$A$92,$B39,'Modelled costs'!$B$5:$B$92,"&gt;="&amp;$G$11)</f>
        <v>53.877016664253681</v>
      </c>
      <c r="K39" s="8">
        <f>SUMIFS('Modelled costs'!R$5:R$92,'Modelled costs'!$A$5:$A$92,$B39,'Modelled costs'!$B$5:$B$92,"&gt;="&amp;$G$11)</f>
        <v>53.850162462306827</v>
      </c>
      <c r="L39" s="8">
        <f>SUMIFS('Modelled costs'!S$5:S$92,'Modelled costs'!$A$5:$A$92,$B39,'Modelled costs'!$B$5:$B$92,"&gt;="&amp;$G$11)</f>
        <v>63.061900095361075</v>
      </c>
      <c r="M39" s="54">
        <f t="shared" si="2"/>
        <v>36.465008671567361</v>
      </c>
      <c r="N39" s="54">
        <f t="shared" si="3"/>
        <v>15.607680157595741</v>
      </c>
      <c r="O39" s="55">
        <f t="shared" si="4"/>
        <v>52.072688829163098</v>
      </c>
      <c r="P39" s="55">
        <f t="shared" si="5"/>
        <v>56.929693073973866</v>
      </c>
      <c r="Q39" s="56">
        <f t="shared" si="1"/>
        <v>54.501190951568482</v>
      </c>
      <c r="Y39" s="12"/>
    </row>
    <row r="40" spans="1:45" ht="15">
      <c r="B40" s="57" t="s">
        <v>112</v>
      </c>
      <c r="C40" s="8">
        <f>SUMIFS('Actual costs'!E$5:E$92,'Actual costs'!$A$5:$A$92,$B40,'Actual costs'!$C$5:$C$92,"&gt;="&amp;$G$11)</f>
        <v>9.4112477510046411</v>
      </c>
      <c r="D40" s="8">
        <f>SUMIFS('Actual costs'!F$5:F$92,'Actual costs'!$A$5:$A$92,$B40,'Actual costs'!$C$5:$C$92,"&gt;="&amp;$G$11)</f>
        <v>3.7871958255549467</v>
      </c>
      <c r="E40" s="8">
        <f>SUMIFS('Actual costs'!G$5:G$92,'Actual costs'!$A$5:$A$92,$B40,'Actual costs'!$C$5:$C$92,"&gt;="&amp;$G$11)</f>
        <v>13.198443576559578</v>
      </c>
      <c r="F40" s="8">
        <f>SUMIFS('Modelled costs'!M$5:M$92,'Modelled costs'!$A$5:$A$92,$B40,'Modelled costs'!$B$5:$B$92,"&gt;="&amp;$G$11)</f>
        <v>9.2852992310482687</v>
      </c>
      <c r="G40" s="8">
        <f>SUMIFS('Modelled costs'!N$5:N$92,'Modelled costs'!$A$5:$A$92,$B40,'Modelled costs'!$B$5:$B$92,"&gt;="&amp;$G$11)</f>
        <v>9.8886794641851186</v>
      </c>
      <c r="H40" s="8">
        <f>SUMIFS('Modelled costs'!O$5:O$92,'Modelled costs'!$A$5:$A$92,$B40,'Modelled costs'!$B$5:$B$92,"&gt;="&amp;$G$11)</f>
        <v>3.0868009576147322</v>
      </c>
      <c r="I40" s="8">
        <f>SUMIFS('Modelled costs'!P$5:P$92,'Modelled costs'!$A$5:$A$92,$B40,'Modelled costs'!$B$5:$B$92,"&gt;="&amp;$G$11)</f>
        <v>2.7713982004459488</v>
      </c>
      <c r="J40" s="8">
        <f>SUMIFS('Modelled costs'!Q$5:Q$92,'Modelled costs'!$A$5:$A$92,$B40,'Modelled costs'!$B$5:$B$92,"&gt;="&amp;$G$11)</f>
        <v>12.565428428649726</v>
      </c>
      <c r="K40" s="8">
        <f>SUMIFS('Modelled costs'!R$5:R$92,'Modelled costs'!$A$5:$A$92,$B40,'Modelled costs'!$B$5:$B$92,"&gt;="&amp;$G$11)</f>
        <v>14.0448667635888</v>
      </c>
      <c r="L40" s="8">
        <f>SUMIFS('Modelled costs'!S$5:S$92,'Modelled costs'!$A$5:$A$92,$B40,'Modelled costs'!$B$5:$B$92,"&gt;="&amp;$G$11)</f>
        <v>13.32960353142272</v>
      </c>
      <c r="M40" s="54">
        <f t="shared" si="2"/>
        <v>9.5869893476166936</v>
      </c>
      <c r="N40" s="54">
        <f t="shared" si="3"/>
        <v>2.9290995790303405</v>
      </c>
      <c r="O40" s="55">
        <f t="shared" si="4"/>
        <v>12.516088926647035</v>
      </c>
      <c r="P40" s="55">
        <f t="shared" si="5"/>
        <v>13.313299574553749</v>
      </c>
      <c r="Q40" s="56">
        <f t="shared" si="1"/>
        <v>12.914694250600391</v>
      </c>
      <c r="Y40" s="12"/>
    </row>
    <row r="41" spans="1:45" ht="15">
      <c r="B41" s="57" t="s">
        <v>113</v>
      </c>
      <c r="C41" s="8">
        <f>SUMIFS('Actual costs'!E$5:E$92,'Actual costs'!$A$5:$A$92,$B41,'Actual costs'!$C$5:$C$92,"&gt;="&amp;$G$11)</f>
        <v>18.44818575678606</v>
      </c>
      <c r="D41" s="8">
        <f>SUMIFS('Actual costs'!F$5:F$92,'Actual costs'!$A$5:$A$92,$B41,'Actual costs'!$C$5:$C$92,"&gt;="&amp;$G$11)</f>
        <v>5.6837785222143555</v>
      </c>
      <c r="E41" s="8">
        <f>SUMIFS('Actual costs'!G$5:G$92,'Actual costs'!$A$5:$A$92,$B41,'Actual costs'!$C$5:$C$92,"&gt;="&amp;$G$11)</f>
        <v>24.131964279000417</v>
      </c>
      <c r="F41" s="8">
        <f>SUMIFS('Modelled costs'!M$5:M$92,'Modelled costs'!$A$5:$A$92,$B41,'Modelled costs'!$B$5:$B$92,"&gt;="&amp;$G$11)</f>
        <v>19.711388851102033</v>
      </c>
      <c r="G41" s="8">
        <f>SUMIFS('Modelled costs'!N$5:N$92,'Modelled costs'!$A$5:$A$92,$B41,'Modelled costs'!$B$5:$B$92,"&gt;="&amp;$G$11)</f>
        <v>20.199019568706309</v>
      </c>
      <c r="H41" s="8">
        <f>SUMIFS('Modelled costs'!O$5:O$92,'Modelled costs'!$A$5:$A$92,$B41,'Modelled costs'!$B$5:$B$92,"&gt;="&amp;$G$11)</f>
        <v>5.1247358599851758</v>
      </c>
      <c r="I41" s="8">
        <f>SUMIFS('Modelled costs'!P$5:P$92,'Modelled costs'!$A$5:$A$92,$B41,'Modelled costs'!$B$5:$B$92,"&gt;="&amp;$G$11)</f>
        <v>4.5017612716672994</v>
      </c>
      <c r="J41" s="8">
        <f>SUMIFS('Modelled costs'!Q$5:Q$92,'Modelled costs'!$A$5:$A$92,$B41,'Modelled costs'!$B$5:$B$92,"&gt;="&amp;$G$11)</f>
        <v>24.648956931524154</v>
      </c>
      <c r="K41" s="8">
        <f>SUMIFS('Modelled costs'!R$5:R$92,'Modelled costs'!$A$5:$A$92,$B41,'Modelled costs'!$B$5:$B$92,"&gt;="&amp;$G$11)</f>
        <v>24.884937366016423</v>
      </c>
      <c r="L41" s="8">
        <f>SUMIFS('Modelled costs'!S$5:S$92,'Modelled costs'!$A$5:$A$92,$B41,'Modelled costs'!$B$5:$B$92,"&gt;="&amp;$G$11)</f>
        <v>23.48275593853149</v>
      </c>
      <c r="M41" s="54">
        <f t="shared" si="2"/>
        <v>19.955204209904171</v>
      </c>
      <c r="N41" s="54">
        <f t="shared" si="3"/>
        <v>4.8132485658262372</v>
      </c>
      <c r="O41" s="55">
        <f t="shared" si="4"/>
        <v>24.76845277573041</v>
      </c>
      <c r="P41" s="55">
        <f t="shared" si="5"/>
        <v>24.338883412024021</v>
      </c>
      <c r="Q41" s="56">
        <f t="shared" si="1"/>
        <v>24.553668093877214</v>
      </c>
      <c r="Y41" s="12"/>
    </row>
    <row r="42" spans="1:45" ht="15">
      <c r="B42" s="57" t="s">
        <v>114</v>
      </c>
      <c r="C42" s="8">
        <f>SUMIFS('Actual costs'!E$5:E$92,'Actual costs'!$A$5:$A$92,$B42,'Actual costs'!$C$5:$C$92,"&gt;="&amp;$G$11)</f>
        <v>26.7672038307802</v>
      </c>
      <c r="D42" s="8">
        <f>SUMIFS('Actual costs'!F$5:F$92,'Actual costs'!$A$5:$A$92,$B42,'Actual costs'!$C$5:$C$92,"&gt;="&amp;$G$11)</f>
        <v>6.3924464863553609</v>
      </c>
      <c r="E42" s="8">
        <f>SUMIFS('Actual costs'!G$5:G$92,'Actual costs'!$A$5:$A$92,$B42,'Actual costs'!$C$5:$C$92,"&gt;="&amp;$G$11)</f>
        <v>33.159650317135544</v>
      </c>
      <c r="F42" s="8">
        <f>SUMIFS('Modelled costs'!M$5:M$92,'Modelled costs'!$A$5:$A$92,$B42,'Modelled costs'!$B$5:$B$92,"&gt;="&amp;$G$11)</f>
        <v>20.176409649131088</v>
      </c>
      <c r="G42" s="8">
        <f>SUMIFS('Modelled costs'!N$5:N$92,'Modelled costs'!$A$5:$A$92,$B42,'Modelled costs'!$B$5:$B$92,"&gt;="&amp;$G$11)</f>
        <v>20.6947087892352</v>
      </c>
      <c r="H42" s="8">
        <f>SUMIFS('Modelled costs'!O$5:O$92,'Modelled costs'!$A$5:$A$92,$B42,'Modelled costs'!$B$5:$B$92,"&gt;="&amp;$G$11)</f>
        <v>6.8546454996869191</v>
      </c>
      <c r="I42" s="8">
        <f>SUMIFS('Modelled costs'!P$5:P$92,'Modelled costs'!$A$5:$A$92,$B42,'Modelled costs'!$B$5:$B$92,"&gt;="&amp;$G$11)</f>
        <v>7.1595257027350083</v>
      </c>
      <c r="J42" s="8">
        <f>SUMIFS('Modelled costs'!Q$5:Q$92,'Modelled costs'!$A$5:$A$92,$B42,'Modelled costs'!$B$5:$B$92,"&gt;="&amp;$G$11)</f>
        <v>28.442829095645983</v>
      </c>
      <c r="K42" s="8">
        <f>SUMIFS('Modelled costs'!R$5:R$92,'Modelled costs'!$A$5:$A$92,$B42,'Modelled costs'!$B$5:$B$92,"&gt;="&amp;$G$11)</f>
        <v>28.945849125821635</v>
      </c>
      <c r="L42" s="8">
        <f>SUMIFS('Modelled costs'!S$5:S$92,'Modelled costs'!$A$5:$A$92,$B42,'Modelled costs'!$B$5:$B$92,"&gt;="&amp;$G$11)</f>
        <v>28.960244502073785</v>
      </c>
      <c r="M42" s="54">
        <f t="shared" si="2"/>
        <v>20.435559219183144</v>
      </c>
      <c r="N42" s="54">
        <f t="shared" si="3"/>
        <v>7.0070856012109637</v>
      </c>
      <c r="O42" s="55">
        <f t="shared" si="4"/>
        <v>27.442644820394108</v>
      </c>
      <c r="P42" s="55">
        <f t="shared" si="5"/>
        <v>28.782974241180469</v>
      </c>
      <c r="Q42" s="56">
        <f t="shared" si="1"/>
        <v>28.112809530787288</v>
      </c>
      <c r="Y42" s="12"/>
    </row>
    <row r="43" spans="1:45" ht="15">
      <c r="B43" s="57" t="s">
        <v>115</v>
      </c>
      <c r="C43" s="8">
        <f>SUMIFS('Actual costs'!E$5:E$92,'Actual costs'!$A$5:$A$92,$B43,'Actual costs'!$C$5:$C$92,"&gt;="&amp;$G$11)</f>
        <v>67.237445057216505</v>
      </c>
      <c r="D43" s="8">
        <f>SUMIFS('Actual costs'!F$5:F$92,'Actual costs'!$A$5:$A$92,$B43,'Actual costs'!$C$5:$C$92,"&gt;="&amp;$G$11)</f>
        <v>17.430721670337249</v>
      </c>
      <c r="E43" s="8">
        <f>SUMIFS('Actual costs'!G$5:G$92,'Actual costs'!$A$5:$A$92,$B43,'Actual costs'!$C$5:$C$92,"&gt;="&amp;$G$11)</f>
        <v>84.66816672755381</v>
      </c>
      <c r="F43" s="8">
        <f>SUMIFS('Modelled costs'!M$5:M$92,'Modelled costs'!$A$5:$A$92,$B43,'Modelled costs'!$B$5:$B$92,"&gt;="&amp;$G$11)</f>
        <v>73.120113848861351</v>
      </c>
      <c r="G43" s="8">
        <f>SUMIFS('Modelled costs'!N$5:N$92,'Modelled costs'!$A$5:$A$92,$B43,'Modelled costs'!$B$5:$B$92,"&gt;="&amp;$G$11)</f>
        <v>70.735328501432576</v>
      </c>
      <c r="H43" s="8">
        <f>SUMIFS('Modelled costs'!O$5:O$92,'Modelled costs'!$A$5:$A$92,$B43,'Modelled costs'!$B$5:$B$92,"&gt;="&amp;$G$11)</f>
        <v>23.948006504010078</v>
      </c>
      <c r="I43" s="8">
        <f>SUMIFS('Modelled costs'!P$5:P$92,'Modelled costs'!$A$5:$A$92,$B43,'Modelled costs'!$B$5:$B$92,"&gt;="&amp;$G$11)</f>
        <v>22.77637628639247</v>
      </c>
      <c r="J43" s="8">
        <f>SUMIFS('Modelled costs'!Q$5:Q$92,'Modelled costs'!$A$5:$A$92,$B43,'Modelled costs'!$B$5:$B$92,"&gt;="&amp;$G$11)</f>
        <v>99.433495732644232</v>
      </c>
      <c r="K43" s="8">
        <f>SUMIFS('Modelled costs'!R$5:R$92,'Modelled costs'!$A$5:$A$92,$B43,'Modelled costs'!$B$5:$B$92,"&gt;="&amp;$G$11)</f>
        <v>96.920227522619626</v>
      </c>
      <c r="L43" s="8">
        <f>SUMIFS('Modelled costs'!S$5:S$92,'Modelled costs'!$A$5:$A$92,$B43,'Modelled costs'!$B$5:$B$92,"&gt;="&amp;$G$11)</f>
        <v>81.284208253380584</v>
      </c>
      <c r="M43" s="54">
        <f t="shared" si="2"/>
        <v>71.927721175146957</v>
      </c>
      <c r="N43" s="54">
        <f t="shared" si="3"/>
        <v>23.362191395201272</v>
      </c>
      <c r="O43" s="55">
        <f t="shared" si="4"/>
        <v>95.289912570348235</v>
      </c>
      <c r="P43" s="55">
        <f t="shared" si="5"/>
        <v>92.545977169548152</v>
      </c>
      <c r="Q43" s="56">
        <f t="shared" si="1"/>
        <v>93.917944869948201</v>
      </c>
      <c r="Y43" s="12"/>
    </row>
    <row r="44" spans="1:45" ht="15.75" thickBot="1">
      <c r="B44" s="57" t="s">
        <v>116</v>
      </c>
      <c r="C44" s="8">
        <f>SUMIFS('Actual costs'!E$5:E$92,'Actual costs'!$A$5:$A$92,$B44,'Actual costs'!$C$5:$C$92,"&gt;="&amp;$G$11)</f>
        <v>51.986529925717733</v>
      </c>
      <c r="D44" s="8">
        <f>SUMIFS('Actual costs'!F$5:F$92,'Actual costs'!$A$5:$A$92,$B44,'Actual costs'!$C$5:$C$92,"&gt;="&amp;$G$11)</f>
        <v>20.368985135993039</v>
      </c>
      <c r="E44" s="8">
        <f>SUMIFS('Actual costs'!G$5:G$92,'Actual costs'!$A$5:$A$92,$B44,'Actual costs'!$C$5:$C$92,"&gt;="&amp;$G$11)</f>
        <v>72.35551506171069</v>
      </c>
      <c r="F44" s="8">
        <f>SUMIFS('Modelled costs'!M$5:M$92,'Modelled costs'!$A$5:$A$92,$B44,'Modelled costs'!$B$5:$B$92,"&gt;="&amp;$G$11)</f>
        <v>48.535021418057184</v>
      </c>
      <c r="G44" s="8">
        <f>SUMIFS('Modelled costs'!N$5:N$92,'Modelled costs'!$A$5:$A$92,$B44,'Modelled costs'!$B$5:$B$92,"&gt;="&amp;$G$11)</f>
        <v>47.729783540706123</v>
      </c>
      <c r="H44" s="8">
        <f>SUMIFS('Modelled costs'!O$5:O$92,'Modelled costs'!$A$5:$A$92,$B44,'Modelled costs'!$B$5:$B$92,"&gt;="&amp;$G$11)</f>
        <v>18.822407260082908</v>
      </c>
      <c r="I44" s="8">
        <f>SUMIFS('Modelled costs'!P$5:P$92,'Modelled costs'!$A$5:$A$92,$B44,'Modelled costs'!$B$5:$B$92,"&gt;="&amp;$G$11)</f>
        <v>19.160495794405037</v>
      </c>
      <c r="J44" s="8">
        <f>SUMIFS('Modelled costs'!Q$5:Q$92,'Modelled costs'!$A$5:$A$92,$B44,'Modelled costs'!$B$5:$B$92,"&gt;="&amp;$G$11)</f>
        <v>70.197989642879904</v>
      </c>
      <c r="K44" s="8">
        <f>SUMIFS('Modelled costs'!R$5:R$92,'Modelled costs'!$A$5:$A$92,$B44,'Modelled costs'!$B$5:$B$92,"&gt;="&amp;$G$11)</f>
        <v>70.423358520164683</v>
      </c>
      <c r="L44" s="8">
        <f>SUMIFS('Modelled costs'!S$5:S$92,'Modelled costs'!$A$5:$A$92,$B44,'Modelled costs'!$B$5:$B$92,"&gt;="&amp;$G$11)</f>
        <v>73.470473484242888</v>
      </c>
      <c r="M44" s="54">
        <f t="shared" si="2"/>
        <v>48.132402479381653</v>
      </c>
      <c r="N44" s="54">
        <f t="shared" si="3"/>
        <v>18.991451527243974</v>
      </c>
      <c r="O44" s="55">
        <f t="shared" si="4"/>
        <v>67.123854006625635</v>
      </c>
      <c r="P44" s="55">
        <f t="shared" si="5"/>
        <v>71.363940549095815</v>
      </c>
      <c r="Q44" s="71">
        <f t="shared" si="1"/>
        <v>69.243897277860725</v>
      </c>
      <c r="Y44" s="12"/>
    </row>
    <row r="45" spans="1:45" ht="13.5" thickTop="1">
      <c r="B45" s="73"/>
      <c r="C45" s="74"/>
      <c r="D45" s="74"/>
      <c r="E45" s="93"/>
      <c r="F45" s="74"/>
      <c r="G45" s="74"/>
      <c r="H45" s="74"/>
      <c r="I45" s="74"/>
      <c r="J45" s="74"/>
      <c r="K45" s="74"/>
      <c r="L45" s="74"/>
      <c r="M45" s="75"/>
      <c r="N45" s="75"/>
      <c r="O45" s="75"/>
      <c r="P45" s="41"/>
      <c r="Q45" s="76"/>
      <c r="S45" s="17"/>
      <c r="T45" s="17"/>
      <c r="U45" s="17"/>
      <c r="V45" s="17"/>
      <c r="W45" s="17"/>
      <c r="X45" s="17"/>
      <c r="Y45" s="12"/>
      <c r="Z45" s="17"/>
      <c r="AA45" s="17"/>
      <c r="AB45" s="17"/>
      <c r="AC45" s="17"/>
      <c r="AD45" s="17"/>
      <c r="AE45" s="17"/>
      <c r="AF45" s="17"/>
      <c r="AG45" s="17"/>
      <c r="AH45" s="17"/>
      <c r="AI45" s="17"/>
      <c r="AJ45" s="17"/>
      <c r="AK45" s="17"/>
      <c r="AL45" s="17"/>
      <c r="AM45" s="17"/>
      <c r="AN45" s="17"/>
    </row>
    <row r="46" spans="1:45" s="19" customFormat="1" ht="18.75">
      <c r="A46" s="17"/>
      <c r="B46" s="18" t="s">
        <v>175</v>
      </c>
      <c r="D46" s="18"/>
      <c r="T46" s="18"/>
    </row>
    <row r="47" spans="1:45">
      <c r="B47" s="73"/>
      <c r="C47" s="74"/>
      <c r="D47" s="74"/>
      <c r="E47" s="93"/>
      <c r="F47" s="74"/>
      <c r="G47" s="74"/>
      <c r="H47" s="74"/>
      <c r="I47" s="74"/>
      <c r="J47" s="74"/>
      <c r="K47" s="74"/>
      <c r="L47" s="74"/>
      <c r="M47" s="74"/>
      <c r="N47" s="75"/>
      <c r="O47" s="75"/>
      <c r="P47" s="75"/>
      <c r="Q47" s="41"/>
      <c r="R47" s="76"/>
      <c r="T47" s="17"/>
      <c r="U47" s="17"/>
      <c r="V47" s="17"/>
      <c r="W47" s="17"/>
      <c r="X47" s="17"/>
      <c r="Y47" s="17"/>
      <c r="Z47" s="12"/>
      <c r="AA47" s="17"/>
      <c r="AB47" s="17"/>
      <c r="AC47" s="17"/>
      <c r="AD47" s="17"/>
      <c r="AE47" s="17"/>
      <c r="AF47" s="17"/>
      <c r="AG47" s="17"/>
      <c r="AH47" s="17"/>
      <c r="AI47" s="17"/>
      <c r="AJ47" s="17"/>
      <c r="AK47" s="17"/>
      <c r="AL47" s="17"/>
      <c r="AM47" s="17"/>
      <c r="AN47" s="17"/>
      <c r="AO47" s="17"/>
    </row>
    <row r="48" spans="1:45" s="14" customFormat="1">
      <c r="B48" s="2"/>
      <c r="C48" s="44" t="s">
        <v>124</v>
      </c>
      <c r="D48" s="12"/>
      <c r="E48" s="12"/>
      <c r="F48" s="12"/>
      <c r="G48" s="12"/>
      <c r="K48" s="44" t="s">
        <v>176</v>
      </c>
      <c r="L48" s="12"/>
      <c r="M48" s="12"/>
      <c r="N48" s="12"/>
      <c r="O48" s="12"/>
      <c r="P48" s="12"/>
      <c r="Q48" s="12"/>
      <c r="R48" s="12"/>
      <c r="S48" s="12"/>
      <c r="T48" s="12"/>
      <c r="U48" s="12"/>
      <c r="V48" s="12"/>
      <c r="W48" s="2"/>
      <c r="X48" s="2"/>
      <c r="Y48" s="2"/>
    </row>
    <row r="49" spans="1:44" s="14" customFormat="1" ht="15.75" thickBot="1">
      <c r="B49" s="2"/>
      <c r="C49" s="28"/>
      <c r="D49" s="12"/>
      <c r="E49" s="12"/>
      <c r="F49" s="12"/>
      <c r="G49" s="12"/>
      <c r="K49" s="28"/>
      <c r="L49" s="2"/>
      <c r="M49" s="2"/>
      <c r="N49" s="12"/>
      <c r="O49" s="12"/>
      <c r="P49" s="12"/>
      <c r="Q49" s="12"/>
      <c r="R49" s="12"/>
      <c r="S49" s="12"/>
      <c r="T49" s="12"/>
      <c r="U49" s="12"/>
      <c r="V49" s="12"/>
      <c r="W49" s="12"/>
      <c r="X49" s="2"/>
      <c r="Y49" s="2"/>
    </row>
    <row r="50" spans="1:44" s="14" customFormat="1" ht="13.5" thickTop="1">
      <c r="B50" s="31"/>
      <c r="C50" s="46" t="s">
        <v>134</v>
      </c>
      <c r="D50" s="46" t="s">
        <v>133</v>
      </c>
      <c r="E50" s="47" t="s">
        <v>174</v>
      </c>
      <c r="F50" s="47" t="s">
        <v>135</v>
      </c>
      <c r="G50" s="48" t="s">
        <v>123</v>
      </c>
      <c r="K50" s="188" t="s">
        <v>134</v>
      </c>
      <c r="L50" s="192"/>
      <c r="M50" s="189"/>
      <c r="N50" s="188" t="s">
        <v>133</v>
      </c>
      <c r="O50" s="192"/>
      <c r="P50" s="189"/>
      <c r="Q50" s="188" t="s">
        <v>174</v>
      </c>
      <c r="R50" s="192"/>
      <c r="S50" s="189"/>
      <c r="T50" s="188" t="s">
        <v>135</v>
      </c>
      <c r="U50" s="192"/>
      <c r="V50" s="189"/>
      <c r="W50" s="188" t="s">
        <v>143</v>
      </c>
      <c r="X50" s="192"/>
      <c r="Y50" s="189"/>
    </row>
    <row r="51" spans="1:44" s="14" customFormat="1" ht="26.25" thickBot="1">
      <c r="B51" s="2"/>
      <c r="C51" s="9" t="s">
        <v>92</v>
      </c>
      <c r="D51" s="9" t="s">
        <v>91</v>
      </c>
      <c r="E51" s="9" t="s">
        <v>93</v>
      </c>
      <c r="F51" s="9" t="s">
        <v>93</v>
      </c>
      <c r="G51" s="50" t="s">
        <v>141</v>
      </c>
      <c r="K51" s="22" t="s">
        <v>142</v>
      </c>
      <c r="L51" s="22" t="s">
        <v>125</v>
      </c>
      <c r="M51" s="22" t="s">
        <v>118</v>
      </c>
      <c r="N51" s="22" t="s">
        <v>142</v>
      </c>
      <c r="O51" s="22" t="s">
        <v>125</v>
      </c>
      <c r="P51" s="22" t="s">
        <v>118</v>
      </c>
      <c r="Q51" s="22" t="s">
        <v>142</v>
      </c>
      <c r="R51" s="22" t="s">
        <v>125</v>
      </c>
      <c r="S51" s="22" t="s">
        <v>118</v>
      </c>
      <c r="T51" s="22" t="s">
        <v>142</v>
      </c>
      <c r="U51" s="22" t="s">
        <v>125</v>
      </c>
      <c r="V51" s="22" t="s">
        <v>118</v>
      </c>
      <c r="W51" s="22" t="s">
        <v>142</v>
      </c>
      <c r="X51" s="22" t="s">
        <v>125</v>
      </c>
      <c r="Y51" s="22" t="s">
        <v>118</v>
      </c>
    </row>
    <row r="52" spans="1:44" s="14" customFormat="1" ht="15">
      <c r="B52" s="57" t="s">
        <v>102</v>
      </c>
      <c r="C52" s="58">
        <f t="shared" ref="C52:C68" si="6">C28/M28</f>
        <v>0.68090027685038845</v>
      </c>
      <c r="D52" s="58">
        <f t="shared" ref="D52:D68" si="7">D28/N28</f>
        <v>1.0594422140413169</v>
      </c>
      <c r="E52" s="59">
        <f t="shared" ref="E52:E68" si="8">E28/O28</f>
        <v>0.83598633382403009</v>
      </c>
      <c r="F52" s="59">
        <f t="shared" ref="F52:F68" si="9">E28/P28</f>
        <v>0.86003232127601248</v>
      </c>
      <c r="G52" s="60">
        <f t="shared" ref="G52:G68" si="10">E28/Q28</f>
        <v>0.84783886671493491</v>
      </c>
      <c r="K52" s="61">
        <v>1</v>
      </c>
      <c r="L52" s="10" t="str">
        <f>INDEX($B$52:$B$68,MATCH(M52,$C$52:$C$68,0),1)</f>
        <v>ANH</v>
      </c>
      <c r="M52" s="62">
        <f>SMALL($C$52:$C$68,K52)</f>
        <v>0.68090027685038845</v>
      </c>
      <c r="N52" s="61">
        <v>1</v>
      </c>
      <c r="O52" s="10" t="str">
        <f t="shared" ref="O52:O68" si="11">INDEX($B$52:$B$68,MATCH(P52,$D$52:$D$68,0),1)</f>
        <v>YKY</v>
      </c>
      <c r="P52" s="62">
        <f t="shared" ref="P52:P68" si="12">SMALL($D$52:$D$68,N52)</f>
        <v>0.64869348592295761</v>
      </c>
      <c r="Q52" s="61">
        <v>1</v>
      </c>
      <c r="R52" s="10" t="str">
        <f t="shared" ref="R52:R68" si="13">INDEX($B$52:$B$68,MATCH(S52,$E$52:$E$68,0),1)</f>
        <v>YKY</v>
      </c>
      <c r="S52" s="62">
        <f t="shared" ref="S52:S68" si="14">SMALL($E$52:$E$68,Q52)</f>
        <v>0.78963258783536139</v>
      </c>
      <c r="T52" s="61">
        <v>1</v>
      </c>
      <c r="U52" s="10" t="str">
        <f t="shared" ref="U52:U68" si="15">INDEX($B$52:$B$68,MATCH(V52,$F$52:$F$68,0),1)</f>
        <v>YKY</v>
      </c>
      <c r="V52" s="62">
        <f t="shared" ref="V52:V68" si="16">SMALL($F$52:$F$68,T52)</f>
        <v>0.81331675709725237</v>
      </c>
      <c r="W52" s="61">
        <v>1</v>
      </c>
      <c r="X52" s="10" t="str">
        <f t="shared" ref="X52:X68" si="17">INDEX($B$52:$B$68,MATCH(Y52,$G$52:$G$68,0),1)</f>
        <v>YKY</v>
      </c>
      <c r="Y52" s="62">
        <f t="shared" ref="Y52:Y68" si="18">SMALL($G$52:$G$68,W52)</f>
        <v>0.8012997012872739</v>
      </c>
    </row>
    <row r="53" spans="1:44" s="14" customFormat="1" ht="15">
      <c r="B53" s="57" t="s">
        <v>103</v>
      </c>
      <c r="C53" s="58">
        <f t="shared" si="6"/>
        <v>0.9434926761238881</v>
      </c>
      <c r="D53" s="58">
        <f t="shared" si="7"/>
        <v>0.78174425590474728</v>
      </c>
      <c r="E53" s="59">
        <f t="shared" si="8"/>
        <v>0.8637903159315371</v>
      </c>
      <c r="F53" s="59">
        <f t="shared" si="9"/>
        <v>0.84637259214890848</v>
      </c>
      <c r="G53" s="65">
        <f t="shared" si="10"/>
        <v>0.85499275573541966</v>
      </c>
      <c r="K53" s="61">
        <v>2</v>
      </c>
      <c r="L53" s="10" t="str">
        <f t="shared" ref="L53:L58" si="19">INDEX($B$52:$B$68,MATCH(M53,$C$52:$C$68,0),1)</f>
        <v>WSX</v>
      </c>
      <c r="M53" s="62">
        <f>SMALL($C$52:$C$68,K53)</f>
        <v>0.743866173440631</v>
      </c>
      <c r="N53" s="61">
        <v>2</v>
      </c>
      <c r="O53" s="10" t="str">
        <f t="shared" si="11"/>
        <v>SVT</v>
      </c>
      <c r="P53" s="62">
        <f t="shared" si="12"/>
        <v>0.66182863909563572</v>
      </c>
      <c r="Q53" s="61">
        <v>2</v>
      </c>
      <c r="R53" s="10" t="str">
        <f t="shared" si="13"/>
        <v>ANH</v>
      </c>
      <c r="S53" s="62">
        <f t="shared" si="14"/>
        <v>0.83598633382403009</v>
      </c>
      <c r="T53" s="61">
        <v>2</v>
      </c>
      <c r="U53" s="10" t="str">
        <f t="shared" si="15"/>
        <v>BRL</v>
      </c>
      <c r="V53" s="62">
        <f t="shared" si="16"/>
        <v>0.84348251945658581</v>
      </c>
      <c r="W53" s="61">
        <v>2</v>
      </c>
      <c r="X53" s="10" t="str">
        <f t="shared" si="17"/>
        <v>ANH</v>
      </c>
      <c r="Y53" s="62">
        <f t="shared" si="18"/>
        <v>0.84783886671493491</v>
      </c>
    </row>
    <row r="54" spans="1:44" s="14" customFormat="1" ht="15">
      <c r="B54" s="57" t="s">
        <v>104</v>
      </c>
      <c r="C54" s="58">
        <f t="shared" si="6"/>
        <v>1.1123467346165099</v>
      </c>
      <c r="D54" s="58">
        <f t="shared" si="7"/>
        <v>1.1494023636184834</v>
      </c>
      <c r="E54" s="59">
        <f t="shared" si="8"/>
        <v>1.1331793427176593</v>
      </c>
      <c r="F54" s="59">
        <f t="shared" si="9"/>
        <v>1.1907667035949006</v>
      </c>
      <c r="G54" s="65">
        <f t="shared" si="10"/>
        <v>1.1612595160294539</v>
      </c>
      <c r="K54" s="61">
        <v>3</v>
      </c>
      <c r="L54" s="10" t="str">
        <f t="shared" si="19"/>
        <v>BRL</v>
      </c>
      <c r="M54" s="62">
        <f>SMALL($C$52:$C$68,K54)</f>
        <v>0.81852542921106686</v>
      </c>
      <c r="N54" s="61">
        <v>3</v>
      </c>
      <c r="O54" s="10" t="str">
        <f t="shared" si="11"/>
        <v>SEW</v>
      </c>
      <c r="P54" s="62">
        <f t="shared" si="12"/>
        <v>0.74610816149368675</v>
      </c>
      <c r="Q54" s="61">
        <v>3</v>
      </c>
      <c r="R54" s="10" t="str">
        <f t="shared" si="13"/>
        <v>NES</v>
      </c>
      <c r="S54" s="62">
        <f t="shared" si="14"/>
        <v>0.8637903159315371</v>
      </c>
      <c r="T54" s="61">
        <v>3</v>
      </c>
      <c r="U54" s="10" t="str">
        <f t="shared" si="15"/>
        <v>NES</v>
      </c>
      <c r="V54" s="62">
        <f t="shared" si="16"/>
        <v>0.84637259214890848</v>
      </c>
      <c r="W54" s="61">
        <v>3</v>
      </c>
      <c r="X54" s="10" t="str">
        <f t="shared" si="17"/>
        <v>NES</v>
      </c>
      <c r="Y54" s="62">
        <f t="shared" si="18"/>
        <v>0.85499275573541966</v>
      </c>
      <c r="Z54" s="17"/>
      <c r="AA54" s="17"/>
      <c r="AB54" s="17"/>
      <c r="AD54" s="17"/>
      <c r="AE54" s="17"/>
      <c r="AF54" s="17"/>
      <c r="AG54" s="17"/>
      <c r="AH54" s="17"/>
      <c r="AI54" s="17"/>
      <c r="AJ54" s="17"/>
      <c r="AK54" s="17"/>
      <c r="AL54" s="17"/>
      <c r="AM54" s="17"/>
      <c r="AN54" s="17"/>
      <c r="AO54" s="17"/>
      <c r="AP54" s="17"/>
      <c r="AQ54" s="17"/>
      <c r="AR54" s="17"/>
    </row>
    <row r="55" spans="1:44" s="14" customFormat="1" ht="15">
      <c r="A55" s="17"/>
      <c r="B55" s="57" t="s">
        <v>105</v>
      </c>
      <c r="C55" s="58">
        <f t="shared" si="6"/>
        <v>1.3496770514497227</v>
      </c>
      <c r="D55" s="58">
        <f t="shared" si="7"/>
        <v>1.5542497258321553</v>
      </c>
      <c r="E55" s="59">
        <f t="shared" si="8"/>
        <v>1.4338513863707636</v>
      </c>
      <c r="F55" s="59">
        <f t="shared" si="9"/>
        <v>1.4203441964904808</v>
      </c>
      <c r="G55" s="65">
        <f t="shared" si="10"/>
        <v>1.4270658307304589</v>
      </c>
      <c r="K55" s="61">
        <v>4</v>
      </c>
      <c r="L55" s="10" t="str">
        <f t="shared" si="19"/>
        <v>YKY</v>
      </c>
      <c r="M55" s="62">
        <f>SMALL($C$52:$C$68,K55)</f>
        <v>0.91768311976779304</v>
      </c>
      <c r="N55" s="61">
        <v>4</v>
      </c>
      <c r="O55" s="10" t="str">
        <f t="shared" si="11"/>
        <v>NES</v>
      </c>
      <c r="P55" s="62">
        <f t="shared" si="12"/>
        <v>0.78174425590474728</v>
      </c>
      <c r="Q55" s="61">
        <v>4</v>
      </c>
      <c r="R55" s="10" t="str">
        <f t="shared" si="13"/>
        <v>SVT</v>
      </c>
      <c r="S55" s="62">
        <f t="shared" si="14"/>
        <v>0.86949137598962323</v>
      </c>
      <c r="T55" s="61">
        <v>4</v>
      </c>
      <c r="U55" s="10" t="str">
        <f t="shared" si="15"/>
        <v>ANH</v>
      </c>
      <c r="V55" s="62">
        <f t="shared" si="16"/>
        <v>0.86003232127601248</v>
      </c>
      <c r="W55" s="61">
        <v>4</v>
      </c>
      <c r="X55" s="10" t="str">
        <f t="shared" si="17"/>
        <v>WSX</v>
      </c>
      <c r="Y55" s="62">
        <f t="shared" si="18"/>
        <v>0.87568928497740572</v>
      </c>
      <c r="Z55" s="17"/>
      <c r="AA55" s="17"/>
      <c r="AB55" s="17"/>
      <c r="AD55" s="17"/>
      <c r="AE55" s="17"/>
      <c r="AF55" s="17"/>
      <c r="AG55" s="17"/>
      <c r="AH55" s="17"/>
      <c r="AI55" s="17"/>
      <c r="AJ55" s="17"/>
      <c r="AK55" s="17"/>
      <c r="AL55" s="17"/>
      <c r="AM55" s="17"/>
      <c r="AN55" s="17"/>
      <c r="AO55" s="17"/>
      <c r="AP55" s="17"/>
      <c r="AQ55" s="17"/>
      <c r="AR55" s="17"/>
    </row>
    <row r="56" spans="1:44" s="17" customFormat="1" ht="15">
      <c r="B56" s="57" t="s">
        <v>106</v>
      </c>
      <c r="C56" s="58">
        <f t="shared" si="6"/>
        <v>1.0343748869742084</v>
      </c>
      <c r="D56" s="58">
        <f t="shared" si="7"/>
        <v>0.66182863909563572</v>
      </c>
      <c r="E56" s="59">
        <f t="shared" si="8"/>
        <v>0.86949137598962323</v>
      </c>
      <c r="F56" s="59">
        <f t="shared" si="9"/>
        <v>0.90015471950194825</v>
      </c>
      <c r="G56" s="66">
        <f t="shared" si="10"/>
        <v>0.884557389929302</v>
      </c>
      <c r="H56" s="14"/>
      <c r="I56" s="14"/>
      <c r="J56" s="14"/>
      <c r="K56" s="61">
        <v>5</v>
      </c>
      <c r="L56" s="10" t="str">
        <f t="shared" si="19"/>
        <v>PRT</v>
      </c>
      <c r="M56" s="62">
        <f t="shared" ref="M56:M68" si="20">SMALL($C$52:$C$68,K56)</f>
        <v>0.92447992828005499</v>
      </c>
      <c r="N56" s="61">
        <v>5</v>
      </c>
      <c r="O56" s="10" t="str">
        <f t="shared" si="11"/>
        <v>SES</v>
      </c>
      <c r="P56" s="62">
        <f t="shared" si="12"/>
        <v>0.91228320162816612</v>
      </c>
      <c r="Q56" s="61">
        <v>5</v>
      </c>
      <c r="R56" s="10" t="str">
        <f t="shared" si="13"/>
        <v>WSX</v>
      </c>
      <c r="S56" s="62">
        <f t="shared" si="14"/>
        <v>0.88251484624322851</v>
      </c>
      <c r="T56" s="61">
        <v>5</v>
      </c>
      <c r="U56" s="10" t="str">
        <f t="shared" si="15"/>
        <v>WSX</v>
      </c>
      <c r="V56" s="62">
        <f t="shared" si="16"/>
        <v>0.86896849413739541</v>
      </c>
      <c r="W56" s="61">
        <v>5</v>
      </c>
      <c r="X56" s="10" t="str">
        <f t="shared" si="17"/>
        <v>BRL</v>
      </c>
      <c r="Y56" s="62">
        <f t="shared" si="18"/>
        <v>0.88106700252838566</v>
      </c>
    </row>
    <row r="57" spans="1:44" s="17" customFormat="1" ht="15">
      <c r="B57" s="57" t="s">
        <v>117</v>
      </c>
      <c r="C57" s="58">
        <f t="shared" si="6"/>
        <v>1.0033086161997855</v>
      </c>
      <c r="D57" s="58">
        <f t="shared" si="7"/>
        <v>1.063234551561224</v>
      </c>
      <c r="E57" s="59">
        <f t="shared" si="8"/>
        <v>1.0299390848159886</v>
      </c>
      <c r="F57" s="59">
        <f t="shared" si="9"/>
        <v>1.032083653138429</v>
      </c>
      <c r="G57" s="65">
        <f t="shared" si="10"/>
        <v>1.0310102537680492</v>
      </c>
      <c r="H57" s="14"/>
      <c r="I57" s="14"/>
      <c r="J57" s="14"/>
      <c r="K57" s="61">
        <v>6</v>
      </c>
      <c r="L57" s="10" t="str">
        <f t="shared" si="19"/>
        <v>SEW</v>
      </c>
      <c r="M57" s="62">
        <f t="shared" si="20"/>
        <v>0.93479181543219703</v>
      </c>
      <c r="N57" s="61">
        <v>6</v>
      </c>
      <c r="O57" s="10" t="str">
        <f t="shared" si="11"/>
        <v>TMS</v>
      </c>
      <c r="P57" s="62">
        <f t="shared" si="12"/>
        <v>0.95190818812081957</v>
      </c>
      <c r="Q57" s="61">
        <v>6</v>
      </c>
      <c r="R57" s="10" t="str">
        <f t="shared" si="13"/>
        <v>SEW</v>
      </c>
      <c r="S57" s="62">
        <f t="shared" si="14"/>
        <v>0.88853231620972606</v>
      </c>
      <c r="T57" s="61">
        <v>6</v>
      </c>
      <c r="U57" s="10" t="str">
        <f t="shared" si="15"/>
        <v>SVT</v>
      </c>
      <c r="V57" s="62">
        <f t="shared" si="16"/>
        <v>0.90015471950194825</v>
      </c>
      <c r="W57" s="61">
        <v>6</v>
      </c>
      <c r="X57" s="10" t="str">
        <f t="shared" si="17"/>
        <v>SVT</v>
      </c>
      <c r="Y57" s="62">
        <f t="shared" si="18"/>
        <v>0.884557389929302</v>
      </c>
    </row>
    <row r="58" spans="1:44" s="17" customFormat="1" ht="15">
      <c r="B58" s="57" t="s">
        <v>107</v>
      </c>
      <c r="C58" s="58">
        <f t="shared" si="6"/>
        <v>1.1214369854094015</v>
      </c>
      <c r="D58" s="58">
        <f t="shared" si="7"/>
        <v>0.95190818812081957</v>
      </c>
      <c r="E58" s="59">
        <f t="shared" si="8"/>
        <v>1.0392845421163057</v>
      </c>
      <c r="F58" s="59">
        <f t="shared" si="9"/>
        <v>1.0324398941686366</v>
      </c>
      <c r="G58" s="67">
        <f t="shared" si="10"/>
        <v>1.0358509113285177</v>
      </c>
      <c r="H58" s="14"/>
      <c r="I58" s="14"/>
      <c r="J58" s="14"/>
      <c r="K58" s="61">
        <v>7</v>
      </c>
      <c r="L58" s="10" t="str">
        <f t="shared" si="19"/>
        <v>NES</v>
      </c>
      <c r="M58" s="62">
        <f t="shared" si="20"/>
        <v>0.9434926761238881</v>
      </c>
      <c r="N58" s="61">
        <v>7</v>
      </c>
      <c r="O58" s="10" t="str">
        <f t="shared" si="11"/>
        <v>ANH</v>
      </c>
      <c r="P58" s="62">
        <f t="shared" si="12"/>
        <v>1.0594422140413169</v>
      </c>
      <c r="Q58" s="61">
        <v>7</v>
      </c>
      <c r="R58" s="10" t="str">
        <f t="shared" si="13"/>
        <v>BRL</v>
      </c>
      <c r="S58" s="62">
        <f t="shared" si="14"/>
        <v>0.92215712354443768</v>
      </c>
      <c r="T58" s="61">
        <v>7</v>
      </c>
      <c r="U58" s="10" t="str">
        <f t="shared" si="15"/>
        <v>SEW</v>
      </c>
      <c r="V58" s="62">
        <f t="shared" si="16"/>
        <v>0.91487679223958207</v>
      </c>
      <c r="W58" s="61">
        <v>7</v>
      </c>
      <c r="X58" s="10" t="str">
        <f t="shared" si="17"/>
        <v>SEW</v>
      </c>
      <c r="Y58" s="62">
        <f t="shared" si="18"/>
        <v>0.90151213215746029</v>
      </c>
    </row>
    <row r="59" spans="1:44" s="17" customFormat="1" ht="15">
      <c r="B59" s="57" t="s">
        <v>140</v>
      </c>
      <c r="C59" s="68">
        <f t="shared" si="6"/>
        <v>1.2109756718229467</v>
      </c>
      <c r="D59" s="68">
        <f t="shared" si="7"/>
        <v>1.3041569401422555</v>
      </c>
      <c r="E59" s="59">
        <f t="shared" si="8"/>
        <v>1.2594057301039119</v>
      </c>
      <c r="F59" s="69">
        <f t="shared" si="9"/>
        <v>1.2770677545001654</v>
      </c>
      <c r="G59" s="70">
        <f t="shared" si="10"/>
        <v>1.2681752500160621</v>
      </c>
      <c r="H59" s="14"/>
      <c r="I59" s="14"/>
      <c r="J59" s="14"/>
      <c r="K59" s="61">
        <v>8</v>
      </c>
      <c r="L59" s="10" t="s">
        <v>140</v>
      </c>
      <c r="M59" s="62">
        <f t="shared" si="20"/>
        <v>0.98166873976388203</v>
      </c>
      <c r="N59" s="61">
        <v>8</v>
      </c>
      <c r="O59" s="10" t="str">
        <f t="shared" si="11"/>
        <v>SWB</v>
      </c>
      <c r="P59" s="62">
        <f t="shared" si="12"/>
        <v>1.063234551561224</v>
      </c>
      <c r="Q59" s="61">
        <v>8</v>
      </c>
      <c r="R59" s="10" t="str">
        <f t="shared" si="13"/>
        <v>PRT</v>
      </c>
      <c r="S59" s="62">
        <f>SMALL($E$52:$E$68,Q59)</f>
        <v>0.97430245229715517</v>
      </c>
      <c r="T59" s="61">
        <v>8</v>
      </c>
      <c r="U59" s="10" t="str">
        <f t="shared" si="15"/>
        <v>DVW</v>
      </c>
      <c r="V59" s="62">
        <f t="shared" si="16"/>
        <v>0.99137283756359695</v>
      </c>
      <c r="W59" s="61">
        <v>8</v>
      </c>
      <c r="X59" s="10" t="str">
        <f t="shared" si="17"/>
        <v>PRT</v>
      </c>
      <c r="Y59" s="62">
        <f t="shared" si="18"/>
        <v>0.98282522133701267</v>
      </c>
    </row>
    <row r="60" spans="1:44" s="17" customFormat="1" ht="15">
      <c r="B60" s="57" t="s">
        <v>108</v>
      </c>
      <c r="C60" s="58">
        <f t="shared" si="6"/>
        <v>0.743866173440631</v>
      </c>
      <c r="D60" s="58">
        <f t="shared" si="7"/>
        <v>1.0969945672671886</v>
      </c>
      <c r="E60" s="59">
        <f t="shared" si="8"/>
        <v>0.88251484624322851</v>
      </c>
      <c r="F60" s="59">
        <f t="shared" si="9"/>
        <v>0.86896849413739541</v>
      </c>
      <c r="G60" s="65">
        <f t="shared" si="10"/>
        <v>0.87568928497740572</v>
      </c>
      <c r="H60" s="14"/>
      <c r="I60" s="14"/>
      <c r="J60" s="14"/>
      <c r="K60" s="61">
        <v>9</v>
      </c>
      <c r="L60" s="10" t="str">
        <f t="shared" ref="L60:L68" si="21">INDEX($B$52:$B$68,MATCH(M60,$C$52:$C$68,0),1)</f>
        <v>SWB</v>
      </c>
      <c r="M60" s="62">
        <f t="shared" si="20"/>
        <v>1.0033086161997855</v>
      </c>
      <c r="N60" s="61">
        <v>9</v>
      </c>
      <c r="O60" s="10" t="str">
        <f t="shared" si="11"/>
        <v>SSC</v>
      </c>
      <c r="P60" s="62">
        <f t="shared" si="12"/>
        <v>1.0725344035327127</v>
      </c>
      <c r="Q60" s="61">
        <v>9</v>
      </c>
      <c r="R60" s="10" t="str">
        <f t="shared" si="13"/>
        <v>SWB</v>
      </c>
      <c r="S60" s="62">
        <f t="shared" si="14"/>
        <v>1.0299390848159886</v>
      </c>
      <c r="T60" s="61">
        <v>9</v>
      </c>
      <c r="U60" s="10" t="str">
        <f t="shared" si="15"/>
        <v>PRT</v>
      </c>
      <c r="V60" s="62">
        <f t="shared" si="16"/>
        <v>0.99149841307340414</v>
      </c>
      <c r="W60" s="61">
        <v>9</v>
      </c>
      <c r="X60" s="10" t="str">
        <f t="shared" si="17"/>
        <v>DVW</v>
      </c>
      <c r="Y60" s="62">
        <f t="shared" si="18"/>
        <v>1.0219710448000729</v>
      </c>
    </row>
    <row r="61" spans="1:44" s="17" customFormat="1" ht="15">
      <c r="B61" s="57" t="s">
        <v>109</v>
      </c>
      <c r="C61" s="58">
        <f t="shared" si="6"/>
        <v>0.91768311976779304</v>
      </c>
      <c r="D61" s="58">
        <f t="shared" si="7"/>
        <v>0.64869348592295761</v>
      </c>
      <c r="E61" s="59">
        <f t="shared" si="8"/>
        <v>0.78963258783536139</v>
      </c>
      <c r="F61" s="59">
        <f t="shared" si="9"/>
        <v>0.81331675709725237</v>
      </c>
      <c r="G61" s="65">
        <f t="shared" si="10"/>
        <v>0.8012997012872739</v>
      </c>
      <c r="H61" s="14"/>
      <c r="I61" s="14"/>
      <c r="J61" s="14"/>
      <c r="K61" s="61">
        <v>10</v>
      </c>
      <c r="L61" s="10" t="str">
        <f t="shared" si="21"/>
        <v>SVT</v>
      </c>
      <c r="M61" s="62">
        <f t="shared" si="20"/>
        <v>1.0343748869742084</v>
      </c>
      <c r="N61" s="61">
        <v>10</v>
      </c>
      <c r="O61" s="10" t="str">
        <f t="shared" si="11"/>
        <v>AFW</v>
      </c>
      <c r="P61" s="62">
        <f t="shared" si="12"/>
        <v>1.0755233345663162</v>
      </c>
      <c r="Q61" s="61">
        <v>10</v>
      </c>
      <c r="R61" s="10" t="str">
        <f t="shared" si="13"/>
        <v>TMS</v>
      </c>
      <c r="S61" s="62">
        <f t="shared" si="14"/>
        <v>1.0392845421163057</v>
      </c>
      <c r="T61" s="61">
        <v>10</v>
      </c>
      <c r="U61" s="10" t="str">
        <f t="shared" si="15"/>
        <v>AFW</v>
      </c>
      <c r="V61" s="62">
        <f t="shared" si="16"/>
        <v>1.0093725688371131</v>
      </c>
      <c r="W61" s="61">
        <v>10</v>
      </c>
      <c r="X61" s="10" t="str">
        <f t="shared" si="17"/>
        <v>SWB</v>
      </c>
      <c r="Y61" s="62">
        <f t="shared" si="18"/>
        <v>1.0310102537680492</v>
      </c>
    </row>
    <row r="62" spans="1:44" s="17" customFormat="1" ht="15">
      <c r="B62" s="57" t="s">
        <v>110</v>
      </c>
      <c r="C62" s="58">
        <f t="shared" si="6"/>
        <v>1.0677736826930706</v>
      </c>
      <c r="D62" s="58">
        <f t="shared" si="7"/>
        <v>1.0755233345663162</v>
      </c>
      <c r="E62" s="59">
        <f t="shared" si="8"/>
        <v>1.0701851350484537</v>
      </c>
      <c r="F62" s="59">
        <f t="shared" si="9"/>
        <v>1.0093725688371131</v>
      </c>
      <c r="G62" s="65">
        <f t="shared" si="10"/>
        <v>1.0388896801245888</v>
      </c>
      <c r="H62" s="14"/>
      <c r="I62" s="14"/>
      <c r="J62" s="14"/>
      <c r="K62" s="61">
        <v>11</v>
      </c>
      <c r="L62" s="10" t="str">
        <f t="shared" si="21"/>
        <v>AFW</v>
      </c>
      <c r="M62" s="62">
        <f t="shared" si="20"/>
        <v>1.0677736826930706</v>
      </c>
      <c r="N62" s="61">
        <v>11</v>
      </c>
      <c r="O62" s="10" t="str">
        <f t="shared" si="11"/>
        <v>WSX</v>
      </c>
      <c r="P62" s="62">
        <f t="shared" si="12"/>
        <v>1.0969945672671886</v>
      </c>
      <c r="Q62" s="61">
        <v>11</v>
      </c>
      <c r="R62" s="10" t="str">
        <f t="shared" si="13"/>
        <v>DVW</v>
      </c>
      <c r="S62" s="62">
        <f t="shared" si="14"/>
        <v>1.0545182008462559</v>
      </c>
      <c r="T62" s="61">
        <v>11</v>
      </c>
      <c r="U62" s="10" t="str">
        <f t="shared" si="15"/>
        <v>SSC</v>
      </c>
      <c r="V62" s="62">
        <f t="shared" si="16"/>
        <v>1.0138946154736608</v>
      </c>
      <c r="W62" s="61">
        <v>11</v>
      </c>
      <c r="X62" s="10" t="str">
        <f t="shared" si="17"/>
        <v>TMS</v>
      </c>
      <c r="Y62" s="62">
        <f t="shared" si="18"/>
        <v>1.0358509113285177</v>
      </c>
    </row>
    <row r="63" spans="1:44" s="17" customFormat="1" ht="15">
      <c r="B63" s="57" t="s">
        <v>111</v>
      </c>
      <c r="C63" s="58">
        <f t="shared" si="6"/>
        <v>0.81852542921106686</v>
      </c>
      <c r="D63" s="58">
        <f t="shared" si="7"/>
        <v>1.16427706669797</v>
      </c>
      <c r="E63" s="59">
        <f t="shared" si="8"/>
        <v>0.92215712354443768</v>
      </c>
      <c r="F63" s="59">
        <f t="shared" si="9"/>
        <v>0.84348251945658581</v>
      </c>
      <c r="G63" s="65">
        <f t="shared" si="10"/>
        <v>0.88106700252838566</v>
      </c>
      <c r="H63" s="14"/>
      <c r="I63" s="14"/>
      <c r="J63" s="14"/>
      <c r="K63" s="61">
        <v>12</v>
      </c>
      <c r="L63" s="10" t="str">
        <f t="shared" si="21"/>
        <v>SSC</v>
      </c>
      <c r="M63" s="62">
        <f t="shared" si="20"/>
        <v>1.080073448400733</v>
      </c>
      <c r="N63" s="61">
        <v>12</v>
      </c>
      <c r="O63" s="10" t="str">
        <f t="shared" si="11"/>
        <v>NWT</v>
      </c>
      <c r="P63" s="62">
        <f t="shared" si="12"/>
        <v>1.1494023636184834</v>
      </c>
      <c r="Q63" s="61">
        <v>12</v>
      </c>
      <c r="R63" s="10" t="str">
        <f t="shared" si="13"/>
        <v>AFW</v>
      </c>
      <c r="S63" s="62">
        <f t="shared" si="14"/>
        <v>1.0701851350484537</v>
      </c>
      <c r="T63" s="61">
        <v>12</v>
      </c>
      <c r="U63" s="10" t="str">
        <f t="shared" si="15"/>
        <v>SWB</v>
      </c>
      <c r="V63" s="62">
        <f t="shared" si="16"/>
        <v>1.032083653138429</v>
      </c>
      <c r="W63" s="61">
        <v>12</v>
      </c>
      <c r="X63" s="10" t="str">
        <f t="shared" si="17"/>
        <v>AFW</v>
      </c>
      <c r="Y63" s="62">
        <f t="shared" si="18"/>
        <v>1.0388896801245888</v>
      </c>
    </row>
    <row r="64" spans="1:44" s="17" customFormat="1" ht="15">
      <c r="B64" s="57" t="s">
        <v>112</v>
      </c>
      <c r="C64" s="58">
        <f t="shared" si="6"/>
        <v>0.98166873976388203</v>
      </c>
      <c r="D64" s="58">
        <f t="shared" si="7"/>
        <v>1.2929556416134795</v>
      </c>
      <c r="E64" s="59">
        <f t="shared" si="8"/>
        <v>1.0545182008462559</v>
      </c>
      <c r="F64" s="59">
        <f t="shared" si="9"/>
        <v>0.99137283756359695</v>
      </c>
      <c r="G64" s="65">
        <f t="shared" si="10"/>
        <v>1.0219710448000729</v>
      </c>
      <c r="H64" s="14"/>
      <c r="I64" s="14"/>
      <c r="J64" s="14"/>
      <c r="K64" s="61">
        <v>13</v>
      </c>
      <c r="L64" s="10" t="str">
        <f t="shared" si="21"/>
        <v>NWT</v>
      </c>
      <c r="M64" s="62">
        <f t="shared" si="20"/>
        <v>1.1123467346165099</v>
      </c>
      <c r="N64" s="61">
        <v>13</v>
      </c>
      <c r="O64" s="10" t="str">
        <f t="shared" si="11"/>
        <v>BRL</v>
      </c>
      <c r="P64" s="62">
        <f t="shared" si="12"/>
        <v>1.16427706669797</v>
      </c>
      <c r="Q64" s="61">
        <v>13</v>
      </c>
      <c r="R64" s="10" t="str">
        <f t="shared" si="13"/>
        <v>SSC</v>
      </c>
      <c r="S64" s="62">
        <f t="shared" si="14"/>
        <v>1.0779404152593599</v>
      </c>
      <c r="T64" s="61">
        <v>13</v>
      </c>
      <c r="U64" s="10" t="str">
        <f t="shared" si="15"/>
        <v>TMS</v>
      </c>
      <c r="V64" s="62">
        <f t="shared" si="16"/>
        <v>1.0324398941686366</v>
      </c>
      <c r="W64" s="61">
        <v>13</v>
      </c>
      <c r="X64" s="10" t="str">
        <f t="shared" si="17"/>
        <v>SSC</v>
      </c>
      <c r="Y64" s="62">
        <f t="shared" si="18"/>
        <v>1.0449370689140116</v>
      </c>
    </row>
    <row r="65" spans="2:25" ht="15">
      <c r="B65" s="57" t="s">
        <v>113</v>
      </c>
      <c r="C65" s="58">
        <f t="shared" si="6"/>
        <v>0.92447992828005499</v>
      </c>
      <c r="D65" s="58">
        <f t="shared" si="7"/>
        <v>1.1808612093231226</v>
      </c>
      <c r="E65" s="59">
        <f t="shared" si="8"/>
        <v>0.97430245229715517</v>
      </c>
      <c r="F65" s="59">
        <f t="shared" si="9"/>
        <v>0.99149841307340414</v>
      </c>
      <c r="G65" s="65">
        <f t="shared" si="10"/>
        <v>0.98282522133701267</v>
      </c>
      <c r="H65" s="14"/>
      <c r="K65" s="61">
        <v>14</v>
      </c>
      <c r="L65" s="10" t="str">
        <f t="shared" si="21"/>
        <v>TMS</v>
      </c>
      <c r="M65" s="62">
        <f t="shared" si="20"/>
        <v>1.1214369854094015</v>
      </c>
      <c r="N65" s="61">
        <v>14</v>
      </c>
      <c r="O65" s="10" t="str">
        <f t="shared" si="11"/>
        <v>PRT</v>
      </c>
      <c r="P65" s="62">
        <f t="shared" si="12"/>
        <v>1.1808612093231226</v>
      </c>
      <c r="Q65" s="61">
        <v>14</v>
      </c>
      <c r="R65" s="10" t="str">
        <f t="shared" si="13"/>
        <v>NWT</v>
      </c>
      <c r="S65" s="62">
        <f t="shared" si="14"/>
        <v>1.1331793427176593</v>
      </c>
      <c r="T65" s="61">
        <v>14</v>
      </c>
      <c r="U65" s="10" t="str">
        <f t="shared" si="15"/>
        <v>SES</v>
      </c>
      <c r="V65" s="62">
        <f t="shared" si="16"/>
        <v>1.1520578116521838</v>
      </c>
      <c r="W65" s="61">
        <v>14</v>
      </c>
      <c r="X65" s="10" t="str">
        <f t="shared" si="17"/>
        <v>NWT</v>
      </c>
      <c r="Y65" s="62">
        <f t="shared" si="18"/>
        <v>1.1612595160294539</v>
      </c>
    </row>
    <row r="66" spans="2:25" ht="15">
      <c r="B66" s="57" t="s">
        <v>114</v>
      </c>
      <c r="C66" s="58">
        <f t="shared" si="6"/>
        <v>1.3098346633770341</v>
      </c>
      <c r="D66" s="58">
        <f t="shared" si="7"/>
        <v>0.91228320162816612</v>
      </c>
      <c r="E66" s="59">
        <f t="shared" si="8"/>
        <v>1.2083256017835724</v>
      </c>
      <c r="F66" s="59">
        <f t="shared" si="9"/>
        <v>1.1520578116521838</v>
      </c>
      <c r="G66" s="65">
        <f t="shared" si="10"/>
        <v>1.1795210393618358</v>
      </c>
      <c r="H66" s="14"/>
      <c r="K66" s="61">
        <v>15</v>
      </c>
      <c r="L66" s="10" t="str">
        <f t="shared" si="21"/>
        <v>WSH</v>
      </c>
      <c r="M66" s="62">
        <f t="shared" si="20"/>
        <v>1.2109756718229467</v>
      </c>
      <c r="N66" s="61">
        <v>15</v>
      </c>
      <c r="O66" s="10" t="str">
        <f t="shared" si="11"/>
        <v>DVW</v>
      </c>
      <c r="P66" s="62">
        <f t="shared" si="12"/>
        <v>1.2929556416134795</v>
      </c>
      <c r="Q66" s="61">
        <v>15</v>
      </c>
      <c r="R66" s="10" t="str">
        <f t="shared" si="13"/>
        <v>SES</v>
      </c>
      <c r="S66" s="62">
        <f t="shared" si="14"/>
        <v>1.2083256017835724</v>
      </c>
      <c r="T66" s="61">
        <v>15</v>
      </c>
      <c r="U66" s="10" t="str">
        <f t="shared" si="15"/>
        <v>NWT</v>
      </c>
      <c r="V66" s="62">
        <f t="shared" si="16"/>
        <v>1.1907667035949006</v>
      </c>
      <c r="W66" s="61">
        <v>15</v>
      </c>
      <c r="X66" s="10" t="str">
        <f t="shared" si="17"/>
        <v>SES</v>
      </c>
      <c r="Y66" s="62">
        <f t="shared" si="18"/>
        <v>1.1795210393618358</v>
      </c>
    </row>
    <row r="67" spans="2:25" ht="15">
      <c r="B67" s="57" t="s">
        <v>115</v>
      </c>
      <c r="C67" s="58">
        <f t="shared" si="6"/>
        <v>0.93479181543219703</v>
      </c>
      <c r="D67" s="58">
        <f t="shared" si="7"/>
        <v>0.74610816149368675</v>
      </c>
      <c r="E67" s="59">
        <f t="shared" si="8"/>
        <v>0.88853231620972606</v>
      </c>
      <c r="F67" s="59">
        <f t="shared" si="9"/>
        <v>0.91487679223958207</v>
      </c>
      <c r="G67" s="65">
        <f t="shared" si="10"/>
        <v>0.90151213215746029</v>
      </c>
      <c r="H67" s="14"/>
      <c r="K67" s="61">
        <v>16</v>
      </c>
      <c r="L67" s="10" t="str">
        <f t="shared" si="21"/>
        <v>SES</v>
      </c>
      <c r="M67" s="62">
        <f t="shared" si="20"/>
        <v>1.3098346633770341</v>
      </c>
      <c r="N67" s="61">
        <v>16</v>
      </c>
      <c r="O67" s="10" t="str">
        <f t="shared" si="11"/>
        <v>WSH</v>
      </c>
      <c r="P67" s="62">
        <f t="shared" si="12"/>
        <v>1.3041569401422555</v>
      </c>
      <c r="Q67" s="61">
        <v>16</v>
      </c>
      <c r="R67" s="10" t="str">
        <f t="shared" si="13"/>
        <v>WSH</v>
      </c>
      <c r="S67" s="62">
        <f t="shared" si="14"/>
        <v>1.2594057301039119</v>
      </c>
      <c r="T67" s="61">
        <v>16</v>
      </c>
      <c r="U67" s="10" t="str">
        <f t="shared" si="15"/>
        <v>WSH</v>
      </c>
      <c r="V67" s="62">
        <f t="shared" si="16"/>
        <v>1.2770677545001654</v>
      </c>
      <c r="W67" s="61">
        <v>16</v>
      </c>
      <c r="X67" s="10" t="str">
        <f t="shared" si="17"/>
        <v>WSH</v>
      </c>
      <c r="Y67" s="62">
        <f t="shared" si="18"/>
        <v>1.2681752500160621</v>
      </c>
    </row>
    <row r="68" spans="2:25" ht="15.75" thickBot="1">
      <c r="B68" s="57" t="s">
        <v>116</v>
      </c>
      <c r="C68" s="58">
        <f t="shared" si="6"/>
        <v>1.080073448400733</v>
      </c>
      <c r="D68" s="58">
        <f t="shared" si="7"/>
        <v>1.0725344035327127</v>
      </c>
      <c r="E68" s="59">
        <f t="shared" si="8"/>
        <v>1.0779404152593599</v>
      </c>
      <c r="F68" s="59">
        <f t="shared" si="9"/>
        <v>1.0138946154736608</v>
      </c>
      <c r="G68" s="72">
        <f t="shared" si="10"/>
        <v>1.0449370689140116</v>
      </c>
      <c r="H68" s="14"/>
      <c r="K68" s="61">
        <v>17</v>
      </c>
      <c r="L68" s="10" t="str">
        <f t="shared" si="21"/>
        <v>SRN</v>
      </c>
      <c r="M68" s="62">
        <f t="shared" si="20"/>
        <v>1.3496770514497227</v>
      </c>
      <c r="N68" s="61">
        <v>17</v>
      </c>
      <c r="O68" s="10" t="str">
        <f t="shared" si="11"/>
        <v>SRN</v>
      </c>
      <c r="P68" s="62">
        <f t="shared" si="12"/>
        <v>1.5542497258321553</v>
      </c>
      <c r="Q68" s="61">
        <v>17</v>
      </c>
      <c r="R68" s="10" t="str">
        <f t="shared" si="13"/>
        <v>SRN</v>
      </c>
      <c r="S68" s="62">
        <f t="shared" si="14"/>
        <v>1.4338513863707636</v>
      </c>
      <c r="T68" s="61">
        <v>17</v>
      </c>
      <c r="U68" s="10" t="str">
        <f t="shared" si="15"/>
        <v>SRN</v>
      </c>
      <c r="V68" s="62">
        <f t="shared" si="16"/>
        <v>1.4203441964904808</v>
      </c>
      <c r="W68" s="61">
        <v>17</v>
      </c>
      <c r="X68" s="10" t="str">
        <f t="shared" si="17"/>
        <v>SRN</v>
      </c>
      <c r="Y68" s="62">
        <f t="shared" si="18"/>
        <v>1.4270658307304589</v>
      </c>
    </row>
    <row r="69" spans="2:25">
      <c r="P69" s="12"/>
      <c r="Q69" s="12"/>
      <c r="R69" s="12"/>
    </row>
    <row r="70" spans="2:25">
      <c r="P70" s="12"/>
      <c r="Q70" s="12"/>
      <c r="R70" s="12"/>
    </row>
    <row r="71" spans="2:25">
      <c r="P71" s="12"/>
      <c r="Q71" s="12"/>
      <c r="R71" s="12"/>
    </row>
    <row r="72" spans="2:25">
      <c r="P72" s="12"/>
      <c r="Q72" s="12"/>
      <c r="R72" s="12"/>
    </row>
    <row r="73" spans="2:25">
      <c r="P73" s="12"/>
      <c r="Q73" s="12"/>
      <c r="R73" s="12"/>
    </row>
    <row r="74" spans="2:25">
      <c r="P74" s="12"/>
      <c r="Q74" s="12"/>
      <c r="R74" s="12"/>
    </row>
    <row r="75" spans="2:25">
      <c r="P75" s="12"/>
      <c r="Q75" s="12"/>
      <c r="R75" s="12"/>
    </row>
    <row r="76" spans="2:25">
      <c r="P76" s="12"/>
      <c r="Q76" s="12"/>
      <c r="R76" s="12"/>
    </row>
    <row r="77" spans="2:25">
      <c r="P77" s="12"/>
      <c r="Q77" s="12"/>
      <c r="R77" s="12"/>
    </row>
    <row r="78" spans="2:25">
      <c r="P78" s="12"/>
      <c r="Q78" s="12"/>
      <c r="R78" s="12"/>
    </row>
  </sheetData>
  <mergeCells count="22">
    <mergeCell ref="B25:B27"/>
    <mergeCell ref="C25:E25"/>
    <mergeCell ref="Q25:Q26"/>
    <mergeCell ref="F26:G26"/>
    <mergeCell ref="H26:I26"/>
    <mergeCell ref="F25:L25"/>
    <mergeCell ref="M25:P26"/>
    <mergeCell ref="D8:E8"/>
    <mergeCell ref="AI19:AK19"/>
    <mergeCell ref="AL19:AN19"/>
    <mergeCell ref="O19:P19"/>
    <mergeCell ref="N50:P50"/>
    <mergeCell ref="AC19:AE19"/>
    <mergeCell ref="F19:G19"/>
    <mergeCell ref="H19:I19"/>
    <mergeCell ref="K50:M50"/>
    <mergeCell ref="Z19:AB19"/>
    <mergeCell ref="T50:V50"/>
    <mergeCell ref="W50:Y50"/>
    <mergeCell ref="Q50:S50"/>
    <mergeCell ref="J19:L19"/>
    <mergeCell ref="J26:L26"/>
  </mergeCells>
  <conditionalFormatting sqref="C52:C68">
    <cfRule type="colorScale" priority="265">
      <colorScale>
        <cfvo type="min"/>
        <cfvo type="percentile" val="50"/>
        <cfvo type="max"/>
        <color theme="7"/>
        <color rgb="FFFFC000"/>
        <color theme="9"/>
      </colorScale>
    </cfRule>
  </conditionalFormatting>
  <conditionalFormatting sqref="D52:E68">
    <cfRule type="colorScale" priority="266">
      <colorScale>
        <cfvo type="min"/>
        <cfvo type="percentile" val="50"/>
        <cfvo type="max"/>
        <color theme="7"/>
        <color rgb="FFFFC000"/>
        <color theme="9"/>
      </colorScale>
    </cfRule>
  </conditionalFormatting>
  <conditionalFormatting sqref="F52:F68">
    <cfRule type="colorScale" priority="267">
      <colorScale>
        <cfvo type="min"/>
        <cfvo type="percentile" val="50"/>
        <cfvo type="max"/>
        <color theme="7"/>
        <color rgb="FFFFC000"/>
        <color theme="9"/>
      </colorScale>
    </cfRule>
  </conditionalFormatting>
  <conditionalFormatting sqref="G52:G68">
    <cfRule type="colorScale" priority="268">
      <colorScale>
        <cfvo type="min"/>
        <cfvo type="percentile" val="50"/>
        <cfvo type="max"/>
        <color theme="7"/>
        <color rgb="FFFFC000"/>
        <color theme="9"/>
      </colorScale>
    </cfRule>
  </conditionalFormatting>
  <conditionalFormatting sqref="M52:M68">
    <cfRule type="colorScale" priority="269">
      <colorScale>
        <cfvo type="min"/>
        <cfvo type="percentile" val="50"/>
        <cfvo type="max"/>
        <color theme="7"/>
        <color rgb="FFFFC000"/>
        <color theme="9"/>
      </colorScale>
    </cfRule>
  </conditionalFormatting>
  <conditionalFormatting sqref="P52:P68">
    <cfRule type="colorScale" priority="270">
      <colorScale>
        <cfvo type="min"/>
        <cfvo type="percentile" val="50"/>
        <cfvo type="max"/>
        <color theme="7"/>
        <color rgb="FFFFC000"/>
        <color theme="9"/>
      </colorScale>
    </cfRule>
  </conditionalFormatting>
  <conditionalFormatting sqref="V52:V68">
    <cfRule type="colorScale" priority="271">
      <colorScale>
        <cfvo type="min"/>
        <cfvo type="percentile" val="50"/>
        <cfvo type="max"/>
        <color theme="7"/>
        <color rgb="FFFFC000"/>
        <color theme="9"/>
      </colorScale>
    </cfRule>
  </conditionalFormatting>
  <conditionalFormatting sqref="Y52:Y68">
    <cfRule type="colorScale" priority="272">
      <colorScale>
        <cfvo type="min"/>
        <cfvo type="percentile" val="50"/>
        <cfvo type="max"/>
        <color theme="7"/>
        <color rgb="FFFFC000"/>
        <color theme="9"/>
      </colorScale>
    </cfRule>
  </conditionalFormatting>
  <conditionalFormatting sqref="S52:S68">
    <cfRule type="colorScale" priority="41">
      <colorScale>
        <cfvo type="min"/>
        <cfvo type="percentile" val="50"/>
        <cfvo type="max"/>
        <color theme="7"/>
        <color rgb="FFFFC000"/>
        <color theme="9"/>
      </colorScale>
    </cfRule>
  </conditionalFormatting>
  <dataValidations count="1">
    <dataValidation type="list" allowBlank="1" showInputMessage="1" showErrorMessage="1" sqref="J8">
      <formula1>"3,4,5"</formula1>
    </dataValidation>
  </dataValidations>
  <pageMargins left="0.7" right="0.7" top="0.75" bottom="0.75" header="0.3" footer="0.3"/>
  <pageSetup paperSize="9" orientation="portrait" r:id="rId1"/>
  <ignoredErrors>
    <ignoredError sqref="F33:H33 I33:L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Cover</vt:lpstr>
      <vt:lpstr>Controls</vt:lpstr>
      <vt:lpstr>Inputs&gt;&gt;</vt:lpstr>
      <vt:lpstr>Coeffs</vt:lpstr>
      <vt:lpstr>Drivers</vt:lpstr>
      <vt:lpstr>Actual costs</vt:lpstr>
      <vt:lpstr>Outputs &gt;&gt;</vt:lpstr>
      <vt:lpstr>Modelled costs</vt:lpstr>
      <vt:lpstr>Catch up efficiency</vt:lpstr>
      <vt:lpstr>Interface</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Imogen Turner</dc:creator>
  <cp:lastModifiedBy>Milton Salas</cp:lastModifiedBy>
  <dcterms:created xsi:type="dcterms:W3CDTF">2015-10-14T16:49:04Z</dcterms:created>
  <dcterms:modified xsi:type="dcterms:W3CDTF">2019-07-12T09:44:55Z</dcterms:modified>
</cp:coreProperties>
</file>