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/>
  <mc:AlternateContent xmlns:mc="http://schemas.openxmlformats.org/markup-compatibility/2006">
    <mc:Choice Requires="x15">
      <x15ac:absPath xmlns:x15ac="http://schemas.microsoft.com/office/spreadsheetml/2010/11/ac" url="\\fpcl01\public\OFWSHARE\PR19 Modelling\Model runs\DD\Model Run 7 Publishable Models\Cost Assessment\Residential Retail\"/>
    </mc:Choice>
  </mc:AlternateContent>
  <bookViews>
    <workbookView xWindow="0" yWindow="0" windowWidth="13620" windowHeight="3360" tabRatio="868"/>
  </bookViews>
  <sheets>
    <sheet name="Cover" sheetId="7" r:id="rId1"/>
    <sheet name="Inputs&gt;&gt;" sheetId="15" r:id="rId2"/>
    <sheet name="Controls" sheetId="64" r:id="rId3"/>
    <sheet name="BP costs" sheetId="78" r:id="rId4"/>
    <sheet name="Coeffs" sheetId="1" r:id="rId5"/>
    <sheet name="Drivers" sheetId="36" r:id="rId6"/>
    <sheet name="Outputs&gt;&gt;" sheetId="28" r:id="rId7"/>
    <sheet name="Modelled costs" sheetId="44" r:id="rId8"/>
    <sheet name="Final allowance" sheetId="77" r:id="rId9"/>
    <sheet name="Financial model inputs" sheetId="79" r:id="rId10"/>
    <sheet name="F_interface" sheetId="54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____net1" hidden="1">{"NET",#N/A,FALSE,"401C11"}</definedName>
    <definedName name="__123Graph_A" hidden="1">'[1]2002PCTs'!#REF!</definedName>
    <definedName name="__123Graph_B" hidden="1">[2]Dnurse!#REF!</definedName>
    <definedName name="__123Graph_C" hidden="1">[2]Dnurse!#REF!</definedName>
    <definedName name="__123Graph_X" hidden="1">[3]Aln!#REF!</definedName>
    <definedName name="__net1" hidden="1">{"NET",#N/A,FALSE,"401C11"}</definedName>
    <definedName name="_1_0__123Grap" hidden="1">'[4]#REF'!#REF!</definedName>
    <definedName name="_1_123Grap" hidden="1">'[5]#REF'!#REF!</definedName>
    <definedName name="_123Graph_F" hidden="1">'[6]Chelmsford '!$G$18:$G$28</definedName>
    <definedName name="_2_0__123Grap" hidden="1">'[5]#REF'!#REF!</definedName>
    <definedName name="_2_123Grap" hidden="1">'[2]#REF'!#REF!</definedName>
    <definedName name="_3_0_S" hidden="1">'[4]#REF'!#REF!</definedName>
    <definedName name="_3_123Grap" hidden="1">'[5]#REF'!#REF!</definedName>
    <definedName name="_34_123Grap" hidden="1">'[5]#REF'!#REF!</definedName>
    <definedName name="_42S" hidden="1">'[5]#REF'!#REF!</definedName>
    <definedName name="_4S" hidden="1">'[5]#REF'!#REF!</definedName>
    <definedName name="_5_0__123Grap" hidden="1">'[5]#REF'!#REF!</definedName>
    <definedName name="_6_0_S" hidden="1">'[5]#REF'!#REF!</definedName>
    <definedName name="_6_123Grap" hidden="1">'[2]#REF'!#REF!</definedName>
    <definedName name="_8_123Grap" hidden="1">'[5]#REF'!#REF!</definedName>
    <definedName name="_8S" hidden="1">'[2]#REF'!#REF!</definedName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MacroRecalculationBehavior" hidden="1">0</definedName>
    <definedName name="_AtRisk_SimSetting_RandomNumberGenerator" hidden="1">0</definedName>
    <definedName name="_AtRisk_SimSetting_ReportOptionCustomItemsCount" hidden="1">0</definedName>
    <definedName name="_AtRisk_SimSetting_ReportOptionDataMode" hidden="1">1</definedName>
    <definedName name="_AtRisk_SimSetting_ReportOptionReportMultiSimType" hidden="1">1</definedName>
    <definedName name="_AtRisk_SimSetting_ReportOptionReportPlacement" hidden="1">1</definedName>
    <definedName name="_AtRisk_SimSetting_ReportOptionReportSelection" hidden="1">257</definedName>
    <definedName name="_AtRisk_SimSetting_ReportOptionReportsFileType" hidden="1">1</definedName>
    <definedName name="_AtRisk_SimSetting_ReportOptionSelectiveQR" hidden="1">FALSE</definedName>
    <definedName name="_AtRisk_SimSetting_ReportsList" hidden="1">257</definedName>
    <definedName name="_AtRisk_SimSetting_ShowSimulationProgressWindow" hidden="1">TRUE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ActiveSimulationNumber" hidden="1">1</definedName>
    <definedName name="_AtRisk_SimSetting_StdRecalcBehavior" hidden="1">1</definedName>
    <definedName name="_AtRisk_SimSetting_StdRecalcWithoutRiskStatic" hidden="1">0</definedName>
    <definedName name="_AtRisk_SimSetting_StdRecalcWithoutRiskStaticPercentile" hidden="1">0.5</definedName>
    <definedName name="_Dist_Values" hidden="1">#REF!</definedName>
    <definedName name="_Fill" hidden="1">#REF!</definedName>
    <definedName name="_xlnm._FilterDatabase" localSheetId="10" hidden="1">F_interface!$A$3:$K$3</definedName>
    <definedName name="_xlnm._FilterDatabase" localSheetId="7" hidden="1">'Modelled costs'!$A$5:$A$91</definedName>
    <definedName name="_Key1" hidden="1">#REF!</definedName>
    <definedName name="_Key2" hidden="1">#REF!</definedName>
    <definedName name="_net1" hidden="1">{"NET",#N/A,FALSE,"401C11"}</definedName>
    <definedName name="_Order1" hidden="1">255</definedName>
    <definedName name="_Order2" hidden="1">255</definedName>
    <definedName name="_Sort" hidden="1">#REF!</definedName>
    <definedName name="a" hidden="1">{"CHARGE",#N/A,FALSE,"401C11"}</definedName>
    <definedName name="aa" hidden="1">{"CHARGE",#N/A,FALSE,"401C11"}</definedName>
    <definedName name="aaa" hidden="1">{"CHARGE",#N/A,FALSE,"401C11"}</definedName>
    <definedName name="aaaa" hidden="1">{"CHARGE",#N/A,FALSE,"401C11"}</definedName>
    <definedName name="abc" hidden="1">{"NET",#N/A,FALSE,"401C11"}</definedName>
    <definedName name="adbr" hidden="1">{"CHARGE",#N/A,FALSE,"401C11"}</definedName>
    <definedName name="b" hidden="1">{"CHARGE",#N/A,FALSE,"401C11"}</definedName>
    <definedName name="BMGHIndex" hidden="1">"O"</definedName>
    <definedName name="change1" hidden="1">{"CHARGE",#N/A,FALSE,"401C11"}</definedName>
    <definedName name="charge" hidden="1">{"CHARGE",#N/A,FALSE,"401C11"}</definedName>
    <definedName name="CHK_TOL">[7]InpActive!$F$1891</definedName>
    <definedName name="CHK_TOL_TAX">[7]InpActive!$F$1893</definedName>
    <definedName name="Codes">#REF!</definedName>
    <definedName name="da" hidden="1">#REF!</definedName>
    <definedName name="dog" hidden="1">{"NET",#N/A,FALSE,"401C11"}</definedName>
    <definedName name="eff_update">#REF!</definedName>
    <definedName name="EV__LASTREFTIME__" hidden="1">40339.4799074074</definedName>
    <definedName name="Expired" hidden="1">FALSE</definedName>
    <definedName name="F" hidden="1">{"bal",#N/A,FALSE,"working papers";"income",#N/A,FALSE,"working papers"}</definedName>
    <definedName name="fdraf" hidden="1">{"bal",#N/A,FALSE,"working papers";"income",#N/A,FALSE,"working papers"}</definedName>
    <definedName name="Fdraft" hidden="1">{"bal",#N/A,FALSE,"working papers";"income",#N/A,FALSE,"working papers"}</definedName>
    <definedName name="Foutput" hidden="1">#REF!</definedName>
    <definedName name="fsdfffd" hidden="1">#REF!</definedName>
    <definedName name="fsdfsd" hidden="1">#REF!</definedName>
    <definedName name="fsfds" hidden="1">#REF!</definedName>
    <definedName name="fsfsd" hidden="1">#REF!</definedName>
    <definedName name="gfff" hidden="1">{"CHARGE",#N/A,FALSE,"401C11"}</definedName>
    <definedName name="gross" hidden="1">{"GROSS",#N/A,FALSE,"401C11"}</definedName>
    <definedName name="gross1" hidden="1">{"GROSS",#N/A,FALSE,"401C11"}</definedName>
    <definedName name="hasdfjklhklj" hidden="1">{"NET",#N/A,FALSE,"401C11"}</definedName>
    <definedName name="help" hidden="1">{"CHARGE",#N/A,FALSE,"401C11"}</definedName>
    <definedName name="hghghhj" hidden="1">{"CHARGE",#N/A,FALSE,"401C11"}</definedName>
    <definedName name="HRG_Codes">#REF!</definedName>
    <definedName name="HTML_CodePage" hidden="1">1252</definedName>
    <definedName name="HTML_Control" hidden="1">{"'Trust by name'!$A$6:$E$350","'Trust by name'!$A$1:$D$348"}</definedName>
    <definedName name="HTML_Description" hidden="1">""</definedName>
    <definedName name="HTML_Email" hidden="1">""</definedName>
    <definedName name="HTML_Header" hidden="1">"Trust by name"</definedName>
    <definedName name="HTML_LastUpdate" hidden="1">"22/03/2001"</definedName>
    <definedName name="HTML_LineAfter" hidden="1">FALSE</definedName>
    <definedName name="HTML_LineBefore" hidden="1">FALSE</definedName>
    <definedName name="HTML_Name" hidden="1">"OISIII"</definedName>
    <definedName name="HTML_OBDlg2" hidden="1">TRUE</definedName>
    <definedName name="HTML_OBDlg4" hidden="1">TRUE</definedName>
    <definedName name="HTML_OS" hidden="1">0</definedName>
    <definedName name="HTML_PathFile" hidden="1">"G:\ACTIVITY\HELP\DTPANIC\2001-02\MyHTML.htm"</definedName>
    <definedName name="HTML_Title" hidden="1">"Section 1"</definedName>
    <definedName name="ICD_Codes">#REF!</definedName>
    <definedName name="interpretation">[8]!interpretation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EXPENSE_CODE_" hidden="1">80019595006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41366.3748958333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JFELL" hidden="1">#REF!</definedName>
    <definedName name="MFF_2014_15">#REF!</definedName>
    <definedName name="New" hidden="1">#REF!</definedName>
    <definedName name="ODS_Care_Trust_List">#REF!</definedName>
    <definedName name="ODS_List">#REF!</definedName>
    <definedName name="OISIII" hidden="1">#REF!</definedName>
    <definedName name="OPCS_Codes">#REF!</definedName>
    <definedName name="qfx" hidden="1">{"NET",#N/A,FALSE,"401C11"}</definedName>
    <definedName name="real" hidden="1">#REF!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7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2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round_dp">#REF!</definedName>
    <definedName name="rytry" hidden="1">{"NET",#N/A,FALSE,"401C11"}</definedName>
    <definedName name="SAPBEXrevision" hidden="1">1</definedName>
    <definedName name="SAPBEXsysID" hidden="1">"BWB"</definedName>
    <definedName name="SAPBEXwbID" hidden="1">"49ZLUKBQR0WG29D9LLI3IBIIT"</definedName>
    <definedName name="sort" hidden="1">#REF!</definedName>
    <definedName name="Table3.4" hidden="1">{"CHARGE",#N/A,FALSE,"401C11"}</definedName>
    <definedName name="Test23" hidden="1">{"NET",#N/A,FALSE,"401C11"}</definedName>
    <definedName name="time">[8]!time</definedName>
    <definedName name="TRK_TOL">[7]InpActive!$F$1895</definedName>
    <definedName name="wert" hidden="1">{"GROSS",#N/A,FALSE,"401C11"}</definedName>
    <definedName name="wombat" hidden="1">#REF!</definedName>
    <definedName name="wotsthis" hidden="1">{"P&amp;L phased",#N/A,FALSE,"P and L";"Interest phased",#N/A,FALSE,"Interest";"Cshf phased",#N/A,FALSE,"Cashflow";"BSheet phased",#N/A,FALSE,"B Sheet";"Capex phased",#N/A,FALSE,"Capex"}</definedName>
    <definedName name="wrn.CHARGE." hidden="1">{"CHARGE",#N/A,FALSE,"401C11"}</definedName>
    <definedName name="wrn.GROSS." hidden="1">{"GROSS",#N/A,FALSE,"401C11"}</definedName>
    <definedName name="wrn.NET." hidden="1">{"NET",#N/A,FALSE,"401C11"}</definedName>
    <definedName name="wrn.papersdraft" hidden="1">{"bal",#N/A,FALSE,"working papers";"income",#N/A,FALSE,"working papers"}</definedName>
    <definedName name="wrn.Print._.5._.and._.12." hidden="1">{"EBIT 5",#N/A,FALSE,"EBIT";"NPAT 5",#N/A,FALSE,"EBIT";"EBITDA 5",#N/A,FALSE,"EBIT";"INTEREST 5",#N/A,FALSE,"EBIT";"TAX 5",#N/A,FALSE,"EBIT";"MI 5",#N/A,FALSE,"EBIT";"3G 5",#N/A,FALSE,"EBIT";"E-Com 5",#N/A,FALSE,"EBIT";"EBIT 12",#N/A,FALSE,"EBIT";"NPAT 12",#N/A,FALSE,"EBIT";"EBITDA 12",#N/A,FALSE,"EBIT";"INTEREST 12",#N/A,FALSE,"EBIT";"TAX 12",#N/A,FALSE,"EBIT";"MI 12",#N/A,FALSE,"EBIT"}</definedName>
    <definedName name="wrn.Print._.Phased." hidden="1">{"P&amp;L phased",#N/A,FALSE,"P and L";"Interest phased",#N/A,FALSE,"Interest";"Cshf phased",#N/A,FALSE,"Cashflow";"BSheet phased",#N/A,FALSE,"B Sheet";"Capex phased",#N/A,FALSE,"Capex"}</definedName>
    <definedName name="wrn.wpapers." hidden="1">{"bal",#N/A,FALSE,"working papers";"income",#N/A,FALSE,"working papers"}</definedName>
    <definedName name="xxx" hidden="1">{"CHARGE",#N/A,FALSE,"401C11"}</definedName>
    <definedName name="yyy" hidden="1">{"GROSS",#N/A,FALSE,"401C11"}</definedName>
    <definedName name="zzz" hidden="1">{"NET",#N/A,FALSE,"401C11"}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64" l="1"/>
  <c r="D28" i="77" l="1"/>
  <c r="F4" i="79" l="1"/>
  <c r="L88" i="79"/>
  <c r="L87" i="79"/>
  <c r="L86" i="79"/>
  <c r="L85" i="79"/>
  <c r="L84" i="79"/>
  <c r="L83" i="79"/>
  <c r="L82" i="79"/>
  <c r="L81" i="79"/>
  <c r="L80" i="79"/>
  <c r="L79" i="79"/>
  <c r="L78" i="79"/>
  <c r="L77" i="79"/>
  <c r="L76" i="79"/>
  <c r="L75" i="79"/>
  <c r="L74" i="79"/>
  <c r="L73" i="79"/>
  <c r="L72" i="79"/>
  <c r="L71" i="79"/>
  <c r="L70" i="79"/>
  <c r="L69" i="79"/>
  <c r="L68" i="79"/>
  <c r="L67" i="79"/>
  <c r="L66" i="79"/>
  <c r="L65" i="79"/>
  <c r="L64" i="79"/>
  <c r="L63" i="79"/>
  <c r="L62" i="79"/>
  <c r="L61" i="79"/>
  <c r="L60" i="79"/>
  <c r="L59" i="79"/>
  <c r="L58" i="79"/>
  <c r="L57" i="79"/>
  <c r="L56" i="79"/>
  <c r="L55" i="79"/>
  <c r="L54" i="79"/>
  <c r="L53" i="79"/>
  <c r="L52" i="79"/>
  <c r="L51" i="79"/>
  <c r="L50" i="79"/>
  <c r="L49" i="79"/>
  <c r="L48" i="79"/>
  <c r="L47" i="79"/>
  <c r="L46" i="79"/>
  <c r="L45" i="79"/>
  <c r="L44" i="79"/>
  <c r="L43" i="79"/>
  <c r="L42" i="79"/>
  <c r="L41" i="79"/>
  <c r="L40" i="79"/>
  <c r="L39" i="79"/>
  <c r="L38" i="79"/>
  <c r="L37" i="79"/>
  <c r="L36" i="79"/>
  <c r="L35" i="79"/>
  <c r="L34" i="79"/>
  <c r="L33" i="79"/>
  <c r="L32" i="79"/>
  <c r="L31" i="79"/>
  <c r="L30" i="79"/>
  <c r="L29" i="79"/>
  <c r="L28" i="79"/>
  <c r="L27" i="79"/>
  <c r="L26" i="79"/>
  <c r="L25" i="79"/>
  <c r="L24" i="79"/>
  <c r="L23" i="79"/>
  <c r="L22" i="79"/>
  <c r="L21" i="79"/>
  <c r="L20" i="79"/>
  <c r="L19" i="79"/>
  <c r="L18" i="79"/>
  <c r="L17" i="79"/>
  <c r="L16" i="79"/>
  <c r="L15" i="79"/>
  <c r="L14" i="79"/>
  <c r="L13" i="79"/>
  <c r="L12" i="79"/>
  <c r="L11" i="79"/>
  <c r="L10" i="79"/>
  <c r="L9" i="79"/>
  <c r="L8" i="79"/>
  <c r="L7" i="79"/>
  <c r="L6" i="79"/>
  <c r="L5" i="79"/>
  <c r="L4" i="79"/>
  <c r="C96" i="36" l="1"/>
  <c r="C97" i="36"/>
  <c r="C98" i="36"/>
  <c r="C99" i="36"/>
  <c r="C100" i="36"/>
  <c r="C101" i="36"/>
  <c r="C102" i="36"/>
  <c r="C103" i="36"/>
  <c r="C104" i="36"/>
  <c r="C95" i="36"/>
  <c r="C17" i="64" l="1"/>
  <c r="O3" i="44" l="1"/>
  <c r="N3" i="44"/>
  <c r="D13" i="64"/>
  <c r="D12" i="64"/>
  <c r="D11" i="64"/>
  <c r="B1" i="36" l="1"/>
  <c r="H164" i="54" l="1"/>
  <c r="B1" i="79" l="1"/>
  <c r="B5" i="44" l="1"/>
  <c r="L3" i="44" l="1"/>
  <c r="E104" i="36" l="1"/>
  <c r="E103" i="36"/>
  <c r="E102" i="36"/>
  <c r="E101" i="36"/>
  <c r="E100" i="36"/>
  <c r="E99" i="36"/>
  <c r="E98" i="36"/>
  <c r="E97" i="36"/>
  <c r="E96" i="36"/>
  <c r="D104" i="36"/>
  <c r="D103" i="36"/>
  <c r="D102" i="36"/>
  <c r="D101" i="36"/>
  <c r="D100" i="36"/>
  <c r="D99" i="36"/>
  <c r="D98" i="36"/>
  <c r="D97" i="36"/>
  <c r="D96" i="36"/>
  <c r="G104" i="36"/>
  <c r="G103" i="36"/>
  <c r="G102" i="36"/>
  <c r="G101" i="36"/>
  <c r="G100" i="36"/>
  <c r="G99" i="36"/>
  <c r="G98" i="36"/>
  <c r="G97" i="36"/>
  <c r="F104" i="36"/>
  <c r="F103" i="36"/>
  <c r="F102" i="36"/>
  <c r="F101" i="36"/>
  <c r="F100" i="36"/>
  <c r="F99" i="36"/>
  <c r="F98" i="36"/>
  <c r="F97" i="36"/>
  <c r="F96" i="36"/>
  <c r="G96" i="36"/>
  <c r="E95" i="36"/>
  <c r="G95" i="36"/>
  <c r="D95" i="36"/>
  <c r="F95" i="36"/>
  <c r="C14" i="77" l="1"/>
  <c r="C16" i="77"/>
  <c r="K483" i="54"/>
  <c r="K482" i="54"/>
  <c r="K481" i="54"/>
  <c r="K480" i="54"/>
  <c r="K479" i="54"/>
  <c r="K478" i="54"/>
  <c r="K477" i="54"/>
  <c r="K476" i="54"/>
  <c r="K475" i="54"/>
  <c r="K474" i="54"/>
  <c r="K473" i="54"/>
  <c r="K472" i="54"/>
  <c r="K471" i="54"/>
  <c r="K470" i="54"/>
  <c r="K469" i="54"/>
  <c r="K468" i="54"/>
  <c r="K467" i="54"/>
  <c r="K466" i="54"/>
  <c r="K465" i="54"/>
  <c r="K464" i="54"/>
  <c r="I479" i="54"/>
  <c r="H479" i="54"/>
  <c r="G479" i="54"/>
  <c r="F479" i="54"/>
  <c r="E479" i="54"/>
  <c r="I471" i="54"/>
  <c r="H471" i="54"/>
  <c r="G471" i="54"/>
  <c r="F471" i="54"/>
  <c r="E471" i="54"/>
  <c r="I470" i="54"/>
  <c r="H470" i="54"/>
  <c r="G470" i="54"/>
  <c r="F470" i="54"/>
  <c r="E470" i="54"/>
  <c r="E477" i="54"/>
  <c r="I483" i="54"/>
  <c r="H483" i="54"/>
  <c r="G483" i="54"/>
  <c r="F483" i="54"/>
  <c r="E483" i="54"/>
  <c r="I482" i="54"/>
  <c r="H482" i="54"/>
  <c r="G482" i="54"/>
  <c r="F482" i="54"/>
  <c r="E482" i="54"/>
  <c r="I481" i="54"/>
  <c r="H481" i="54"/>
  <c r="G481" i="54"/>
  <c r="F481" i="54"/>
  <c r="E481" i="54"/>
  <c r="I480" i="54"/>
  <c r="H480" i="54"/>
  <c r="G480" i="54"/>
  <c r="F480" i="54"/>
  <c r="E480" i="54"/>
  <c r="I478" i="54"/>
  <c r="H478" i="54"/>
  <c r="G478" i="54"/>
  <c r="F478" i="54"/>
  <c r="E478" i="54"/>
  <c r="I477" i="54"/>
  <c r="H477" i="54"/>
  <c r="G477" i="54"/>
  <c r="F477" i="54"/>
  <c r="I465" i="54"/>
  <c r="H465" i="54"/>
  <c r="G465" i="54"/>
  <c r="F465" i="54"/>
  <c r="E465" i="54"/>
  <c r="I469" i="54"/>
  <c r="H469" i="54"/>
  <c r="G469" i="54"/>
  <c r="F469" i="54"/>
  <c r="E469" i="54"/>
  <c r="I476" i="54"/>
  <c r="H476" i="54"/>
  <c r="G476" i="54"/>
  <c r="F476" i="54"/>
  <c r="E476" i="54"/>
  <c r="I475" i="54"/>
  <c r="H475" i="54"/>
  <c r="G475" i="54"/>
  <c r="F475" i="54"/>
  <c r="E475" i="54"/>
  <c r="I474" i="54"/>
  <c r="H474" i="54"/>
  <c r="G474" i="54"/>
  <c r="F474" i="54"/>
  <c r="E474" i="54"/>
  <c r="I473" i="54"/>
  <c r="H473" i="54"/>
  <c r="G473" i="54"/>
  <c r="F473" i="54"/>
  <c r="E473" i="54"/>
  <c r="I472" i="54"/>
  <c r="H472" i="54"/>
  <c r="G472" i="54"/>
  <c r="F472" i="54"/>
  <c r="E472" i="54"/>
  <c r="I468" i="54"/>
  <c r="H468" i="54"/>
  <c r="G468" i="54"/>
  <c r="F468" i="54"/>
  <c r="E468" i="54"/>
  <c r="I467" i="54"/>
  <c r="H467" i="54"/>
  <c r="G467" i="54"/>
  <c r="F467" i="54"/>
  <c r="E467" i="54"/>
  <c r="I466" i="54"/>
  <c r="H466" i="54"/>
  <c r="G466" i="54"/>
  <c r="F466" i="54"/>
  <c r="E466" i="54"/>
  <c r="I464" i="54"/>
  <c r="H464" i="54"/>
  <c r="G464" i="54"/>
  <c r="F464" i="54"/>
  <c r="E464" i="54"/>
  <c r="C9" i="77" l="1"/>
  <c r="C22" i="77"/>
  <c r="C10" i="77"/>
  <c r="C18" i="77"/>
  <c r="C17" i="77"/>
  <c r="C13" i="77"/>
  <c r="C11" i="77"/>
  <c r="C19" i="77"/>
  <c r="C6" i="77"/>
  <c r="C15" i="77"/>
  <c r="C12" i="77"/>
  <c r="C21" i="77"/>
  <c r="C20" i="77"/>
  <c r="C8" i="77"/>
  <c r="C7" i="77"/>
  <c r="D29" i="64"/>
  <c r="AH8" i="44"/>
  <c r="AH7" i="44"/>
  <c r="I19" i="54" l="1"/>
  <c r="H19" i="54"/>
  <c r="G19" i="54"/>
  <c r="F19" i="54"/>
  <c r="E19" i="54"/>
  <c r="I11" i="54"/>
  <c r="H11" i="54"/>
  <c r="G11" i="54"/>
  <c r="F11" i="54"/>
  <c r="E11" i="54"/>
  <c r="I10" i="54"/>
  <c r="H10" i="54"/>
  <c r="G10" i="54"/>
  <c r="F10" i="54"/>
  <c r="E10" i="54"/>
  <c r="F45" i="77" l="1"/>
  <c r="F67" i="77" l="1"/>
  <c r="I459" i="54"/>
  <c r="H459" i="54"/>
  <c r="G459" i="54"/>
  <c r="F459" i="54"/>
  <c r="E459" i="54"/>
  <c r="I451" i="54"/>
  <c r="H451" i="54"/>
  <c r="G451" i="54"/>
  <c r="F451" i="54"/>
  <c r="E451" i="54"/>
  <c r="I450" i="54"/>
  <c r="H450" i="54"/>
  <c r="G450" i="54"/>
  <c r="F450" i="54"/>
  <c r="E450" i="54"/>
  <c r="I439" i="54"/>
  <c r="H439" i="54"/>
  <c r="G439" i="54"/>
  <c r="F439" i="54"/>
  <c r="E439" i="54"/>
  <c r="I431" i="54"/>
  <c r="H431" i="54"/>
  <c r="G431" i="54"/>
  <c r="F431" i="54"/>
  <c r="E431" i="54"/>
  <c r="I430" i="54"/>
  <c r="H430" i="54"/>
  <c r="G430" i="54"/>
  <c r="F430" i="54"/>
  <c r="E430" i="54"/>
  <c r="I319" i="54"/>
  <c r="H319" i="54"/>
  <c r="G319" i="54"/>
  <c r="F319" i="54"/>
  <c r="E319" i="54"/>
  <c r="I311" i="54"/>
  <c r="H311" i="54"/>
  <c r="G311" i="54"/>
  <c r="F311" i="54"/>
  <c r="E311" i="54"/>
  <c r="I310" i="54"/>
  <c r="H310" i="54"/>
  <c r="G310" i="54"/>
  <c r="F310" i="54"/>
  <c r="E310" i="54"/>
  <c r="I419" i="54" l="1"/>
  <c r="H419" i="54"/>
  <c r="G419" i="54"/>
  <c r="F419" i="54"/>
  <c r="E419" i="54"/>
  <c r="I411" i="54"/>
  <c r="H411" i="54"/>
  <c r="G411" i="54"/>
  <c r="F411" i="54"/>
  <c r="E411" i="54"/>
  <c r="I410" i="54"/>
  <c r="H410" i="54"/>
  <c r="G410" i="54"/>
  <c r="F410" i="54"/>
  <c r="E410" i="54"/>
  <c r="I399" i="54"/>
  <c r="H399" i="54"/>
  <c r="G399" i="54"/>
  <c r="F399" i="54"/>
  <c r="E399" i="54"/>
  <c r="I391" i="54"/>
  <c r="H391" i="54"/>
  <c r="G391" i="54"/>
  <c r="F391" i="54"/>
  <c r="E391" i="54"/>
  <c r="I390" i="54"/>
  <c r="H390" i="54"/>
  <c r="G390" i="54"/>
  <c r="F390" i="54"/>
  <c r="E390" i="54"/>
  <c r="I379" i="54"/>
  <c r="H379" i="54"/>
  <c r="G379" i="54"/>
  <c r="F379" i="54"/>
  <c r="E379" i="54"/>
  <c r="I371" i="54"/>
  <c r="H371" i="54"/>
  <c r="G371" i="54"/>
  <c r="F371" i="54"/>
  <c r="E371" i="54"/>
  <c r="I370" i="54"/>
  <c r="H370" i="54"/>
  <c r="G370" i="54"/>
  <c r="F370" i="54"/>
  <c r="E370" i="54"/>
  <c r="I359" i="54"/>
  <c r="H359" i="54"/>
  <c r="G359" i="54"/>
  <c r="F359" i="54"/>
  <c r="E359" i="54"/>
  <c r="I351" i="54"/>
  <c r="H351" i="54"/>
  <c r="G351" i="54"/>
  <c r="F351" i="54"/>
  <c r="E351" i="54"/>
  <c r="I350" i="54"/>
  <c r="H350" i="54"/>
  <c r="G350" i="54"/>
  <c r="F350" i="54"/>
  <c r="E350" i="54"/>
  <c r="I339" i="54"/>
  <c r="H339" i="54"/>
  <c r="G339" i="54"/>
  <c r="F339" i="54"/>
  <c r="E339" i="54"/>
  <c r="I331" i="54"/>
  <c r="H331" i="54"/>
  <c r="G331" i="54"/>
  <c r="F331" i="54"/>
  <c r="E331" i="54"/>
  <c r="I330" i="54"/>
  <c r="H330" i="54"/>
  <c r="G330" i="54"/>
  <c r="F330" i="54"/>
  <c r="E330" i="54"/>
  <c r="K423" i="54"/>
  <c r="K422" i="54"/>
  <c r="K421" i="54"/>
  <c r="K420" i="54"/>
  <c r="K419" i="54"/>
  <c r="K418" i="54"/>
  <c r="K417" i="54"/>
  <c r="K416" i="54"/>
  <c r="K415" i="54"/>
  <c r="K414" i="54"/>
  <c r="K413" i="54"/>
  <c r="K412" i="54"/>
  <c r="K411" i="54"/>
  <c r="K410" i="54"/>
  <c r="K409" i="54"/>
  <c r="K408" i="54"/>
  <c r="K407" i="54"/>
  <c r="K406" i="54"/>
  <c r="K405" i="54"/>
  <c r="K404" i="54"/>
  <c r="K403" i="54"/>
  <c r="K402" i="54"/>
  <c r="K401" i="54"/>
  <c r="K400" i="54"/>
  <c r="K399" i="54"/>
  <c r="K398" i="54"/>
  <c r="K397" i="54"/>
  <c r="K396" i="54"/>
  <c r="K395" i="54"/>
  <c r="K394" i="54"/>
  <c r="K393" i="54"/>
  <c r="K392" i="54"/>
  <c r="K391" i="54"/>
  <c r="K390" i="54"/>
  <c r="K389" i="54"/>
  <c r="K388" i="54"/>
  <c r="K387" i="54"/>
  <c r="K386" i="54"/>
  <c r="K385" i="54"/>
  <c r="K384" i="54"/>
  <c r="K383" i="54"/>
  <c r="K382" i="54"/>
  <c r="K381" i="54"/>
  <c r="K380" i="54"/>
  <c r="K379" i="54"/>
  <c r="K378" i="54"/>
  <c r="K377" i="54"/>
  <c r="K376" i="54"/>
  <c r="K375" i="54"/>
  <c r="K374" i="54"/>
  <c r="K373" i="54"/>
  <c r="K372" i="54"/>
  <c r="K371" i="54"/>
  <c r="K370" i="54"/>
  <c r="K369" i="54"/>
  <c r="K368" i="54"/>
  <c r="K367" i="54"/>
  <c r="K366" i="54"/>
  <c r="K365" i="54"/>
  <c r="K364" i="54"/>
  <c r="K424" i="54"/>
  <c r="K425" i="54"/>
  <c r="K426" i="54"/>
  <c r="K427" i="54"/>
  <c r="K428" i="54"/>
  <c r="K429" i="54"/>
  <c r="K430" i="54"/>
  <c r="K431" i="54"/>
  <c r="K432" i="54"/>
  <c r="K433" i="54"/>
  <c r="K434" i="54"/>
  <c r="K435" i="54"/>
  <c r="K436" i="54"/>
  <c r="K437" i="54"/>
  <c r="K438" i="54"/>
  <c r="K439" i="54"/>
  <c r="K440" i="54"/>
  <c r="K441" i="54"/>
  <c r="K442" i="54"/>
  <c r="K443" i="54"/>
  <c r="K363" i="54"/>
  <c r="K362" i="54"/>
  <c r="K361" i="54"/>
  <c r="K360" i="54"/>
  <c r="K359" i="54"/>
  <c r="K358" i="54"/>
  <c r="K357" i="54"/>
  <c r="K356" i="54"/>
  <c r="K355" i="54"/>
  <c r="K354" i="54"/>
  <c r="K353" i="54"/>
  <c r="K352" i="54"/>
  <c r="K351" i="54"/>
  <c r="K350" i="54"/>
  <c r="K349" i="54"/>
  <c r="K348" i="54"/>
  <c r="K347" i="54"/>
  <c r="K346" i="54"/>
  <c r="K345" i="54"/>
  <c r="K344" i="54"/>
  <c r="K343" i="54"/>
  <c r="K342" i="54"/>
  <c r="K341" i="54"/>
  <c r="K340" i="54"/>
  <c r="K339" i="54"/>
  <c r="K338" i="54"/>
  <c r="K337" i="54"/>
  <c r="K336" i="54"/>
  <c r="K335" i="54"/>
  <c r="K334" i="54"/>
  <c r="K333" i="54"/>
  <c r="K332" i="54"/>
  <c r="K331" i="54"/>
  <c r="K330" i="54"/>
  <c r="K329" i="54"/>
  <c r="K328" i="54"/>
  <c r="K327" i="54"/>
  <c r="K326" i="54"/>
  <c r="K325" i="54"/>
  <c r="K324" i="54"/>
  <c r="I303" i="54" l="1"/>
  <c r="H303" i="54"/>
  <c r="G303" i="54"/>
  <c r="F303" i="54"/>
  <c r="E303" i="54"/>
  <c r="I302" i="54"/>
  <c r="H302" i="54"/>
  <c r="G302" i="54"/>
  <c r="F302" i="54"/>
  <c r="E302" i="54"/>
  <c r="I301" i="54"/>
  <c r="H301" i="54"/>
  <c r="G301" i="54"/>
  <c r="F301" i="54"/>
  <c r="E301" i="54"/>
  <c r="I300" i="54"/>
  <c r="H300" i="54"/>
  <c r="G300" i="54"/>
  <c r="F300" i="54"/>
  <c r="E300" i="54"/>
  <c r="I299" i="54"/>
  <c r="H299" i="54"/>
  <c r="G299" i="54"/>
  <c r="F299" i="54"/>
  <c r="E299" i="54"/>
  <c r="I298" i="54"/>
  <c r="H298" i="54"/>
  <c r="G298" i="54"/>
  <c r="F298" i="54"/>
  <c r="E298" i="54"/>
  <c r="I297" i="54"/>
  <c r="H297" i="54"/>
  <c r="G297" i="54"/>
  <c r="F297" i="54"/>
  <c r="E297" i="54"/>
  <c r="I296" i="54"/>
  <c r="H296" i="54"/>
  <c r="G296" i="54"/>
  <c r="F296" i="54"/>
  <c r="E296" i="54"/>
  <c r="I295" i="54"/>
  <c r="H295" i="54"/>
  <c r="G295" i="54"/>
  <c r="F295" i="54"/>
  <c r="E295" i="54"/>
  <c r="I294" i="54"/>
  <c r="H294" i="54"/>
  <c r="G294" i="54"/>
  <c r="F294" i="54"/>
  <c r="E294" i="54"/>
  <c r="I293" i="54"/>
  <c r="H293" i="54"/>
  <c r="G293" i="54"/>
  <c r="F293" i="54"/>
  <c r="E293" i="54"/>
  <c r="I292" i="54"/>
  <c r="H292" i="54"/>
  <c r="G292" i="54"/>
  <c r="F292" i="54"/>
  <c r="E292" i="54"/>
  <c r="I291" i="54"/>
  <c r="H291" i="54"/>
  <c r="G291" i="54"/>
  <c r="F291" i="54"/>
  <c r="E291" i="54"/>
  <c r="I290" i="54"/>
  <c r="H290" i="54"/>
  <c r="G290" i="54"/>
  <c r="F290" i="54"/>
  <c r="E290" i="54"/>
  <c r="I289" i="54"/>
  <c r="H289" i="54"/>
  <c r="G289" i="54"/>
  <c r="F289" i="54"/>
  <c r="E289" i="54"/>
  <c r="I288" i="54"/>
  <c r="H288" i="54"/>
  <c r="G288" i="54"/>
  <c r="F288" i="54"/>
  <c r="E288" i="54"/>
  <c r="I287" i="54"/>
  <c r="H287" i="54"/>
  <c r="G287" i="54"/>
  <c r="F287" i="54"/>
  <c r="E287" i="54"/>
  <c r="I286" i="54"/>
  <c r="H286" i="54"/>
  <c r="G286" i="54"/>
  <c r="F286" i="54"/>
  <c r="E286" i="54"/>
  <c r="I285" i="54"/>
  <c r="H285" i="54"/>
  <c r="G285" i="54"/>
  <c r="F285" i="54"/>
  <c r="E285" i="54"/>
  <c r="I284" i="54"/>
  <c r="H284" i="54"/>
  <c r="G284" i="54"/>
  <c r="F284" i="54"/>
  <c r="E284" i="54"/>
  <c r="E264" i="54"/>
  <c r="K463" i="54" l="1"/>
  <c r="K462" i="54"/>
  <c r="K461" i="54"/>
  <c r="K460" i="54"/>
  <c r="K459" i="54"/>
  <c r="K458" i="54"/>
  <c r="K457" i="54"/>
  <c r="K456" i="54"/>
  <c r="K455" i="54"/>
  <c r="K454" i="54"/>
  <c r="K453" i="54"/>
  <c r="K452" i="54"/>
  <c r="K451" i="54"/>
  <c r="K450" i="54"/>
  <c r="K449" i="54"/>
  <c r="K448" i="54"/>
  <c r="K447" i="54"/>
  <c r="K446" i="54"/>
  <c r="K445" i="54"/>
  <c r="K444" i="54"/>
  <c r="K323" i="54"/>
  <c r="K322" i="54"/>
  <c r="K321" i="54"/>
  <c r="K320" i="54"/>
  <c r="K319" i="54"/>
  <c r="K318" i="54"/>
  <c r="K317" i="54"/>
  <c r="K316" i="54"/>
  <c r="K315" i="54"/>
  <c r="K314" i="54"/>
  <c r="K313" i="54"/>
  <c r="K312" i="54"/>
  <c r="K311" i="54"/>
  <c r="K310" i="54"/>
  <c r="K309" i="54"/>
  <c r="K308" i="54"/>
  <c r="K307" i="54"/>
  <c r="K306" i="54"/>
  <c r="K305" i="54"/>
  <c r="K304" i="54"/>
  <c r="K283" i="54" l="1"/>
  <c r="K282" i="54"/>
  <c r="K281" i="54"/>
  <c r="K280" i="54"/>
  <c r="K279" i="54"/>
  <c r="K278" i="54"/>
  <c r="K277" i="54"/>
  <c r="K276" i="54"/>
  <c r="K275" i="54"/>
  <c r="K274" i="54"/>
  <c r="K273" i="54"/>
  <c r="K272" i="54"/>
  <c r="K271" i="54"/>
  <c r="K270" i="54"/>
  <c r="K302" i="54"/>
  <c r="K301" i="54"/>
  <c r="K300" i="54"/>
  <c r="K299" i="54"/>
  <c r="K298" i="54"/>
  <c r="K297" i="54"/>
  <c r="K296" i="54"/>
  <c r="K295" i="54"/>
  <c r="K294" i="54"/>
  <c r="K293" i="54"/>
  <c r="K292" i="54"/>
  <c r="K291" i="54"/>
  <c r="K290" i="54"/>
  <c r="I279" i="54"/>
  <c r="H279" i="54"/>
  <c r="G279" i="54"/>
  <c r="F279" i="54"/>
  <c r="E279" i="54"/>
  <c r="I271" i="54"/>
  <c r="H271" i="54"/>
  <c r="G271" i="54"/>
  <c r="F271" i="54"/>
  <c r="E271" i="54"/>
  <c r="I270" i="54"/>
  <c r="H270" i="54"/>
  <c r="G270" i="54"/>
  <c r="F270" i="54"/>
  <c r="E270" i="54"/>
  <c r="K259" i="54"/>
  <c r="K251" i="54"/>
  <c r="K250" i="54"/>
  <c r="K239" i="54"/>
  <c r="K231" i="54"/>
  <c r="K230" i="54"/>
  <c r="K219" i="54"/>
  <c r="K211" i="54"/>
  <c r="K210" i="54"/>
  <c r="K199" i="54"/>
  <c r="K191" i="54"/>
  <c r="K190" i="54"/>
  <c r="K179" i="54"/>
  <c r="K171" i="54"/>
  <c r="K170" i="54"/>
  <c r="K159" i="54"/>
  <c r="K151" i="54"/>
  <c r="K150" i="54"/>
  <c r="K139" i="54"/>
  <c r="K131" i="54"/>
  <c r="K130" i="54"/>
  <c r="K119" i="54"/>
  <c r="K111" i="54"/>
  <c r="K110" i="54"/>
  <c r="K99" i="54"/>
  <c r="K91" i="54"/>
  <c r="K90" i="54"/>
  <c r="K79" i="54"/>
  <c r="K78" i="54"/>
  <c r="K77" i="54"/>
  <c r="K76" i="54"/>
  <c r="K75" i="54"/>
  <c r="K74" i="54"/>
  <c r="K73" i="54"/>
  <c r="K72" i="54"/>
  <c r="K71" i="54"/>
  <c r="K70" i="54"/>
  <c r="K63" i="54"/>
  <c r="K62" i="54"/>
  <c r="K61" i="54"/>
  <c r="K60" i="54"/>
  <c r="K59" i="54"/>
  <c r="K58" i="54"/>
  <c r="K57" i="54"/>
  <c r="K56" i="54"/>
  <c r="K55" i="54"/>
  <c r="K54" i="54"/>
  <c r="K53" i="54"/>
  <c r="K52" i="54"/>
  <c r="K51" i="54"/>
  <c r="K50" i="54"/>
  <c r="K39" i="54"/>
  <c r="K31" i="54"/>
  <c r="K30" i="54"/>
  <c r="K19" i="54"/>
  <c r="K11" i="54"/>
  <c r="K10" i="54"/>
  <c r="K303" i="54" l="1"/>
  <c r="K289" i="54"/>
  <c r="K288" i="54"/>
  <c r="K287" i="54"/>
  <c r="K286" i="54"/>
  <c r="K285" i="54"/>
  <c r="K284" i="54"/>
  <c r="K269" i="54"/>
  <c r="K268" i="54"/>
  <c r="K267" i="54"/>
  <c r="K266" i="54"/>
  <c r="K265" i="54"/>
  <c r="K264" i="54"/>
  <c r="I283" i="54"/>
  <c r="H283" i="54"/>
  <c r="G283" i="54"/>
  <c r="F283" i="54"/>
  <c r="E283" i="54"/>
  <c r="I282" i="54"/>
  <c r="H282" i="54"/>
  <c r="G282" i="54"/>
  <c r="F282" i="54"/>
  <c r="E282" i="54"/>
  <c r="I281" i="54"/>
  <c r="H281" i="54"/>
  <c r="G281" i="54"/>
  <c r="F281" i="54"/>
  <c r="E281" i="54"/>
  <c r="I280" i="54"/>
  <c r="H280" i="54"/>
  <c r="G280" i="54"/>
  <c r="F280" i="54"/>
  <c r="E280" i="54"/>
  <c r="I278" i="54"/>
  <c r="H278" i="54"/>
  <c r="G278" i="54"/>
  <c r="F278" i="54"/>
  <c r="E278" i="54"/>
  <c r="I277" i="54"/>
  <c r="H277" i="54"/>
  <c r="G277" i="54"/>
  <c r="F277" i="54"/>
  <c r="E277" i="54"/>
  <c r="I276" i="54"/>
  <c r="H276" i="54"/>
  <c r="G276" i="54"/>
  <c r="F276" i="54"/>
  <c r="E276" i="54"/>
  <c r="I275" i="54"/>
  <c r="H275" i="54"/>
  <c r="G275" i="54"/>
  <c r="F275" i="54"/>
  <c r="E275" i="54"/>
  <c r="I274" i="54"/>
  <c r="H274" i="54"/>
  <c r="G274" i="54"/>
  <c r="F274" i="54"/>
  <c r="E274" i="54"/>
  <c r="I273" i="54"/>
  <c r="H273" i="54"/>
  <c r="G273" i="54"/>
  <c r="F273" i="54"/>
  <c r="E273" i="54"/>
  <c r="I272" i="54"/>
  <c r="H272" i="54"/>
  <c r="G272" i="54"/>
  <c r="F272" i="54"/>
  <c r="E272" i="54"/>
  <c r="I269" i="54"/>
  <c r="H269" i="54"/>
  <c r="G269" i="54"/>
  <c r="F269" i="54"/>
  <c r="E269" i="54"/>
  <c r="I268" i="54"/>
  <c r="H268" i="54"/>
  <c r="G268" i="54"/>
  <c r="F268" i="54"/>
  <c r="E268" i="54"/>
  <c r="I267" i="54"/>
  <c r="H267" i="54"/>
  <c r="G267" i="54"/>
  <c r="F267" i="54"/>
  <c r="E267" i="54"/>
  <c r="I266" i="54"/>
  <c r="H266" i="54"/>
  <c r="G266" i="54"/>
  <c r="F266" i="54"/>
  <c r="E266" i="54"/>
  <c r="I265" i="54"/>
  <c r="H265" i="54"/>
  <c r="G265" i="54"/>
  <c r="F265" i="54"/>
  <c r="E265" i="54"/>
  <c r="I264" i="54"/>
  <c r="H264" i="54"/>
  <c r="G264" i="54"/>
  <c r="F264" i="54"/>
  <c r="K144" i="54" l="1"/>
  <c r="K263" i="54"/>
  <c r="K262" i="54"/>
  <c r="K261" i="54"/>
  <c r="K260" i="54"/>
  <c r="K258" i="54"/>
  <c r="K257" i="54"/>
  <c r="K256" i="54"/>
  <c r="K255" i="54"/>
  <c r="K254" i="54"/>
  <c r="K253" i="54"/>
  <c r="K252" i="54"/>
  <c r="K249" i="54"/>
  <c r="K248" i="54"/>
  <c r="K247" i="54"/>
  <c r="K246" i="54"/>
  <c r="K245" i="54"/>
  <c r="K244" i="54"/>
  <c r="K243" i="54"/>
  <c r="K242" i="54"/>
  <c r="K241" i="54"/>
  <c r="K240" i="54"/>
  <c r="K238" i="54"/>
  <c r="K237" i="54"/>
  <c r="K236" i="54"/>
  <c r="K235" i="54"/>
  <c r="K234" i="54"/>
  <c r="K233" i="54"/>
  <c r="K232" i="54"/>
  <c r="K229" i="54"/>
  <c r="K228" i="54"/>
  <c r="K227" i="54"/>
  <c r="K226" i="54"/>
  <c r="K225" i="54"/>
  <c r="K224" i="54"/>
  <c r="K223" i="54"/>
  <c r="K222" i="54"/>
  <c r="K221" i="54"/>
  <c r="K220" i="54"/>
  <c r="K218" i="54"/>
  <c r="K217" i="54"/>
  <c r="K216" i="54"/>
  <c r="K215" i="54"/>
  <c r="K214" i="54"/>
  <c r="K213" i="54"/>
  <c r="K212" i="54"/>
  <c r="K209" i="54"/>
  <c r="K208" i="54"/>
  <c r="K207" i="54"/>
  <c r="K206" i="54"/>
  <c r="K205" i="54"/>
  <c r="K204" i="54"/>
  <c r="K203" i="54"/>
  <c r="K202" i="54"/>
  <c r="K201" i="54"/>
  <c r="K200" i="54"/>
  <c r="K198" i="54"/>
  <c r="K197" i="54"/>
  <c r="K196" i="54"/>
  <c r="K195" i="54"/>
  <c r="K194" i="54"/>
  <c r="K193" i="54"/>
  <c r="K192" i="54"/>
  <c r="K189" i="54"/>
  <c r="K188" i="54"/>
  <c r="K187" i="54"/>
  <c r="K186" i="54"/>
  <c r="K185" i="54"/>
  <c r="K184" i="54"/>
  <c r="K183" i="54"/>
  <c r="K182" i="54"/>
  <c r="K181" i="54"/>
  <c r="K180" i="54"/>
  <c r="K178" i="54"/>
  <c r="K177" i="54"/>
  <c r="K176" i="54"/>
  <c r="K175" i="54"/>
  <c r="K174" i="54"/>
  <c r="K173" i="54"/>
  <c r="K172" i="54"/>
  <c r="K169" i="54"/>
  <c r="K168" i="54"/>
  <c r="K167" i="54"/>
  <c r="K166" i="54"/>
  <c r="K165" i="54"/>
  <c r="K164" i="54"/>
  <c r="K163" i="54"/>
  <c r="K162" i="54"/>
  <c r="K161" i="54"/>
  <c r="K160" i="54"/>
  <c r="K158" i="54"/>
  <c r="K157" i="54"/>
  <c r="K156" i="54"/>
  <c r="K155" i="54"/>
  <c r="K154" i="54"/>
  <c r="K153" i="54"/>
  <c r="K152" i="54"/>
  <c r="K149" i="54"/>
  <c r="K148" i="54"/>
  <c r="K147" i="54"/>
  <c r="K146" i="54"/>
  <c r="K145" i="54"/>
  <c r="K143" i="54"/>
  <c r="K142" i="54"/>
  <c r="K141" i="54"/>
  <c r="K140" i="54"/>
  <c r="K138" i="54"/>
  <c r="K137" i="54"/>
  <c r="K136" i="54"/>
  <c r="K135" i="54"/>
  <c r="K134" i="54"/>
  <c r="K133" i="54"/>
  <c r="K132" i="54"/>
  <c r="K129" i="54"/>
  <c r="K128" i="54"/>
  <c r="K127" i="54"/>
  <c r="K126" i="54"/>
  <c r="K125" i="54"/>
  <c r="K124" i="54"/>
  <c r="K123" i="54"/>
  <c r="K122" i="54"/>
  <c r="K121" i="54"/>
  <c r="K120" i="54"/>
  <c r="K118" i="54"/>
  <c r="K117" i="54"/>
  <c r="K116" i="54"/>
  <c r="K115" i="54"/>
  <c r="K114" i="54"/>
  <c r="K113" i="54"/>
  <c r="K112" i="54"/>
  <c r="K109" i="54"/>
  <c r="K108" i="54"/>
  <c r="K107" i="54"/>
  <c r="K106" i="54"/>
  <c r="K105" i="54"/>
  <c r="K104" i="54"/>
  <c r="K103" i="54"/>
  <c r="K102" i="54"/>
  <c r="K101" i="54"/>
  <c r="K100" i="54"/>
  <c r="K98" i="54"/>
  <c r="K97" i="54"/>
  <c r="K96" i="54"/>
  <c r="K95" i="54"/>
  <c r="K94" i="54"/>
  <c r="K93" i="54"/>
  <c r="K92" i="54"/>
  <c r="K89" i="54"/>
  <c r="K88" i="54"/>
  <c r="K87" i="54"/>
  <c r="K86" i="54"/>
  <c r="K85" i="54"/>
  <c r="K84" i="54"/>
  <c r="K83" i="54"/>
  <c r="K82" i="54"/>
  <c r="K81" i="54"/>
  <c r="K80" i="54"/>
  <c r="K69" i="54"/>
  <c r="K68" i="54"/>
  <c r="K67" i="54"/>
  <c r="K66" i="54"/>
  <c r="K65" i="54"/>
  <c r="K64" i="54"/>
  <c r="K49" i="54"/>
  <c r="K48" i="54"/>
  <c r="K47" i="54"/>
  <c r="K46" i="54"/>
  <c r="K45" i="54"/>
  <c r="K44" i="54"/>
  <c r="K43" i="54"/>
  <c r="K42" i="54"/>
  <c r="K41" i="54"/>
  <c r="K40" i="54"/>
  <c r="K38" i="54"/>
  <c r="K37" i="54"/>
  <c r="K36" i="54"/>
  <c r="K35" i="54"/>
  <c r="K34" i="54"/>
  <c r="K33" i="54"/>
  <c r="K32" i="54"/>
  <c r="K29" i="54"/>
  <c r="K28" i="54"/>
  <c r="K27" i="54"/>
  <c r="K26" i="54"/>
  <c r="K25" i="54"/>
  <c r="K24" i="54"/>
  <c r="K23" i="54"/>
  <c r="K22" i="54"/>
  <c r="K21" i="54"/>
  <c r="K20" i="54"/>
  <c r="K18" i="54"/>
  <c r="K17" i="54"/>
  <c r="K16" i="54"/>
  <c r="K15" i="54"/>
  <c r="K14" i="54"/>
  <c r="K13" i="54"/>
  <c r="K12" i="54"/>
  <c r="K9" i="54"/>
  <c r="K8" i="54"/>
  <c r="K7" i="54"/>
  <c r="K6" i="54"/>
  <c r="K5" i="54"/>
  <c r="K4" i="54"/>
  <c r="D19" i="64" l="1"/>
  <c r="E20" i="64"/>
  <c r="F20" i="64"/>
  <c r="E21" i="64"/>
  <c r="F21" i="64"/>
  <c r="E22" i="64"/>
  <c r="F22" i="64"/>
  <c r="E23" i="64"/>
  <c r="F23" i="64"/>
  <c r="F19" i="64"/>
  <c r="E19" i="64"/>
  <c r="D20" i="64"/>
  <c r="D21" i="64"/>
  <c r="D22" i="64"/>
  <c r="D23" i="64"/>
  <c r="G23" i="64" l="1"/>
  <c r="G21" i="64"/>
  <c r="G20" i="64"/>
  <c r="G22" i="64"/>
  <c r="C94" i="36" l="1"/>
  <c r="C93" i="36"/>
  <c r="C92" i="36"/>
  <c r="C91" i="36"/>
  <c r="C90" i="36"/>
  <c r="B8" i="44" l="1"/>
  <c r="B9" i="44"/>
  <c r="B10" i="44"/>
  <c r="B11" i="44"/>
  <c r="B12" i="44"/>
  <c r="B13" i="44"/>
  <c r="B14" i="44"/>
  <c r="B15" i="44"/>
  <c r="B16" i="44"/>
  <c r="B17" i="44"/>
  <c r="B18" i="44"/>
  <c r="B19" i="44"/>
  <c r="B20" i="44"/>
  <c r="B21" i="44"/>
  <c r="B22" i="44"/>
  <c r="B23" i="44"/>
  <c r="B24" i="44"/>
  <c r="B25" i="44"/>
  <c r="B26" i="44"/>
  <c r="B27" i="44"/>
  <c r="B28" i="44"/>
  <c r="B29" i="44"/>
  <c r="B30" i="44"/>
  <c r="B31" i="44"/>
  <c r="B32" i="44"/>
  <c r="B33" i="44"/>
  <c r="B34" i="44"/>
  <c r="B35" i="44"/>
  <c r="B36" i="44"/>
  <c r="B37" i="44"/>
  <c r="B38" i="44"/>
  <c r="B39" i="44"/>
  <c r="B40" i="44"/>
  <c r="B41" i="44"/>
  <c r="B42" i="44"/>
  <c r="B43" i="44"/>
  <c r="B44" i="44"/>
  <c r="B45" i="44"/>
  <c r="B46" i="44"/>
  <c r="B47" i="44"/>
  <c r="B48" i="44"/>
  <c r="B49" i="44"/>
  <c r="B50" i="44"/>
  <c r="B51" i="44"/>
  <c r="B52" i="44"/>
  <c r="B53" i="44"/>
  <c r="B54" i="44"/>
  <c r="B55" i="44"/>
  <c r="B56" i="44"/>
  <c r="B57" i="44"/>
  <c r="B58" i="44"/>
  <c r="B59" i="44"/>
  <c r="B60" i="44"/>
  <c r="B61" i="44"/>
  <c r="B62" i="44"/>
  <c r="B63" i="44"/>
  <c r="B64" i="44"/>
  <c r="B65" i="44"/>
  <c r="B66" i="44"/>
  <c r="B67" i="44"/>
  <c r="B68" i="44"/>
  <c r="B69" i="44"/>
  <c r="B70" i="44"/>
  <c r="B71" i="44"/>
  <c r="B72" i="44"/>
  <c r="B73" i="44"/>
  <c r="B74" i="44"/>
  <c r="B75" i="44"/>
  <c r="B76" i="44"/>
  <c r="B77" i="44"/>
  <c r="B78" i="44"/>
  <c r="B79" i="44"/>
  <c r="B80" i="44"/>
  <c r="B81" i="44"/>
  <c r="B82" i="44"/>
  <c r="B83" i="44"/>
  <c r="B84" i="44"/>
  <c r="B85" i="44"/>
  <c r="B86" i="44"/>
  <c r="B87" i="44"/>
  <c r="B88" i="44"/>
  <c r="B89" i="44"/>
  <c r="B90" i="44"/>
  <c r="B91" i="44"/>
  <c r="B92" i="44"/>
  <c r="B93" i="44"/>
  <c r="B94" i="44"/>
  <c r="B95" i="44"/>
  <c r="B96" i="44"/>
  <c r="B97" i="44"/>
  <c r="B98" i="44"/>
  <c r="B99" i="44"/>
  <c r="B100" i="44"/>
  <c r="B101" i="44"/>
  <c r="B102" i="44"/>
  <c r="B103" i="44"/>
  <c r="B104" i="44"/>
  <c r="B105" i="44"/>
  <c r="B106" i="44"/>
  <c r="B7" i="44"/>
  <c r="C89" i="36" l="1"/>
  <c r="C88" i="36"/>
  <c r="C87" i="36"/>
  <c r="C86" i="36"/>
  <c r="C85" i="36"/>
  <c r="C84" i="36"/>
  <c r="C83" i="36"/>
  <c r="C82" i="36"/>
  <c r="C81" i="36"/>
  <c r="C80" i="36"/>
  <c r="C79" i="36"/>
  <c r="C78" i="36"/>
  <c r="C77" i="36"/>
  <c r="C76" i="36"/>
  <c r="C75" i="36"/>
  <c r="C74" i="36"/>
  <c r="C73" i="36"/>
  <c r="C72" i="36"/>
  <c r="C71" i="36"/>
  <c r="C70" i="36"/>
  <c r="C69" i="36"/>
  <c r="C68" i="36"/>
  <c r="C67" i="36"/>
  <c r="C66" i="36"/>
  <c r="C65" i="36"/>
  <c r="C64" i="36"/>
  <c r="C63" i="36"/>
  <c r="C62" i="36"/>
  <c r="C61" i="36"/>
  <c r="C60" i="36"/>
  <c r="C59" i="36"/>
  <c r="C58" i="36"/>
  <c r="C57" i="36"/>
  <c r="C56" i="36"/>
  <c r="C55" i="36"/>
  <c r="C54" i="36"/>
  <c r="C53" i="36"/>
  <c r="C52" i="36"/>
  <c r="C51" i="36"/>
  <c r="C50" i="36"/>
  <c r="C49" i="36"/>
  <c r="C48" i="36"/>
  <c r="C47" i="36"/>
  <c r="C46" i="36"/>
  <c r="C45" i="36"/>
  <c r="C44" i="36"/>
  <c r="C43" i="36"/>
  <c r="C42" i="36"/>
  <c r="C41" i="36"/>
  <c r="C40" i="36"/>
  <c r="C39" i="36"/>
  <c r="C38" i="36"/>
  <c r="C37" i="36"/>
  <c r="C36" i="36"/>
  <c r="C35" i="36"/>
  <c r="C34" i="36"/>
  <c r="C33" i="36"/>
  <c r="C32" i="36"/>
  <c r="C31" i="36"/>
  <c r="C30" i="36"/>
  <c r="C29" i="36"/>
  <c r="C28" i="36"/>
  <c r="C27" i="36"/>
  <c r="C26" i="36"/>
  <c r="C25" i="36"/>
  <c r="C24" i="36"/>
  <c r="C23" i="36"/>
  <c r="C22" i="36"/>
  <c r="C21" i="36"/>
  <c r="C20" i="36"/>
  <c r="C19" i="36"/>
  <c r="C18" i="36"/>
  <c r="C17" i="36"/>
  <c r="C16" i="36"/>
  <c r="C15" i="36"/>
  <c r="C14" i="36"/>
  <c r="C13" i="36"/>
  <c r="C12" i="36"/>
  <c r="C11" i="36"/>
  <c r="C10" i="36"/>
  <c r="C9" i="36"/>
  <c r="C8" i="36"/>
  <c r="C7" i="36"/>
  <c r="C6" i="36"/>
  <c r="C5" i="36"/>
  <c r="I149" i="54" l="1"/>
  <c r="E149" i="54"/>
  <c r="F145" i="54"/>
  <c r="G129" i="54"/>
  <c r="H125" i="54"/>
  <c r="I109" i="54"/>
  <c r="E109" i="54"/>
  <c r="F105" i="54"/>
  <c r="G89" i="54"/>
  <c r="H85" i="54"/>
  <c r="I69" i="54"/>
  <c r="E69" i="54"/>
  <c r="F65" i="54"/>
  <c r="G49" i="54"/>
  <c r="H45" i="54"/>
  <c r="I29" i="54"/>
  <c r="E29" i="54"/>
  <c r="F25" i="54"/>
  <c r="F149" i="54"/>
  <c r="H129" i="54"/>
  <c r="F109" i="54"/>
  <c r="E85" i="54"/>
  <c r="H49" i="54"/>
  <c r="F29" i="54"/>
  <c r="H149" i="54"/>
  <c r="I145" i="54"/>
  <c r="E145" i="54"/>
  <c r="F129" i="54"/>
  <c r="G125" i="54"/>
  <c r="H109" i="54"/>
  <c r="I105" i="54"/>
  <c r="E105" i="54"/>
  <c r="F89" i="54"/>
  <c r="G85" i="54"/>
  <c r="H69" i="54"/>
  <c r="I65" i="54"/>
  <c r="E65" i="54"/>
  <c r="F49" i="54"/>
  <c r="G45" i="54"/>
  <c r="H29" i="54"/>
  <c r="I25" i="54"/>
  <c r="E25" i="54"/>
  <c r="G145" i="54"/>
  <c r="I125" i="54"/>
  <c r="G105" i="54"/>
  <c r="I85" i="54"/>
  <c r="G65" i="54"/>
  <c r="E45" i="54"/>
  <c r="G149" i="54"/>
  <c r="H145" i="54"/>
  <c r="I129" i="54"/>
  <c r="E129" i="54"/>
  <c r="F125" i="54"/>
  <c r="G109" i="54"/>
  <c r="H105" i="54"/>
  <c r="I89" i="54"/>
  <c r="E89" i="54"/>
  <c r="F85" i="54"/>
  <c r="G69" i="54"/>
  <c r="H65" i="54"/>
  <c r="I49" i="54"/>
  <c r="E49" i="54"/>
  <c r="F45" i="54"/>
  <c r="G29" i="54"/>
  <c r="H25" i="54"/>
  <c r="E125" i="54"/>
  <c r="H89" i="54"/>
  <c r="F69" i="54"/>
  <c r="I45" i="54"/>
  <c r="G25" i="54"/>
  <c r="Y3" i="44"/>
  <c r="X3" i="44"/>
  <c r="R3" i="44"/>
  <c r="Q3" i="44"/>
  <c r="P3" i="44"/>
  <c r="M3" i="44"/>
  <c r="F211" i="54" l="1"/>
  <c r="H219" i="54"/>
  <c r="I211" i="54"/>
  <c r="E211" i="54"/>
  <c r="F210" i="54"/>
  <c r="G219" i="54"/>
  <c r="H211" i="54"/>
  <c r="I210" i="54"/>
  <c r="E210" i="54"/>
  <c r="E219" i="54"/>
  <c r="G210" i="54"/>
  <c r="F219" i="54"/>
  <c r="G211" i="54"/>
  <c r="H210" i="54"/>
  <c r="I219" i="54"/>
  <c r="E191" i="54"/>
  <c r="G199" i="54"/>
  <c r="H191" i="54"/>
  <c r="I190" i="54"/>
  <c r="E190" i="54"/>
  <c r="F199" i="54"/>
  <c r="G191" i="54"/>
  <c r="H190" i="54"/>
  <c r="I191" i="54"/>
  <c r="F190" i="54"/>
  <c r="I199" i="54"/>
  <c r="E199" i="54"/>
  <c r="F191" i="54"/>
  <c r="G190" i="54"/>
  <c r="H199" i="54"/>
  <c r="H230" i="54"/>
  <c r="I239" i="54"/>
  <c r="E239" i="54"/>
  <c r="F231" i="54"/>
  <c r="G230" i="54"/>
  <c r="H239" i="54"/>
  <c r="I231" i="54"/>
  <c r="E231" i="54"/>
  <c r="F230" i="54"/>
  <c r="G231" i="54"/>
  <c r="G239" i="54"/>
  <c r="H231" i="54"/>
  <c r="I230" i="54"/>
  <c r="E230" i="54"/>
  <c r="F239" i="54"/>
  <c r="H251" i="54"/>
  <c r="F259" i="54"/>
  <c r="G251" i="54"/>
  <c r="H250" i="54"/>
  <c r="I259" i="54"/>
  <c r="E259" i="54"/>
  <c r="F251" i="54"/>
  <c r="G250" i="54"/>
  <c r="G259" i="54"/>
  <c r="I250" i="54"/>
  <c r="E250" i="54"/>
  <c r="H259" i="54"/>
  <c r="I251" i="54"/>
  <c r="E251" i="54"/>
  <c r="F250" i="54"/>
  <c r="F201" i="54"/>
  <c r="E197" i="54"/>
  <c r="I193" i="54"/>
  <c r="H188" i="54"/>
  <c r="G185" i="54"/>
  <c r="I201" i="54"/>
  <c r="H197" i="54"/>
  <c r="G194" i="54"/>
  <c r="F189" i="54"/>
  <c r="E186" i="54"/>
  <c r="G201" i="54"/>
  <c r="E194" i="54"/>
  <c r="H185" i="54"/>
  <c r="F198" i="54"/>
  <c r="I189" i="54"/>
  <c r="I203" i="54"/>
  <c r="G196" i="54"/>
  <c r="E188" i="54"/>
  <c r="F194" i="54"/>
  <c r="F184" i="54"/>
  <c r="I195" i="54"/>
  <c r="H203" i="54"/>
  <c r="G200" i="54"/>
  <c r="F196" i="54"/>
  <c r="E193" i="54"/>
  <c r="I187" i="54"/>
  <c r="H184" i="54"/>
  <c r="E201" i="54"/>
  <c r="I196" i="54"/>
  <c r="H193" i="54"/>
  <c r="G188" i="54"/>
  <c r="F185" i="54"/>
  <c r="I198" i="54"/>
  <c r="G192" i="54"/>
  <c r="E184" i="54"/>
  <c r="H196" i="54"/>
  <c r="F188" i="54"/>
  <c r="F202" i="54"/>
  <c r="I194" i="54"/>
  <c r="G186" i="54"/>
  <c r="I185" i="54"/>
  <c r="G197" i="54"/>
  <c r="G187" i="54"/>
  <c r="I202" i="54"/>
  <c r="H198" i="54"/>
  <c r="G195" i="54"/>
  <c r="F192" i="54"/>
  <c r="E187" i="54"/>
  <c r="G203" i="54"/>
  <c r="F200" i="54"/>
  <c r="E196" i="54"/>
  <c r="I192" i="54"/>
  <c r="H187" i="54"/>
  <c r="G184" i="54"/>
  <c r="F197" i="54"/>
  <c r="I188" i="54"/>
  <c r="G202" i="54"/>
  <c r="E195" i="54"/>
  <c r="H186" i="54"/>
  <c r="H200" i="54"/>
  <c r="F193" i="54"/>
  <c r="I184" i="54"/>
  <c r="E200" i="54"/>
  <c r="E189" i="54"/>
  <c r="E202" i="54"/>
  <c r="I197" i="54"/>
  <c r="H194" i="54"/>
  <c r="G189" i="54"/>
  <c r="F186" i="54"/>
  <c r="H202" i="54"/>
  <c r="G198" i="54"/>
  <c r="F195" i="54"/>
  <c r="E192" i="54"/>
  <c r="I186" i="54"/>
  <c r="E203" i="54"/>
  <c r="H195" i="54"/>
  <c r="F187" i="54"/>
  <c r="I200" i="54"/>
  <c r="G193" i="54"/>
  <c r="E185" i="54"/>
  <c r="E198" i="54"/>
  <c r="H189" i="54"/>
  <c r="H201" i="54"/>
  <c r="H192" i="54"/>
  <c r="F203" i="54"/>
  <c r="I241" i="54"/>
  <c r="H237" i="54"/>
  <c r="G234" i="54"/>
  <c r="F229" i="54"/>
  <c r="E226" i="54"/>
  <c r="G242" i="54"/>
  <c r="F238" i="54"/>
  <c r="E235" i="54"/>
  <c r="I229" i="54"/>
  <c r="H226" i="54"/>
  <c r="I243" i="54"/>
  <c r="H240" i="54"/>
  <c r="G236" i="54"/>
  <c r="F233" i="54"/>
  <c r="E228" i="54"/>
  <c r="I224" i="54"/>
  <c r="H234" i="54"/>
  <c r="E237" i="54"/>
  <c r="H243" i="54"/>
  <c r="I227" i="54"/>
  <c r="I242" i="54"/>
  <c r="E241" i="54"/>
  <c r="I236" i="54"/>
  <c r="H233" i="54"/>
  <c r="G228" i="54"/>
  <c r="F225" i="54"/>
  <c r="H241" i="54"/>
  <c r="G237" i="54"/>
  <c r="F234" i="54"/>
  <c r="E229" i="54"/>
  <c r="I225" i="54"/>
  <c r="E243" i="54"/>
  <c r="I238" i="54"/>
  <c r="H235" i="54"/>
  <c r="G232" i="54"/>
  <c r="F227" i="54"/>
  <c r="E224" i="54"/>
  <c r="G229" i="54"/>
  <c r="I233" i="54"/>
  <c r="G240" i="54"/>
  <c r="H224" i="54"/>
  <c r="E227" i="54"/>
  <c r="G243" i="54"/>
  <c r="F240" i="54"/>
  <c r="E236" i="54"/>
  <c r="I232" i="54"/>
  <c r="H227" i="54"/>
  <c r="G224" i="54"/>
  <c r="I240" i="54"/>
  <c r="H236" i="54"/>
  <c r="G233" i="54"/>
  <c r="F228" i="54"/>
  <c r="E225" i="54"/>
  <c r="F242" i="54"/>
  <c r="E238" i="54"/>
  <c r="I234" i="54"/>
  <c r="H229" i="54"/>
  <c r="G226" i="54"/>
  <c r="E242" i="54"/>
  <c r="F226" i="54"/>
  <c r="H228" i="54"/>
  <c r="F236" i="54"/>
  <c r="G235" i="54"/>
  <c r="H238" i="54"/>
  <c r="H242" i="54"/>
  <c r="G238" i="54"/>
  <c r="F235" i="54"/>
  <c r="E232" i="54"/>
  <c r="I226" i="54"/>
  <c r="F243" i="54"/>
  <c r="E240" i="54"/>
  <c r="I235" i="54"/>
  <c r="H232" i="54"/>
  <c r="G227" i="54"/>
  <c r="F224" i="54"/>
  <c r="G241" i="54"/>
  <c r="F237" i="54"/>
  <c r="E234" i="54"/>
  <c r="I228" i="54"/>
  <c r="G225" i="54"/>
  <c r="H225" i="54"/>
  <c r="E233" i="54"/>
  <c r="I237" i="54"/>
  <c r="F232" i="54"/>
  <c r="F241" i="54"/>
  <c r="G262" i="54"/>
  <c r="F258" i="54"/>
  <c r="E255" i="54"/>
  <c r="I249" i="54"/>
  <c r="H246" i="54"/>
  <c r="I263" i="54"/>
  <c r="H260" i="54"/>
  <c r="G256" i="54"/>
  <c r="F253" i="54"/>
  <c r="E248" i="54"/>
  <c r="I244" i="54"/>
  <c r="E262" i="54"/>
  <c r="I257" i="54"/>
  <c r="H254" i="54"/>
  <c r="G249" i="54"/>
  <c r="F246" i="54"/>
  <c r="I256" i="54"/>
  <c r="G263" i="54"/>
  <c r="H247" i="54"/>
  <c r="F255" i="54"/>
  <c r="I261" i="54"/>
  <c r="H261" i="54"/>
  <c r="G257" i="54"/>
  <c r="F254" i="54"/>
  <c r="E249" i="54"/>
  <c r="I245" i="54"/>
  <c r="E263" i="54"/>
  <c r="I258" i="54"/>
  <c r="H255" i="54"/>
  <c r="G252" i="54"/>
  <c r="F247" i="54"/>
  <c r="E244" i="54"/>
  <c r="F261" i="54"/>
  <c r="E257" i="54"/>
  <c r="I253" i="54"/>
  <c r="H248" i="54"/>
  <c r="G245" i="54"/>
  <c r="H253" i="54"/>
  <c r="F260" i="54"/>
  <c r="G244" i="54"/>
  <c r="E252" i="54"/>
  <c r="E246" i="54"/>
  <c r="I260" i="54"/>
  <c r="H256" i="54"/>
  <c r="G253" i="54"/>
  <c r="F248" i="54"/>
  <c r="E245" i="54"/>
  <c r="F262" i="54"/>
  <c r="E260" i="54"/>
  <c r="F244" i="54"/>
  <c r="I254" i="54"/>
  <c r="G246" i="54"/>
  <c r="G260" i="54"/>
  <c r="E253" i="54"/>
  <c r="H244" i="54"/>
  <c r="E256" i="54"/>
  <c r="I246" i="54"/>
  <c r="E254" i="54"/>
  <c r="H258" i="54"/>
  <c r="E261" i="54"/>
  <c r="F249" i="54"/>
  <c r="H249" i="54"/>
  <c r="F256" i="54"/>
  <c r="H262" i="54"/>
  <c r="I262" i="54"/>
  <c r="G254" i="54"/>
  <c r="I255" i="54"/>
  <c r="G261" i="54"/>
  <c r="H245" i="54"/>
  <c r="F252" i="54"/>
  <c r="I252" i="54"/>
  <c r="G248" i="54"/>
  <c r="F263" i="54"/>
  <c r="I248" i="54"/>
  <c r="E247" i="54"/>
  <c r="F245" i="54"/>
  <c r="H252" i="54"/>
  <c r="E258" i="54"/>
  <c r="H263" i="54"/>
  <c r="I247" i="54"/>
  <c r="H257" i="54"/>
  <c r="G247" i="54"/>
  <c r="F257" i="54"/>
  <c r="G255" i="54"/>
  <c r="G258" i="54"/>
  <c r="H223" i="54"/>
  <c r="G220" i="54"/>
  <c r="F216" i="54"/>
  <c r="G223" i="54"/>
  <c r="F220" i="54"/>
  <c r="E216" i="54"/>
  <c r="I212" i="54"/>
  <c r="H207" i="54"/>
  <c r="G204" i="54"/>
  <c r="I220" i="54"/>
  <c r="H216" i="54"/>
  <c r="G213" i="54"/>
  <c r="F208" i="54"/>
  <c r="E205" i="54"/>
  <c r="H215" i="54"/>
  <c r="F206" i="54"/>
  <c r="I214" i="54"/>
  <c r="H205" i="54"/>
  <c r="E214" i="54"/>
  <c r="G205" i="54"/>
  <c r="G206" i="54"/>
  <c r="I223" i="54"/>
  <c r="I222" i="54"/>
  <c r="H218" i="54"/>
  <c r="G215" i="54"/>
  <c r="H222" i="54"/>
  <c r="G218" i="54"/>
  <c r="F215" i="54"/>
  <c r="E212" i="54"/>
  <c r="I206" i="54"/>
  <c r="F223" i="54"/>
  <c r="E220" i="54"/>
  <c r="I215" i="54"/>
  <c r="H212" i="54"/>
  <c r="G207" i="54"/>
  <c r="F204" i="54"/>
  <c r="E213" i="54"/>
  <c r="H204" i="54"/>
  <c r="G212" i="54"/>
  <c r="E204" i="54"/>
  <c r="F212" i="54"/>
  <c r="H220" i="54"/>
  <c r="F213" i="54"/>
  <c r="E222" i="54"/>
  <c r="I217" i="54"/>
  <c r="H214" i="54"/>
  <c r="I221" i="54"/>
  <c r="H217" i="54"/>
  <c r="G214" i="54"/>
  <c r="F209" i="54"/>
  <c r="E206" i="54"/>
  <c r="G222" i="54"/>
  <c r="F218" i="54"/>
  <c r="E215" i="54"/>
  <c r="I209" i="54"/>
  <c r="H206" i="54"/>
  <c r="E223" i="54"/>
  <c r="G209" i="54"/>
  <c r="F222" i="54"/>
  <c r="I208" i="54"/>
  <c r="G221" i="54"/>
  <c r="H208" i="54"/>
  <c r="E208" i="54"/>
  <c r="I204" i="54"/>
  <c r="F221" i="54"/>
  <c r="E217" i="54"/>
  <c r="I213" i="54"/>
  <c r="E221" i="54"/>
  <c r="I216" i="54"/>
  <c r="H213" i="54"/>
  <c r="G208" i="54"/>
  <c r="F205" i="54"/>
  <c r="H221" i="54"/>
  <c r="G217" i="54"/>
  <c r="F214" i="54"/>
  <c r="E209" i="54"/>
  <c r="I205" i="54"/>
  <c r="I218" i="54"/>
  <c r="I207" i="54"/>
  <c r="E218" i="54"/>
  <c r="F207" i="54"/>
  <c r="F217" i="54"/>
  <c r="E207" i="54"/>
  <c r="G216" i="54"/>
  <c r="H209" i="54"/>
  <c r="E23" i="77" l="1"/>
  <c r="H23" i="77" l="1"/>
  <c r="F181" i="54" l="1"/>
  <c r="I166" i="54"/>
  <c r="H179" i="54"/>
  <c r="G168" i="54"/>
  <c r="H172" i="54"/>
  <c r="F170" i="54"/>
  <c r="F179" i="54"/>
  <c r="G180" i="54"/>
  <c r="E177" i="54"/>
  <c r="H176" i="54"/>
  <c r="E178" i="54"/>
  <c r="E176" i="54"/>
  <c r="G177" i="54"/>
  <c r="I170" i="54"/>
  <c r="E179" i="54"/>
  <c r="E181" i="54"/>
  <c r="I171" i="54"/>
  <c r="H174" i="54"/>
  <c r="G182" i="54"/>
  <c r="E180" i="54"/>
  <c r="H177" i="54"/>
  <c r="F177" i="54"/>
  <c r="E171" i="54"/>
  <c r="F169" i="54"/>
  <c r="E165" i="54"/>
  <c r="I164" i="54"/>
  <c r="I179" i="54"/>
  <c r="E183" i="54"/>
  <c r="H168" i="54"/>
  <c r="G175" i="54"/>
  <c r="F164" i="54"/>
  <c r="I169" i="54"/>
  <c r="H165" i="54"/>
  <c r="I178" i="54"/>
  <c r="I167" i="54"/>
  <c r="I180" i="54"/>
  <c r="F183" i="54"/>
  <c r="E168" i="54"/>
  <c r="G171" i="54"/>
  <c r="H173" i="54"/>
  <c r="I172" i="54"/>
  <c r="F172" i="54"/>
  <c r="I174" i="54"/>
  <c r="G178" i="54"/>
  <c r="I182" i="54"/>
  <c r="H171" i="54"/>
  <c r="F167" i="54"/>
  <c r="E174" i="54"/>
  <c r="H182" i="54"/>
  <c r="F174" i="54"/>
  <c r="H181" i="54"/>
  <c r="E173" i="54"/>
  <c r="F182" i="54"/>
  <c r="H175" i="54"/>
  <c r="G179" i="54"/>
  <c r="G170" i="54"/>
  <c r="F171" i="54"/>
  <c r="H183" i="54"/>
  <c r="F178" i="54"/>
  <c r="F175" i="54"/>
  <c r="E172" i="54"/>
  <c r="E164" i="54"/>
  <c r="I183" i="54"/>
  <c r="F180" i="54"/>
  <c r="G172" i="54"/>
  <c r="F165" i="54"/>
  <c r="I168" i="54"/>
  <c r="H166" i="54"/>
  <c r="E167" i="54"/>
  <c r="I175" i="54"/>
  <c r="H170" i="54"/>
  <c r="I181" i="54"/>
  <c r="H180" i="54"/>
  <c r="I165" i="54"/>
  <c r="G183" i="54"/>
  <c r="G165" i="54"/>
  <c r="G174" i="54"/>
  <c r="H178" i="54"/>
  <c r="G166" i="54"/>
  <c r="E170" i="54"/>
  <c r="G181" i="54"/>
  <c r="H169" i="54"/>
  <c r="F168" i="54"/>
  <c r="G167" i="54"/>
  <c r="G173" i="54"/>
  <c r="I177" i="54"/>
  <c r="G169" i="54"/>
  <c r="G176" i="54"/>
  <c r="I173" i="54"/>
  <c r="F173" i="54"/>
  <c r="I176" i="54"/>
  <c r="E166" i="54"/>
  <c r="E175" i="54"/>
  <c r="F176" i="54"/>
  <c r="H167" i="54"/>
  <c r="E169" i="54"/>
  <c r="E182" i="54"/>
  <c r="F166" i="54"/>
  <c r="G164" i="54"/>
  <c r="F45" i="79" l="1"/>
  <c r="F456" i="54" s="1"/>
  <c r="F44" i="79"/>
  <c r="E456" i="54" s="1"/>
  <c r="F26" i="79"/>
  <c r="G452" i="54" s="1"/>
  <c r="F59" i="79"/>
  <c r="E457" i="54" s="1"/>
  <c r="F43" i="79"/>
  <c r="I455" i="54" s="1"/>
  <c r="F61" i="79"/>
  <c r="G457" i="54" s="1"/>
  <c r="F24" i="79"/>
  <c r="E452" i="54" s="1"/>
  <c r="F63" i="79"/>
  <c r="I457" i="54" s="1"/>
  <c r="F48" i="79"/>
  <c r="I456" i="54" s="1"/>
  <c r="F25" i="79"/>
  <c r="F452" i="54" s="1"/>
  <c r="F13" i="79"/>
  <c r="I446" i="54" s="1"/>
  <c r="F47" i="79"/>
  <c r="H456" i="54" s="1"/>
  <c r="F42" i="79"/>
  <c r="H455" i="54" s="1"/>
  <c r="F28" i="79"/>
  <c r="I452" i="54" s="1"/>
  <c r="F62" i="79"/>
  <c r="H457" i="54" s="1"/>
  <c r="F27" i="79"/>
  <c r="H452" i="54" s="1"/>
  <c r="F46" i="79"/>
  <c r="G456" i="54" s="1"/>
  <c r="F60" i="79"/>
  <c r="F457" i="54" s="1"/>
  <c r="F41" i="79"/>
  <c r="G455" i="54" s="1"/>
  <c r="AH13" i="44" l="1"/>
  <c r="AH20" i="44"/>
  <c r="AH21" i="44" l="1"/>
  <c r="AH11" i="44"/>
  <c r="AH10" i="44"/>
  <c r="AH16" i="44"/>
  <c r="AH9" i="44"/>
  <c r="AH19" i="44"/>
  <c r="AH23" i="44"/>
  <c r="AH17" i="44"/>
  <c r="AH14" i="44"/>
  <c r="AH22" i="44"/>
  <c r="AH18" i="44"/>
  <c r="AH15" i="44"/>
  <c r="D39" i="77" l="1"/>
  <c r="D56" i="77"/>
  <c r="D34" i="77"/>
  <c r="D38" i="77"/>
  <c r="D61" i="77" l="1"/>
  <c r="D60" i="77"/>
  <c r="F49" i="79" l="1"/>
  <c r="E449" i="54" s="1"/>
  <c r="F39" i="79"/>
  <c r="E455" i="54" s="1"/>
  <c r="E444" i="54"/>
  <c r="F74" i="79"/>
  <c r="E461" i="54" s="1"/>
  <c r="F64" i="79"/>
  <c r="E458" i="54" s="1"/>
  <c r="F29" i="79"/>
  <c r="E453" i="54" s="1"/>
  <c r="F84" i="79"/>
  <c r="E463" i="54" s="1"/>
  <c r="F80" i="79"/>
  <c r="F462" i="54" s="1"/>
  <c r="F78" i="79"/>
  <c r="I461" i="54" s="1"/>
  <c r="F15" i="79"/>
  <c r="F447" i="54" s="1"/>
  <c r="F75" i="79"/>
  <c r="F461" i="54" s="1"/>
  <c r="F70" i="79"/>
  <c r="F460" i="54" s="1"/>
  <c r="F66" i="79"/>
  <c r="G458" i="54" s="1"/>
  <c r="F69" i="79"/>
  <c r="E460" i="54" s="1"/>
  <c r="F88" i="79"/>
  <c r="I463" i="54" s="1"/>
  <c r="F32" i="79"/>
  <c r="H453" i="54" s="1"/>
  <c r="F52" i="79"/>
  <c r="H449" i="54" s="1"/>
  <c r="F23" i="79"/>
  <c r="I448" i="54" s="1"/>
  <c r="F65" i="79"/>
  <c r="F458" i="54" s="1"/>
  <c r="F81" i="79"/>
  <c r="G462" i="54" s="1"/>
  <c r="F50" i="79"/>
  <c r="F449" i="54" s="1"/>
  <c r="F7" i="79"/>
  <c r="H444" i="54" s="1"/>
  <c r="F82" i="79"/>
  <c r="H462" i="54" s="1"/>
  <c r="F68" i="79"/>
  <c r="I458" i="54" s="1"/>
  <c r="F19" i="79"/>
  <c r="E448" i="54" s="1"/>
  <c r="F87" i="79"/>
  <c r="H463" i="54" s="1"/>
  <c r="F11" i="79"/>
  <c r="G446" i="54" s="1"/>
  <c r="F73" i="79"/>
  <c r="I460" i="54" s="1"/>
  <c r="F37" i="79"/>
  <c r="H454" i="54" s="1"/>
  <c r="F9" i="79"/>
  <c r="E446" i="54" s="1"/>
  <c r="F34" i="79"/>
  <c r="E454" i="54" s="1"/>
  <c r="F38" i="79"/>
  <c r="I454" i="54" s="1"/>
  <c r="F85" i="79"/>
  <c r="F463" i="54" s="1"/>
  <c r="F33" i="79"/>
  <c r="I453" i="54" s="1"/>
  <c r="F58" i="79"/>
  <c r="I445" i="54" s="1"/>
  <c r="F72" i="79"/>
  <c r="H460" i="54" s="1"/>
  <c r="F36" i="79"/>
  <c r="G454" i="54" s="1"/>
  <c r="F35" i="79"/>
  <c r="F454" i="54" s="1"/>
  <c r="F57" i="79"/>
  <c r="H445" i="54" s="1"/>
  <c r="F83" i="79"/>
  <c r="I462" i="54" s="1"/>
  <c r="F5" i="79"/>
  <c r="F444" i="54" s="1"/>
  <c r="F76" i="79"/>
  <c r="G461" i="54" s="1"/>
  <c r="F31" i="79"/>
  <c r="G453" i="54" s="1"/>
  <c r="F14" i="79"/>
  <c r="E447" i="54" s="1"/>
  <c r="F79" i="79"/>
  <c r="E462" i="54" s="1"/>
  <c r="F54" i="79"/>
  <c r="E445" i="54" s="1"/>
  <c r="F71" i="79"/>
  <c r="G460" i="54" s="1"/>
  <c r="F8" i="79"/>
  <c r="I444" i="54" s="1"/>
  <c r="F55" i="79"/>
  <c r="F445" i="54" s="1"/>
  <c r="F40" i="79"/>
  <c r="F455" i="54" s="1"/>
  <c r="F12" i="79"/>
  <c r="H446" i="54" s="1"/>
  <c r="F17" i="79"/>
  <c r="H447" i="54" s="1"/>
  <c r="F30" i="79"/>
  <c r="F453" i="54" s="1"/>
  <c r="F21" i="79"/>
  <c r="G448" i="54" s="1"/>
  <c r="F6" i="79"/>
  <c r="G444" i="54" s="1"/>
  <c r="F77" i="79"/>
  <c r="H461" i="54" s="1"/>
  <c r="F56" i="79"/>
  <c r="G445" i="54" s="1"/>
  <c r="F67" i="79"/>
  <c r="H458" i="54" s="1"/>
  <c r="F20" i="79"/>
  <c r="F448" i="54" s="1"/>
  <c r="F18" i="79"/>
  <c r="I447" i="54" s="1"/>
  <c r="F16" i="79"/>
  <c r="G447" i="54" s="1"/>
  <c r="F22" i="79"/>
  <c r="H448" i="54" s="1"/>
  <c r="F10" i="79"/>
  <c r="F446" i="54" s="1"/>
  <c r="F86" i="79"/>
  <c r="G463" i="54" s="1"/>
  <c r="F53" i="79"/>
  <c r="I449" i="54" s="1"/>
  <c r="F51" i="79"/>
  <c r="G449" i="54" s="1"/>
  <c r="D37" i="77" l="1"/>
  <c r="D59" i="77"/>
  <c r="D53" i="77"/>
  <c r="D44" i="77"/>
  <c r="D40" i="77"/>
  <c r="D42" i="77"/>
  <c r="D51" i="77"/>
  <c r="D30" i="77"/>
  <c r="D35" i="77"/>
  <c r="D41" i="77" l="1"/>
  <c r="D58" i="77"/>
  <c r="D43" i="77"/>
  <c r="D54" i="77"/>
  <c r="D52" i="77"/>
  <c r="D64" i="77"/>
  <c r="D63" i="77"/>
  <c r="D57" i="77"/>
  <c r="D65" i="77"/>
  <c r="D32" i="77"/>
  <c r="D33" i="77"/>
  <c r="D31" i="77"/>
  <c r="D62" i="77"/>
  <c r="D50" i="77"/>
  <c r="D66" i="77"/>
  <c r="D55" i="77"/>
  <c r="D29" i="77"/>
  <c r="D36" i="77"/>
  <c r="D30" i="64" l="1"/>
  <c r="D67" i="77"/>
  <c r="C23" i="77"/>
  <c r="D45" i="77"/>
  <c r="AH12" i="44" l="1"/>
  <c r="AH24" i="44" l="1"/>
  <c r="H90" i="54" l="1"/>
  <c r="E93" i="36"/>
  <c r="G90" i="54"/>
  <c r="E92" i="36"/>
  <c r="F90" i="54"/>
  <c r="E91" i="36"/>
  <c r="I90" i="54"/>
  <c r="E94" i="36"/>
  <c r="E90" i="54"/>
  <c r="E90" i="36"/>
  <c r="I82" i="54" l="1"/>
  <c r="D84" i="36"/>
  <c r="F81" i="54"/>
  <c r="D76" i="36"/>
  <c r="H79" i="54"/>
  <c r="D68" i="36"/>
  <c r="E78" i="54"/>
  <c r="D60" i="36"/>
  <c r="F77" i="54"/>
  <c r="D56" i="36"/>
  <c r="G83" i="54"/>
  <c r="D87" i="36"/>
  <c r="H82" i="54"/>
  <c r="D83" i="36"/>
  <c r="I81" i="54"/>
  <c r="D79" i="36"/>
  <c r="E81" i="54"/>
  <c r="D75" i="36"/>
  <c r="F80" i="54"/>
  <c r="D71" i="36"/>
  <c r="G79" i="54"/>
  <c r="D67" i="36"/>
  <c r="H78" i="54"/>
  <c r="D63" i="36"/>
  <c r="I77" i="54"/>
  <c r="D59" i="36"/>
  <c r="E77" i="54"/>
  <c r="D55" i="36"/>
  <c r="F83" i="54"/>
  <c r="D86" i="36"/>
  <c r="H81" i="54"/>
  <c r="D78" i="36"/>
  <c r="E80" i="54"/>
  <c r="D70" i="36"/>
  <c r="G78" i="54"/>
  <c r="D62" i="36"/>
  <c r="G82" i="54"/>
  <c r="D82" i="36"/>
  <c r="I80" i="54"/>
  <c r="D74" i="36"/>
  <c r="F79" i="54"/>
  <c r="D66" i="36"/>
  <c r="H77" i="54"/>
  <c r="D58" i="36"/>
  <c r="I83" i="54"/>
  <c r="D89" i="36"/>
  <c r="E83" i="54"/>
  <c r="D85" i="36"/>
  <c r="F82" i="54"/>
  <c r="D81" i="36"/>
  <c r="G81" i="54"/>
  <c r="D77" i="36"/>
  <c r="H80" i="54"/>
  <c r="D73" i="36"/>
  <c r="I79" i="54"/>
  <c r="D69" i="36"/>
  <c r="E79" i="54"/>
  <c r="D65" i="36"/>
  <c r="F78" i="54"/>
  <c r="D61" i="36"/>
  <c r="G77" i="54"/>
  <c r="D57" i="36"/>
  <c r="H83" i="54"/>
  <c r="D88" i="36"/>
  <c r="E82" i="54"/>
  <c r="D80" i="36"/>
  <c r="G80" i="54"/>
  <c r="D72" i="36"/>
  <c r="I78" i="54"/>
  <c r="D64" i="36"/>
  <c r="F87" i="54" l="1"/>
  <c r="E16" i="36"/>
  <c r="F93" i="54"/>
  <c r="E36" i="36"/>
  <c r="H95" i="54"/>
  <c r="E48" i="36"/>
  <c r="H99" i="54"/>
  <c r="E68" i="36"/>
  <c r="I102" i="54"/>
  <c r="E84" i="36"/>
  <c r="H86" i="54"/>
  <c r="E13" i="36"/>
  <c r="G87" i="54"/>
  <c r="E17" i="36"/>
  <c r="F88" i="54"/>
  <c r="E21" i="36"/>
  <c r="E91" i="54"/>
  <c r="E25" i="36"/>
  <c r="I91" i="54"/>
  <c r="E29" i="36"/>
  <c r="H92" i="54"/>
  <c r="E33" i="36"/>
  <c r="G93" i="54"/>
  <c r="E37" i="36"/>
  <c r="F94" i="54"/>
  <c r="E41" i="36"/>
  <c r="E95" i="54"/>
  <c r="E45" i="36"/>
  <c r="I95" i="54"/>
  <c r="E49" i="36"/>
  <c r="H96" i="54"/>
  <c r="E53" i="36"/>
  <c r="G97" i="54"/>
  <c r="E57" i="36"/>
  <c r="D59" i="44" s="1"/>
  <c r="F98" i="54"/>
  <c r="E61" i="36"/>
  <c r="E99" i="54"/>
  <c r="E65" i="36"/>
  <c r="D67" i="44" s="1"/>
  <c r="I99" i="54"/>
  <c r="E69" i="36"/>
  <c r="H100" i="54"/>
  <c r="E73" i="36"/>
  <c r="D75" i="44" s="1"/>
  <c r="G101" i="54"/>
  <c r="E77" i="36"/>
  <c r="F102" i="54"/>
  <c r="E81" i="36"/>
  <c r="D83" i="44" s="1"/>
  <c r="E103" i="54"/>
  <c r="E85" i="36"/>
  <c r="I103" i="54"/>
  <c r="E89" i="36"/>
  <c r="D87" i="44"/>
  <c r="G86" i="54"/>
  <c r="E12" i="36"/>
  <c r="E88" i="54"/>
  <c r="E20" i="36"/>
  <c r="H91" i="54"/>
  <c r="E28" i="36"/>
  <c r="I94" i="54"/>
  <c r="E44" i="36"/>
  <c r="F97" i="54"/>
  <c r="E56" i="36"/>
  <c r="D58" i="44" s="1"/>
  <c r="I98" i="54"/>
  <c r="E64" i="36"/>
  <c r="F101" i="54"/>
  <c r="E76" i="36"/>
  <c r="H103" i="54"/>
  <c r="E88" i="36"/>
  <c r="D79" i="44"/>
  <c r="E86" i="54"/>
  <c r="E10" i="36"/>
  <c r="H87" i="54"/>
  <c r="E18" i="36"/>
  <c r="F91" i="54"/>
  <c r="E26" i="36"/>
  <c r="I92" i="54"/>
  <c r="E34" i="36"/>
  <c r="G94" i="54"/>
  <c r="E42" i="36"/>
  <c r="E96" i="54"/>
  <c r="E50" i="36"/>
  <c r="I96" i="54"/>
  <c r="E54" i="36"/>
  <c r="H97" i="54"/>
  <c r="E58" i="36"/>
  <c r="G98" i="54"/>
  <c r="E62" i="36"/>
  <c r="F99" i="54"/>
  <c r="E66" i="36"/>
  <c r="D68" i="44" s="1"/>
  <c r="E100" i="54"/>
  <c r="E70" i="36"/>
  <c r="I100" i="54"/>
  <c r="E74" i="36"/>
  <c r="D76" i="44" s="1"/>
  <c r="H101" i="54"/>
  <c r="E78" i="36"/>
  <c r="G102" i="54"/>
  <c r="E82" i="36"/>
  <c r="F103" i="54"/>
  <c r="E86" i="36"/>
  <c r="D66" i="44"/>
  <c r="D80" i="44"/>
  <c r="G84" i="54"/>
  <c r="E7" i="36"/>
  <c r="I88" i="54"/>
  <c r="E24" i="36"/>
  <c r="G92" i="54"/>
  <c r="E32" i="36"/>
  <c r="E94" i="54"/>
  <c r="E40" i="36"/>
  <c r="G96" i="54"/>
  <c r="E52" i="36"/>
  <c r="E98" i="54"/>
  <c r="E60" i="36"/>
  <c r="G100" i="54"/>
  <c r="E72" i="36"/>
  <c r="E102" i="54"/>
  <c r="E80" i="36"/>
  <c r="D71" i="44"/>
  <c r="H84" i="54"/>
  <c r="E8" i="36"/>
  <c r="I86" i="54"/>
  <c r="E14" i="36"/>
  <c r="G88" i="54"/>
  <c r="E22" i="36"/>
  <c r="E92" i="54"/>
  <c r="E30" i="36"/>
  <c r="H93" i="54"/>
  <c r="E38" i="36"/>
  <c r="F95" i="54"/>
  <c r="E46" i="36"/>
  <c r="F84" i="54"/>
  <c r="E6" i="36"/>
  <c r="F86" i="54"/>
  <c r="E11" i="36"/>
  <c r="E87" i="54"/>
  <c r="E15" i="36"/>
  <c r="I87" i="54"/>
  <c r="E19" i="36"/>
  <c r="H88" i="54"/>
  <c r="E23" i="36"/>
  <c r="G91" i="54"/>
  <c r="E27" i="36"/>
  <c r="F92" i="54"/>
  <c r="E31" i="36"/>
  <c r="E93" i="54"/>
  <c r="E35" i="36"/>
  <c r="I93" i="54"/>
  <c r="E39" i="36"/>
  <c r="H94" i="54"/>
  <c r="E43" i="36"/>
  <c r="G95" i="54"/>
  <c r="E47" i="36"/>
  <c r="F96" i="54"/>
  <c r="E51" i="36"/>
  <c r="E97" i="54"/>
  <c r="E55" i="36"/>
  <c r="D57" i="44" s="1"/>
  <c r="I97" i="54"/>
  <c r="E59" i="36"/>
  <c r="D61" i="44" s="1"/>
  <c r="H98" i="54"/>
  <c r="E63" i="36"/>
  <c r="D65" i="44" s="1"/>
  <c r="G99" i="54"/>
  <c r="E67" i="36"/>
  <c r="F100" i="54"/>
  <c r="E71" i="36"/>
  <c r="D73" i="44" s="1"/>
  <c r="E101" i="54"/>
  <c r="E75" i="36"/>
  <c r="I101" i="54"/>
  <c r="E79" i="36"/>
  <c r="H102" i="54"/>
  <c r="E83" i="36"/>
  <c r="G103" i="54"/>
  <c r="E87" i="36"/>
  <c r="D89" i="44" s="1"/>
  <c r="D82" i="44"/>
  <c r="D63" i="44"/>
  <c r="D84" i="44"/>
  <c r="D70" i="44"/>
  <c r="D86" i="44"/>
  <c r="D72" i="44"/>
  <c r="D88" i="44"/>
  <c r="E84" i="54" l="1"/>
  <c r="E5" i="36"/>
  <c r="D90" i="44"/>
  <c r="D62" i="44"/>
  <c r="D85" i="44"/>
  <c r="D91" i="44"/>
  <c r="I84" i="54"/>
  <c r="E9" i="36"/>
  <c r="D77" i="44"/>
  <c r="D81" i="44"/>
  <c r="D78" i="44"/>
  <c r="D69" i="44"/>
  <c r="D64" i="44"/>
  <c r="D60" i="44"/>
  <c r="D74" i="44"/>
  <c r="E161" i="54" l="1"/>
  <c r="J78" i="36" l="1"/>
  <c r="H161" i="54"/>
  <c r="J76" i="36"/>
  <c r="F161" i="54"/>
  <c r="J79" i="36"/>
  <c r="I161" i="54"/>
  <c r="J77" i="36"/>
  <c r="G161" i="54"/>
  <c r="J75" i="36"/>
  <c r="E146" i="54"/>
  <c r="E152" i="54"/>
  <c r="E147" i="54"/>
  <c r="E160" i="54"/>
  <c r="E151" i="54"/>
  <c r="E163" i="54"/>
  <c r="E155" i="54"/>
  <c r="E148" i="54"/>
  <c r="E162" i="54"/>
  <c r="E153" i="54"/>
  <c r="E158" i="54"/>
  <c r="E159" i="54"/>
  <c r="E154" i="54"/>
  <c r="E156" i="54"/>
  <c r="E157" i="54"/>
  <c r="J53" i="36" l="1"/>
  <c r="H156" i="54"/>
  <c r="J67" i="36"/>
  <c r="G159" i="54"/>
  <c r="J82" i="36"/>
  <c r="G162" i="54"/>
  <c r="J58" i="36"/>
  <c r="H157" i="54"/>
  <c r="J51" i="36"/>
  <c r="F156" i="54"/>
  <c r="J43" i="36"/>
  <c r="H154" i="54"/>
  <c r="J44" i="36"/>
  <c r="I154" i="54"/>
  <c r="J69" i="36"/>
  <c r="I159" i="54"/>
  <c r="J87" i="36"/>
  <c r="G163" i="54"/>
  <c r="J27" i="36"/>
  <c r="G151" i="54"/>
  <c r="J73" i="36"/>
  <c r="H160" i="54"/>
  <c r="J16" i="36"/>
  <c r="F147" i="54"/>
  <c r="J31" i="36"/>
  <c r="F152" i="54"/>
  <c r="J19" i="36"/>
  <c r="I147" i="54"/>
  <c r="J12" i="36"/>
  <c r="G146" i="54"/>
  <c r="J61" i="36"/>
  <c r="F158" i="54"/>
  <c r="J36" i="36"/>
  <c r="F153" i="54"/>
  <c r="J24" i="36"/>
  <c r="I148" i="54"/>
  <c r="J49" i="36"/>
  <c r="I155" i="54"/>
  <c r="J48" i="36"/>
  <c r="H155" i="54"/>
  <c r="J56" i="36"/>
  <c r="F157" i="54"/>
  <c r="J57" i="36"/>
  <c r="G157" i="54"/>
  <c r="J52" i="36"/>
  <c r="G156" i="54"/>
  <c r="J42" i="36"/>
  <c r="G154" i="54"/>
  <c r="J68" i="36"/>
  <c r="H159" i="54"/>
  <c r="J17" i="36"/>
  <c r="G147" i="54"/>
  <c r="J64" i="36"/>
  <c r="I158" i="54"/>
  <c r="J39" i="36"/>
  <c r="I153" i="54"/>
  <c r="J23" i="36"/>
  <c r="H148" i="54"/>
  <c r="J86" i="36"/>
  <c r="F163" i="54"/>
  <c r="J29" i="36"/>
  <c r="I151" i="54"/>
  <c r="J74" i="36"/>
  <c r="I160" i="54"/>
  <c r="J81" i="36"/>
  <c r="F162" i="54"/>
  <c r="J33" i="36"/>
  <c r="H152" i="54"/>
  <c r="J37" i="36"/>
  <c r="G153" i="54"/>
  <c r="J13" i="36"/>
  <c r="H146" i="54"/>
  <c r="J21" i="36"/>
  <c r="F148" i="54"/>
  <c r="J46" i="36"/>
  <c r="F155" i="54"/>
  <c r="J88" i="36"/>
  <c r="H163" i="54"/>
  <c r="J28" i="36"/>
  <c r="H151" i="54"/>
  <c r="J14" i="36"/>
  <c r="I146" i="54"/>
  <c r="J32" i="36"/>
  <c r="G152" i="54"/>
  <c r="J54" i="36"/>
  <c r="I156" i="54"/>
  <c r="J41" i="36"/>
  <c r="F154" i="54"/>
  <c r="J83" i="36"/>
  <c r="H162" i="54"/>
  <c r="J63" i="36"/>
  <c r="H158" i="54"/>
  <c r="J18" i="36"/>
  <c r="H147" i="54"/>
  <c r="J59" i="36"/>
  <c r="I157" i="54"/>
  <c r="J66" i="36"/>
  <c r="F159" i="54"/>
  <c r="J84" i="36"/>
  <c r="I162" i="54"/>
  <c r="J62" i="36"/>
  <c r="G158" i="54"/>
  <c r="J38" i="36"/>
  <c r="H153" i="54"/>
  <c r="J22" i="36"/>
  <c r="G148" i="54"/>
  <c r="J47" i="36"/>
  <c r="G155" i="54"/>
  <c r="J89" i="36"/>
  <c r="I163" i="54"/>
  <c r="J26" i="36"/>
  <c r="F151" i="54"/>
  <c r="J72" i="36"/>
  <c r="G160" i="54"/>
  <c r="J71" i="36"/>
  <c r="F160" i="54"/>
  <c r="J11" i="36"/>
  <c r="F146" i="54"/>
  <c r="J34" i="36"/>
  <c r="I152" i="54"/>
  <c r="G131" i="54"/>
  <c r="I27" i="36"/>
  <c r="E140" i="54"/>
  <c r="I70" i="36"/>
  <c r="G134" i="54"/>
  <c r="I42" i="36"/>
  <c r="H141" i="54"/>
  <c r="I78" i="36"/>
  <c r="G141" i="54"/>
  <c r="I77" i="36"/>
  <c r="J20" i="36"/>
  <c r="J45" i="36"/>
  <c r="I143" i="54"/>
  <c r="I89" i="36"/>
  <c r="E133" i="54"/>
  <c r="I35" i="36"/>
  <c r="G128" i="54"/>
  <c r="I22" i="36"/>
  <c r="J85" i="36"/>
  <c r="H137" i="54"/>
  <c r="I58" i="36"/>
  <c r="I137" i="54"/>
  <c r="I59" i="36"/>
  <c r="F132" i="54"/>
  <c r="I31" i="36"/>
  <c r="G132" i="54"/>
  <c r="I32" i="36"/>
  <c r="I142" i="54"/>
  <c r="I84" i="36"/>
  <c r="G135" i="54"/>
  <c r="I47" i="36"/>
  <c r="E135" i="54"/>
  <c r="I45" i="36"/>
  <c r="H138" i="54"/>
  <c r="I63" i="36"/>
  <c r="I138" i="54"/>
  <c r="I64" i="36"/>
  <c r="J55" i="36"/>
  <c r="J50" i="36"/>
  <c r="F131" i="54"/>
  <c r="I26" i="36"/>
  <c r="H140" i="54"/>
  <c r="I73" i="36"/>
  <c r="I127" i="54"/>
  <c r="I19" i="36"/>
  <c r="G127" i="54"/>
  <c r="I17" i="36"/>
  <c r="F134" i="54"/>
  <c r="I41" i="36"/>
  <c r="E141" i="54"/>
  <c r="I75" i="36"/>
  <c r="J60" i="36"/>
  <c r="E139" i="54"/>
  <c r="I65" i="36"/>
  <c r="F139" i="54"/>
  <c r="I66" i="36"/>
  <c r="J80" i="36"/>
  <c r="F143" i="54"/>
  <c r="I86" i="36"/>
  <c r="I133" i="54"/>
  <c r="I39" i="36"/>
  <c r="F128" i="54"/>
  <c r="I21" i="36"/>
  <c r="J25" i="36"/>
  <c r="E137" i="54"/>
  <c r="I55" i="36"/>
  <c r="J70" i="36"/>
  <c r="F126" i="54"/>
  <c r="I11" i="36"/>
  <c r="G126" i="54"/>
  <c r="I12" i="36"/>
  <c r="E132" i="54"/>
  <c r="I30" i="36"/>
  <c r="H136" i="54"/>
  <c r="I53" i="36"/>
  <c r="E136" i="54"/>
  <c r="I50" i="36"/>
  <c r="J30" i="36"/>
  <c r="G142" i="54"/>
  <c r="I82" i="36"/>
  <c r="H135" i="54"/>
  <c r="I48" i="36"/>
  <c r="I135" i="54"/>
  <c r="I49" i="36"/>
  <c r="E131" i="54"/>
  <c r="I25" i="36"/>
  <c r="H131" i="54"/>
  <c r="I28" i="36"/>
  <c r="J40" i="36"/>
  <c r="G140" i="54"/>
  <c r="I72" i="36"/>
  <c r="F127" i="54"/>
  <c r="I16" i="36"/>
  <c r="H134" i="54"/>
  <c r="I43" i="36"/>
  <c r="J65" i="36"/>
  <c r="F141" i="54"/>
  <c r="I76" i="36"/>
  <c r="I141" i="54"/>
  <c r="I79" i="36"/>
  <c r="I139" i="54"/>
  <c r="I69" i="36"/>
  <c r="G139" i="54"/>
  <c r="I67" i="36"/>
  <c r="H143" i="54"/>
  <c r="I88" i="36"/>
  <c r="F133" i="54"/>
  <c r="I36" i="36"/>
  <c r="I128" i="54"/>
  <c r="I24" i="36"/>
  <c r="G137" i="54"/>
  <c r="I57" i="36"/>
  <c r="H126" i="54"/>
  <c r="I13" i="36"/>
  <c r="I126" i="54"/>
  <c r="I14" i="36"/>
  <c r="I132" i="54"/>
  <c r="I34" i="36"/>
  <c r="G136" i="54"/>
  <c r="I52" i="36"/>
  <c r="I136" i="54"/>
  <c r="I54" i="36"/>
  <c r="F142" i="54"/>
  <c r="I81" i="36"/>
  <c r="H142" i="54"/>
  <c r="I83" i="36"/>
  <c r="F135" i="54"/>
  <c r="I46" i="36"/>
  <c r="E138" i="54"/>
  <c r="I60" i="36"/>
  <c r="G138" i="54"/>
  <c r="I62" i="36"/>
  <c r="J10" i="36"/>
  <c r="I131" i="54"/>
  <c r="I29" i="36"/>
  <c r="I140" i="54"/>
  <c r="I74" i="36"/>
  <c r="F140" i="54"/>
  <c r="I71" i="36"/>
  <c r="H127" i="54"/>
  <c r="I18" i="36"/>
  <c r="E127" i="54"/>
  <c r="I15" i="36"/>
  <c r="I134" i="54"/>
  <c r="I44" i="36"/>
  <c r="E134" i="54"/>
  <c r="I40" i="36"/>
  <c r="J35" i="36"/>
  <c r="H139" i="54"/>
  <c r="I68" i="36"/>
  <c r="G143" i="54"/>
  <c r="I87" i="36"/>
  <c r="E143" i="54"/>
  <c r="I85" i="36"/>
  <c r="G133" i="54"/>
  <c r="I37" i="36"/>
  <c r="H133" i="54"/>
  <c r="I38" i="36"/>
  <c r="H128" i="54"/>
  <c r="I23" i="36"/>
  <c r="E128" i="54"/>
  <c r="I20" i="36"/>
  <c r="F137" i="54"/>
  <c r="I56" i="36"/>
  <c r="E126" i="54"/>
  <c r="I10" i="36"/>
  <c r="H132" i="54"/>
  <c r="I33" i="36"/>
  <c r="F136" i="54"/>
  <c r="I51" i="36"/>
  <c r="J15" i="36"/>
  <c r="E142" i="54"/>
  <c r="I80" i="36"/>
  <c r="F138" i="54"/>
  <c r="I61" i="36"/>
  <c r="E144" i="54"/>
  <c r="J9" i="36" l="1"/>
  <c r="I144" i="54"/>
  <c r="J5" i="36"/>
  <c r="J6" i="36" l="1"/>
  <c r="F144" i="54"/>
  <c r="J7" i="36"/>
  <c r="G144" i="54"/>
  <c r="J8" i="36"/>
  <c r="H144" i="54"/>
  <c r="F124" i="54"/>
  <c r="I6" i="36"/>
  <c r="G124" i="54"/>
  <c r="I7" i="36"/>
  <c r="H124" i="54"/>
  <c r="I8" i="36"/>
  <c r="E124" i="54"/>
  <c r="I5" i="36"/>
  <c r="I124" i="54"/>
  <c r="I9" i="36"/>
  <c r="E38" i="54" l="1"/>
  <c r="F60" i="36"/>
  <c r="L62" i="44"/>
  <c r="F36" i="54"/>
  <c r="F51" i="36"/>
  <c r="I24" i="54"/>
  <c r="F9" i="36"/>
  <c r="E26" i="54"/>
  <c r="F10" i="36"/>
  <c r="H41" i="54"/>
  <c r="F78" i="36"/>
  <c r="L80" i="44"/>
  <c r="E42" i="54"/>
  <c r="F80" i="36"/>
  <c r="L82" i="44"/>
  <c r="G37" i="54"/>
  <c r="F57" i="36"/>
  <c r="L59" i="44"/>
  <c r="I42" i="54"/>
  <c r="F84" i="36"/>
  <c r="L86" i="44"/>
  <c r="I28" i="54"/>
  <c r="F24" i="36"/>
  <c r="H27" i="54"/>
  <c r="F18" i="36"/>
  <c r="I38" i="54"/>
  <c r="F64" i="36"/>
  <c r="L66" i="44"/>
  <c r="E41" i="54"/>
  <c r="F75" i="36"/>
  <c r="L77" i="44"/>
  <c r="F33" i="54"/>
  <c r="F36" i="36"/>
  <c r="F56" i="54"/>
  <c r="G51" i="36"/>
  <c r="F32" i="54"/>
  <c r="F31" i="36"/>
  <c r="H32" i="54"/>
  <c r="F33" i="36"/>
  <c r="I43" i="54"/>
  <c r="F89" i="36"/>
  <c r="L91" i="44"/>
  <c r="I57" i="54"/>
  <c r="G59" i="36"/>
  <c r="F37" i="54"/>
  <c r="F56" i="36"/>
  <c r="L58" i="44"/>
  <c r="E27" i="54"/>
  <c r="F15" i="36"/>
  <c r="G38" i="54"/>
  <c r="F62" i="36"/>
  <c r="L64" i="44"/>
  <c r="I56" i="54"/>
  <c r="G54" i="36"/>
  <c r="H52" i="54"/>
  <c r="G33" i="36"/>
  <c r="E40" i="54"/>
  <c r="F70" i="36"/>
  <c r="L72" i="44"/>
  <c r="G36" i="54"/>
  <c r="F52" i="36"/>
  <c r="G40" i="54"/>
  <c r="F72" i="36"/>
  <c r="L74" i="44"/>
  <c r="F24" i="54"/>
  <c r="F6" i="36"/>
  <c r="G32" i="54"/>
  <c r="F32" i="36"/>
  <c r="G41" i="54"/>
  <c r="F77" i="36"/>
  <c r="L79" i="44"/>
  <c r="I41" i="54"/>
  <c r="F79" i="36"/>
  <c r="L81" i="44"/>
  <c r="F42" i="54"/>
  <c r="F81" i="36"/>
  <c r="L83" i="44"/>
  <c r="H37" i="54"/>
  <c r="F58" i="36"/>
  <c r="L60" i="44"/>
  <c r="H28" i="54"/>
  <c r="F23" i="36"/>
  <c r="E43" i="54"/>
  <c r="F85" i="36"/>
  <c r="L87" i="44"/>
  <c r="F28" i="54"/>
  <c r="F21" i="36"/>
  <c r="I27" i="54"/>
  <c r="F19" i="36"/>
  <c r="G34" i="54"/>
  <c r="F42" i="36"/>
  <c r="E33" i="54"/>
  <c r="F35" i="36"/>
  <c r="E32" i="54"/>
  <c r="F30" i="36"/>
  <c r="G43" i="54"/>
  <c r="F87" i="36"/>
  <c r="L89" i="44"/>
  <c r="F43" i="54"/>
  <c r="F86" i="36"/>
  <c r="L88" i="44"/>
  <c r="H34" i="54"/>
  <c r="F43" i="36"/>
  <c r="H26" i="54"/>
  <c r="F13" i="36"/>
  <c r="H57" i="54"/>
  <c r="G58" i="36"/>
  <c r="G56" i="54"/>
  <c r="G52" i="36"/>
  <c r="E24" i="54"/>
  <c r="F5" i="36"/>
  <c r="H24" i="54"/>
  <c r="F8" i="36"/>
  <c r="E57" i="54"/>
  <c r="G55" i="36"/>
  <c r="E52" i="54"/>
  <c r="G30" i="36"/>
  <c r="H42" i="54"/>
  <c r="F83" i="36"/>
  <c r="L85" i="44"/>
  <c r="E56" i="54"/>
  <c r="G50" i="36"/>
  <c r="H40" i="54"/>
  <c r="F73" i="36"/>
  <c r="L75" i="44"/>
  <c r="G28" i="54"/>
  <c r="F22" i="36"/>
  <c r="G33" i="54"/>
  <c r="F37" i="36"/>
  <c r="H36" i="54"/>
  <c r="F53" i="36"/>
  <c r="G52" i="54"/>
  <c r="G32" i="36"/>
  <c r="E28" i="54"/>
  <c r="F20" i="36"/>
  <c r="F26" i="54"/>
  <c r="F11" i="36"/>
  <c r="G27" i="54"/>
  <c r="F17" i="36"/>
  <c r="F41" i="54"/>
  <c r="F76" i="36"/>
  <c r="L78" i="44"/>
  <c r="G55" i="54"/>
  <c r="G47" i="36"/>
  <c r="H56" i="54"/>
  <c r="G53" i="36"/>
  <c r="E37" i="54"/>
  <c r="F55" i="36"/>
  <c r="L57" i="44"/>
  <c r="F40" i="54"/>
  <c r="F71" i="36"/>
  <c r="L73" i="44"/>
  <c r="H33" i="54"/>
  <c r="F38" i="36"/>
  <c r="I32" i="54"/>
  <c r="F34" i="36"/>
  <c r="E35" i="54"/>
  <c r="F45" i="36"/>
  <c r="E36" i="54"/>
  <c r="F50" i="36"/>
  <c r="F38" i="54"/>
  <c r="F61" i="36"/>
  <c r="L63" i="44"/>
  <c r="I46" i="54"/>
  <c r="G14" i="36"/>
  <c r="I37" i="54"/>
  <c r="F59" i="36"/>
  <c r="L61" i="44"/>
  <c r="F57" i="54"/>
  <c r="G56" i="36"/>
  <c r="I52" i="54"/>
  <c r="G34" i="36"/>
  <c r="H43" i="54"/>
  <c r="F88" i="36"/>
  <c r="L90" i="44"/>
  <c r="I36" i="54"/>
  <c r="F54" i="36"/>
  <c r="I26" i="54"/>
  <c r="F14" i="36"/>
  <c r="H35" i="54"/>
  <c r="F48" i="36"/>
  <c r="H55" i="54"/>
  <c r="G48" i="36"/>
  <c r="I35" i="54"/>
  <c r="F49" i="36"/>
  <c r="G42" i="54"/>
  <c r="F82" i="36"/>
  <c r="L84" i="44"/>
  <c r="H38" i="54"/>
  <c r="F63" i="36"/>
  <c r="L65" i="44"/>
  <c r="G24" i="54"/>
  <c r="F7" i="36"/>
  <c r="G57" i="54"/>
  <c r="G57" i="36"/>
  <c r="I40" i="54"/>
  <c r="F74" i="36"/>
  <c r="L76" i="44"/>
  <c r="I55" i="54"/>
  <c r="G49" i="36"/>
  <c r="F34" i="54"/>
  <c r="F41" i="36"/>
  <c r="G35" i="54"/>
  <c r="F47" i="36"/>
  <c r="F27" i="54"/>
  <c r="F16" i="36"/>
  <c r="I33" i="54"/>
  <c r="F39" i="36"/>
  <c r="F35" i="54"/>
  <c r="F46" i="36"/>
  <c r="G26" i="54"/>
  <c r="F12" i="36"/>
  <c r="E34" i="54"/>
  <c r="F40" i="36"/>
  <c r="I34" i="54"/>
  <c r="F44" i="36"/>
  <c r="F52" i="54"/>
  <c r="G31" i="36"/>
  <c r="F62" i="54" l="1"/>
  <c r="G81" i="36"/>
  <c r="I54" i="54"/>
  <c r="G44" i="36"/>
  <c r="E31" i="54"/>
  <c r="F25" i="36"/>
  <c r="F55" i="54"/>
  <c r="G46" i="36"/>
  <c r="J48" i="44" s="1"/>
  <c r="R48" i="44" s="1"/>
  <c r="G63" i="54"/>
  <c r="G87" i="36"/>
  <c r="F47" i="54"/>
  <c r="G16" i="36"/>
  <c r="I62" i="54"/>
  <c r="G84" i="36"/>
  <c r="G39" i="54"/>
  <c r="F67" i="36"/>
  <c r="L69" i="44"/>
  <c r="H39" i="54"/>
  <c r="F68" i="36"/>
  <c r="L70" i="44"/>
  <c r="I61" i="54"/>
  <c r="G79" i="36"/>
  <c r="G53" i="54"/>
  <c r="G37" i="36"/>
  <c r="H63" i="54"/>
  <c r="G88" i="36"/>
  <c r="F60" i="54"/>
  <c r="G71" i="36"/>
  <c r="F46" i="54"/>
  <c r="G11" i="36"/>
  <c r="G46" i="54"/>
  <c r="G12" i="36"/>
  <c r="G61" i="54"/>
  <c r="G77" i="36"/>
  <c r="H48" i="54"/>
  <c r="G23" i="36"/>
  <c r="E65" i="44"/>
  <c r="M65" i="44" s="1"/>
  <c r="T65" i="44" s="1"/>
  <c r="E90" i="44"/>
  <c r="M90" i="44" s="1"/>
  <c r="T90" i="44" s="1"/>
  <c r="G58" i="44"/>
  <c r="O58" i="44" s="1"/>
  <c r="E63" i="44"/>
  <c r="M63" i="44" s="1"/>
  <c r="T63" i="44" s="1"/>
  <c r="J36" i="44"/>
  <c r="R36" i="44" s="1"/>
  <c r="E78" i="44"/>
  <c r="M78" i="44" s="1"/>
  <c r="T78" i="44" s="1"/>
  <c r="E85" i="44"/>
  <c r="M85" i="44" s="1"/>
  <c r="T85" i="44" s="1"/>
  <c r="G60" i="44"/>
  <c r="O60" i="44" s="1"/>
  <c r="E79" i="44"/>
  <c r="M79" i="44" s="1"/>
  <c r="T79" i="44" s="1"/>
  <c r="E64" i="44"/>
  <c r="M64" i="44" s="1"/>
  <c r="T64" i="44" s="1"/>
  <c r="G61" i="44"/>
  <c r="O61" i="44" s="1"/>
  <c r="E59" i="44"/>
  <c r="M59" i="44" s="1"/>
  <c r="T59" i="44" s="1"/>
  <c r="J59" i="44"/>
  <c r="R59" i="44" s="1"/>
  <c r="E82" i="44"/>
  <c r="M82" i="44" s="1"/>
  <c r="T82" i="44" s="1"/>
  <c r="I58" i="54"/>
  <c r="G64" i="36"/>
  <c r="F31" i="54"/>
  <c r="F26" i="36"/>
  <c r="E58" i="54"/>
  <c r="G60" i="36"/>
  <c r="I48" i="54"/>
  <c r="G24" i="36"/>
  <c r="H46" i="54"/>
  <c r="G13" i="36"/>
  <c r="G48" i="54"/>
  <c r="G22" i="36"/>
  <c r="G62" i="54"/>
  <c r="G82" i="36"/>
  <c r="E39" i="54"/>
  <c r="F65" i="36"/>
  <c r="L67" i="44"/>
  <c r="E53" i="54"/>
  <c r="G35" i="36"/>
  <c r="F63" i="54"/>
  <c r="G86" i="36"/>
  <c r="E62" i="54"/>
  <c r="G80" i="36"/>
  <c r="E54" i="54"/>
  <c r="G40" i="36"/>
  <c r="E48" i="54"/>
  <c r="G20" i="36"/>
  <c r="I60" i="54"/>
  <c r="G74" i="36"/>
  <c r="G47" i="54"/>
  <c r="G17" i="36"/>
  <c r="E76" i="44"/>
  <c r="M76" i="44" s="1"/>
  <c r="T76" i="44" s="1"/>
  <c r="J51" i="44"/>
  <c r="R51" i="44" s="1"/>
  <c r="J50" i="44"/>
  <c r="R50" i="44" s="1"/>
  <c r="J56" i="44"/>
  <c r="R56" i="44" s="1"/>
  <c r="G16" i="44"/>
  <c r="O16" i="44" s="1"/>
  <c r="E73" i="44"/>
  <c r="M73" i="44" s="1"/>
  <c r="T73" i="44" s="1"/>
  <c r="J57" i="44"/>
  <c r="R57" i="44" s="1"/>
  <c r="E57" i="44"/>
  <c r="M57" i="44" s="1"/>
  <c r="T57" i="44" s="1"/>
  <c r="G49" i="44"/>
  <c r="O49" i="44" s="1"/>
  <c r="G34" i="44"/>
  <c r="O34" i="44" s="1"/>
  <c r="G52" i="44"/>
  <c r="O52" i="44" s="1"/>
  <c r="J32" i="44"/>
  <c r="R32" i="44" s="1"/>
  <c r="E81" i="44"/>
  <c r="M81" i="44" s="1"/>
  <c r="T81" i="44" s="1"/>
  <c r="J54" i="44"/>
  <c r="R54" i="44" s="1"/>
  <c r="E72" i="44"/>
  <c r="M72" i="44" s="1"/>
  <c r="T72" i="44" s="1"/>
  <c r="G56" i="44"/>
  <c r="O56" i="44" s="1"/>
  <c r="J35" i="44"/>
  <c r="R35" i="44" s="1"/>
  <c r="G53" i="44"/>
  <c r="O53" i="44" s="1"/>
  <c r="E86" i="44"/>
  <c r="M86" i="44" s="1"/>
  <c r="T86" i="44" s="1"/>
  <c r="H47" i="54"/>
  <c r="G18" i="36"/>
  <c r="G58" i="54"/>
  <c r="G62" i="36"/>
  <c r="G31" i="54"/>
  <c r="F27" i="36"/>
  <c r="E47" i="54"/>
  <c r="G15" i="36"/>
  <c r="H53" i="54"/>
  <c r="G38" i="36"/>
  <c r="I63" i="54"/>
  <c r="G89" i="36"/>
  <c r="H60" i="54"/>
  <c r="G73" i="36"/>
  <c r="I39" i="54"/>
  <c r="F69" i="36"/>
  <c r="L71" i="44"/>
  <c r="E61" i="54"/>
  <c r="G75" i="36"/>
  <c r="F53" i="54"/>
  <c r="G36" i="36"/>
  <c r="H54" i="54"/>
  <c r="G43" i="36"/>
  <c r="F61" i="54"/>
  <c r="G76" i="36"/>
  <c r="G54" i="54"/>
  <c r="G42" i="36"/>
  <c r="I53" i="54"/>
  <c r="G39" i="36"/>
  <c r="E60" i="54"/>
  <c r="G70" i="36"/>
  <c r="J49" i="44"/>
  <c r="R49" i="44" s="1"/>
  <c r="G51" i="44"/>
  <c r="O51" i="44" s="1"/>
  <c r="G36" i="44"/>
  <c r="O36" i="44" s="1"/>
  <c r="E75" i="44"/>
  <c r="M75" i="44" s="1"/>
  <c r="T75" i="44" s="1"/>
  <c r="G57" i="44"/>
  <c r="O57" i="44" s="1"/>
  <c r="G54" i="44"/>
  <c r="O54" i="44" s="1"/>
  <c r="E89" i="44"/>
  <c r="M89" i="44" s="1"/>
  <c r="T89" i="44" s="1"/>
  <c r="E87" i="44"/>
  <c r="M87" i="44" s="1"/>
  <c r="T87" i="44" s="1"/>
  <c r="E83" i="44"/>
  <c r="M83" i="44" s="1"/>
  <c r="T83" i="44" s="1"/>
  <c r="J34" i="44"/>
  <c r="R34" i="44" s="1"/>
  <c r="E58" i="44"/>
  <c r="M58" i="44" s="1"/>
  <c r="T58" i="44" s="1"/>
  <c r="J58" i="44"/>
  <c r="R58" i="44" s="1"/>
  <c r="E66" i="44"/>
  <c r="M66" i="44" s="1"/>
  <c r="T66" i="44" s="1"/>
  <c r="J53" i="44"/>
  <c r="R53" i="44" s="1"/>
  <c r="E62" i="44"/>
  <c r="M62" i="44" s="1"/>
  <c r="T62" i="44" s="1"/>
  <c r="E55" i="54"/>
  <c r="G45" i="36"/>
  <c r="F48" i="54"/>
  <c r="G21" i="36"/>
  <c r="E63" i="54"/>
  <c r="G85" i="36"/>
  <c r="H31" i="54"/>
  <c r="F28" i="36"/>
  <c r="I31" i="54"/>
  <c r="F29" i="36"/>
  <c r="F54" i="54"/>
  <c r="G41" i="36"/>
  <c r="G60" i="54"/>
  <c r="G72" i="36"/>
  <c r="H58" i="54"/>
  <c r="G63" i="36"/>
  <c r="H62" i="54"/>
  <c r="G83" i="36"/>
  <c r="F39" i="54"/>
  <c r="F66" i="36"/>
  <c r="L68" i="44"/>
  <c r="H61" i="54"/>
  <c r="G78" i="36"/>
  <c r="E46" i="54"/>
  <c r="G10" i="36"/>
  <c r="F58" i="54"/>
  <c r="G61" i="36"/>
  <c r="I47" i="54"/>
  <c r="G19" i="36"/>
  <c r="G33" i="44"/>
  <c r="O33" i="44" s="1"/>
  <c r="G59" i="44"/>
  <c r="O59" i="44" s="1"/>
  <c r="E84" i="44"/>
  <c r="M84" i="44" s="1"/>
  <c r="T84" i="44" s="1"/>
  <c r="G50" i="44"/>
  <c r="O50" i="44" s="1"/>
  <c r="J16" i="44"/>
  <c r="R16" i="44" s="1"/>
  <c r="J61" i="44"/>
  <c r="R61" i="44" s="1"/>
  <c r="E61" i="44"/>
  <c r="M61" i="44" s="1"/>
  <c r="T61" i="44" s="1"/>
  <c r="J52" i="44"/>
  <c r="R52" i="44" s="1"/>
  <c r="G55" i="44"/>
  <c r="O55" i="44" s="1"/>
  <c r="J55" i="44"/>
  <c r="R55" i="44" s="1"/>
  <c r="G32" i="44"/>
  <c r="O32" i="44" s="1"/>
  <c r="E88" i="44"/>
  <c r="M88" i="44" s="1"/>
  <c r="T88" i="44" s="1"/>
  <c r="J60" i="44"/>
  <c r="R60" i="44" s="1"/>
  <c r="E60" i="44"/>
  <c r="M60" i="44" s="1"/>
  <c r="T60" i="44" s="1"/>
  <c r="E74" i="44"/>
  <c r="M74" i="44" s="1"/>
  <c r="T74" i="44" s="1"/>
  <c r="G35" i="44"/>
  <c r="O35" i="44" s="1"/>
  <c r="E91" i="44"/>
  <c r="M91" i="44" s="1"/>
  <c r="T91" i="44" s="1"/>
  <c r="J33" i="44"/>
  <c r="R33" i="44" s="1"/>
  <c r="E77" i="44"/>
  <c r="M77" i="44" s="1"/>
  <c r="T77" i="44" s="1"/>
  <c r="E80" i="44"/>
  <c r="M80" i="44" s="1"/>
  <c r="T80" i="44" s="1"/>
  <c r="E59" i="54" l="1"/>
  <c r="G65" i="36"/>
  <c r="F51" i="54"/>
  <c r="G26" i="36"/>
  <c r="J21" i="44"/>
  <c r="R21" i="44" s="1"/>
  <c r="G21" i="44"/>
  <c r="O21" i="44" s="1"/>
  <c r="G85" i="44"/>
  <c r="O85" i="44" s="1"/>
  <c r="J74" i="44"/>
  <c r="R74" i="44" s="1"/>
  <c r="G74" i="44"/>
  <c r="O74" i="44" s="1"/>
  <c r="J41" i="44"/>
  <c r="R41" i="44" s="1"/>
  <c r="G41" i="44"/>
  <c r="O41" i="44" s="1"/>
  <c r="J78" i="44"/>
  <c r="R78" i="44" s="1"/>
  <c r="G78" i="44"/>
  <c r="O78" i="44" s="1"/>
  <c r="J38" i="44"/>
  <c r="R38" i="44" s="1"/>
  <c r="G38" i="44"/>
  <c r="O38" i="44" s="1"/>
  <c r="J75" i="44"/>
  <c r="R75" i="44" s="1"/>
  <c r="G75" i="44"/>
  <c r="O75" i="44" s="1"/>
  <c r="J40" i="44"/>
  <c r="R40" i="44" s="1"/>
  <c r="G40" i="44"/>
  <c r="O40" i="44" s="1"/>
  <c r="J76" i="44"/>
  <c r="R76" i="44" s="1"/>
  <c r="G76" i="44"/>
  <c r="O76" i="44" s="1"/>
  <c r="J84" i="44"/>
  <c r="R84" i="44" s="1"/>
  <c r="G84" i="44"/>
  <c r="O84" i="44" s="1"/>
  <c r="J15" i="44"/>
  <c r="R15" i="44" s="1"/>
  <c r="G15" i="44"/>
  <c r="O15" i="44" s="1"/>
  <c r="E70" i="44"/>
  <c r="M70" i="44" s="1"/>
  <c r="T70" i="44" s="1"/>
  <c r="J46" i="44"/>
  <c r="R46" i="44" s="1"/>
  <c r="G46" i="44"/>
  <c r="O46" i="44" s="1"/>
  <c r="H51" i="54"/>
  <c r="G28" i="36"/>
  <c r="I59" i="54"/>
  <c r="G69" i="36"/>
  <c r="G51" i="54"/>
  <c r="G27" i="36"/>
  <c r="J12" i="44"/>
  <c r="R12" i="44" s="1"/>
  <c r="G12" i="44"/>
  <c r="O12" i="44" s="1"/>
  <c r="J87" i="44"/>
  <c r="R87" i="44" s="1"/>
  <c r="G87" i="44"/>
  <c r="O87" i="44" s="1"/>
  <c r="J20" i="44"/>
  <c r="R20" i="44" s="1"/>
  <c r="G20" i="44"/>
  <c r="O20" i="44" s="1"/>
  <c r="J82" i="44"/>
  <c r="R82" i="44" s="1"/>
  <c r="G82" i="44"/>
  <c r="O82" i="44" s="1"/>
  <c r="J62" i="44"/>
  <c r="R62" i="44" s="1"/>
  <c r="G62" i="44"/>
  <c r="O62" i="44" s="1"/>
  <c r="J66" i="44"/>
  <c r="R66" i="44" s="1"/>
  <c r="G66" i="44"/>
  <c r="O66" i="44" s="1"/>
  <c r="J85" i="44"/>
  <c r="R85" i="44" s="1"/>
  <c r="J79" i="44"/>
  <c r="R79" i="44" s="1"/>
  <c r="G79" i="44"/>
  <c r="O79" i="44" s="1"/>
  <c r="J13" i="44"/>
  <c r="R13" i="44" s="1"/>
  <c r="G13" i="44"/>
  <c r="O13" i="44" s="1"/>
  <c r="J90" i="44"/>
  <c r="R90" i="44" s="1"/>
  <c r="G90" i="44"/>
  <c r="O90" i="44" s="1"/>
  <c r="J81" i="44"/>
  <c r="R81" i="44" s="1"/>
  <c r="G81" i="44"/>
  <c r="O81" i="44" s="1"/>
  <c r="J86" i="44"/>
  <c r="R86" i="44" s="1"/>
  <c r="G86" i="44"/>
  <c r="O86" i="44" s="1"/>
  <c r="J89" i="44"/>
  <c r="R89" i="44" s="1"/>
  <c r="G89" i="44"/>
  <c r="O89" i="44" s="1"/>
  <c r="G59" i="54"/>
  <c r="G67" i="36"/>
  <c r="H59" i="54"/>
  <c r="G68" i="36"/>
  <c r="I51" i="54"/>
  <c r="G29" i="36"/>
  <c r="J63" i="44"/>
  <c r="R63" i="44" s="1"/>
  <c r="G63" i="44"/>
  <c r="O63" i="44" s="1"/>
  <c r="E68" i="44"/>
  <c r="M68" i="44" s="1"/>
  <c r="T68" i="44" s="1"/>
  <c r="J65" i="44"/>
  <c r="R65" i="44" s="1"/>
  <c r="G65" i="44"/>
  <c r="O65" i="44" s="1"/>
  <c r="J43" i="44"/>
  <c r="R43" i="44" s="1"/>
  <c r="G43" i="44"/>
  <c r="O43" i="44" s="1"/>
  <c r="J47" i="44"/>
  <c r="R47" i="44" s="1"/>
  <c r="G47" i="44"/>
  <c r="O47" i="44" s="1"/>
  <c r="J72" i="44"/>
  <c r="R72" i="44" s="1"/>
  <c r="G72" i="44"/>
  <c r="O72" i="44" s="1"/>
  <c r="J44" i="44"/>
  <c r="R44" i="44" s="1"/>
  <c r="G44" i="44"/>
  <c r="O44" i="44" s="1"/>
  <c r="J45" i="44"/>
  <c r="R45" i="44" s="1"/>
  <c r="G45" i="44"/>
  <c r="O45" i="44" s="1"/>
  <c r="E71" i="44"/>
  <c r="M71" i="44" s="1"/>
  <c r="T71" i="44" s="1"/>
  <c r="J91" i="44"/>
  <c r="R91" i="44" s="1"/>
  <c r="G91" i="44"/>
  <c r="O91" i="44" s="1"/>
  <c r="J19" i="44"/>
  <c r="R19" i="44" s="1"/>
  <c r="G19" i="44"/>
  <c r="O19" i="44" s="1"/>
  <c r="J42" i="44"/>
  <c r="R42" i="44" s="1"/>
  <c r="G42" i="44"/>
  <c r="O42" i="44" s="1"/>
  <c r="J37" i="44"/>
  <c r="R37" i="44" s="1"/>
  <c r="G37" i="44"/>
  <c r="O37" i="44" s="1"/>
  <c r="E67" i="44"/>
  <c r="M67" i="44" s="1"/>
  <c r="T67" i="44" s="1"/>
  <c r="J24" i="44"/>
  <c r="R24" i="44" s="1"/>
  <c r="G24" i="44"/>
  <c r="O24" i="44" s="1"/>
  <c r="J26" i="44"/>
  <c r="R26" i="44" s="1"/>
  <c r="G26" i="44"/>
  <c r="O26" i="44" s="1"/>
  <c r="J83" i="44"/>
  <c r="R83" i="44" s="1"/>
  <c r="G83" i="44"/>
  <c r="O83" i="44" s="1"/>
  <c r="F59" i="54"/>
  <c r="G66" i="36"/>
  <c r="E51" i="54"/>
  <c r="G25" i="36"/>
  <c r="J80" i="44"/>
  <c r="R80" i="44" s="1"/>
  <c r="G80" i="44"/>
  <c r="O80" i="44" s="1"/>
  <c r="J23" i="44"/>
  <c r="R23" i="44" s="1"/>
  <c r="G23" i="44"/>
  <c r="O23" i="44" s="1"/>
  <c r="J77" i="44"/>
  <c r="R77" i="44" s="1"/>
  <c r="G77" i="44"/>
  <c r="O77" i="44" s="1"/>
  <c r="J17" i="44"/>
  <c r="R17" i="44" s="1"/>
  <c r="G17" i="44"/>
  <c r="O17" i="44" s="1"/>
  <c r="J64" i="44"/>
  <c r="R64" i="44" s="1"/>
  <c r="G64" i="44"/>
  <c r="O64" i="44" s="1"/>
  <c r="J22" i="44"/>
  <c r="R22" i="44" s="1"/>
  <c r="G22" i="44"/>
  <c r="O22" i="44" s="1"/>
  <c r="J88" i="44"/>
  <c r="R88" i="44" s="1"/>
  <c r="G88" i="44"/>
  <c r="O88" i="44" s="1"/>
  <c r="J25" i="44"/>
  <c r="R25" i="44" s="1"/>
  <c r="G25" i="44"/>
  <c r="O25" i="44" s="1"/>
  <c r="J14" i="44"/>
  <c r="R14" i="44" s="1"/>
  <c r="G14" i="44"/>
  <c r="O14" i="44" s="1"/>
  <c r="J73" i="44"/>
  <c r="R73" i="44" s="1"/>
  <c r="G73" i="44"/>
  <c r="O73" i="44" s="1"/>
  <c r="J39" i="44"/>
  <c r="R39" i="44" s="1"/>
  <c r="G39" i="44"/>
  <c r="O39" i="44" s="1"/>
  <c r="E69" i="44"/>
  <c r="M69" i="44" s="1"/>
  <c r="T69" i="44" s="1"/>
  <c r="J18" i="44"/>
  <c r="R18" i="44" s="1"/>
  <c r="G18" i="44"/>
  <c r="O18" i="44" s="1"/>
  <c r="G48" i="44"/>
  <c r="O48" i="44" s="1"/>
  <c r="E150" i="54"/>
  <c r="J92" i="36" l="1"/>
  <c r="G150" i="54"/>
  <c r="J94" i="36"/>
  <c r="I150" i="54"/>
  <c r="J91" i="36"/>
  <c r="F150" i="54"/>
  <c r="J93" i="36"/>
  <c r="H150" i="54"/>
  <c r="H130" i="54"/>
  <c r="I93" i="36"/>
  <c r="H44" i="54"/>
  <c r="G8" i="36"/>
  <c r="J68" i="44"/>
  <c r="R68" i="44" s="1"/>
  <c r="G68" i="44"/>
  <c r="O68" i="44" s="1"/>
  <c r="J31" i="44"/>
  <c r="R31" i="44" s="1"/>
  <c r="G31" i="44"/>
  <c r="O31" i="44" s="1"/>
  <c r="J69" i="44"/>
  <c r="R69" i="44" s="1"/>
  <c r="G69" i="44"/>
  <c r="O69" i="44" s="1"/>
  <c r="J28" i="44"/>
  <c r="R28" i="44" s="1"/>
  <c r="G28" i="44"/>
  <c r="O28" i="44" s="1"/>
  <c r="J90" i="36"/>
  <c r="I130" i="54"/>
  <c r="I94" i="36"/>
  <c r="G44" i="54"/>
  <c r="G7" i="36"/>
  <c r="F130" i="54"/>
  <c r="I91" i="36"/>
  <c r="J29" i="44"/>
  <c r="R29" i="44" s="1"/>
  <c r="G29" i="44"/>
  <c r="O29" i="44" s="1"/>
  <c r="J30" i="44"/>
  <c r="R30" i="44" s="1"/>
  <c r="G30" i="44"/>
  <c r="O30" i="44" s="1"/>
  <c r="I44" i="54"/>
  <c r="G9" i="36"/>
  <c r="E44" i="54"/>
  <c r="G5" i="36"/>
  <c r="J27" i="44"/>
  <c r="R27" i="44" s="1"/>
  <c r="G27" i="44"/>
  <c r="O27" i="44" s="1"/>
  <c r="J70" i="44"/>
  <c r="R70" i="44" s="1"/>
  <c r="R95" i="44" s="1"/>
  <c r="G70" i="44"/>
  <c r="O70" i="44" s="1"/>
  <c r="F44" i="54"/>
  <c r="G6" i="36"/>
  <c r="G130" i="54"/>
  <c r="I92" i="36"/>
  <c r="E130" i="54"/>
  <c r="I90" i="36"/>
  <c r="J71" i="44"/>
  <c r="R71" i="44" s="1"/>
  <c r="G71" i="44"/>
  <c r="O71" i="44" s="1"/>
  <c r="J67" i="44"/>
  <c r="R67" i="44" s="1"/>
  <c r="G67" i="44"/>
  <c r="O67" i="44" s="1"/>
  <c r="R94" i="44" l="1"/>
  <c r="O94" i="44"/>
  <c r="O93" i="44"/>
  <c r="E72" i="54"/>
  <c r="D30" i="36"/>
  <c r="E75" i="54"/>
  <c r="D45" i="36"/>
  <c r="E73" i="54"/>
  <c r="D35" i="36"/>
  <c r="E74" i="54"/>
  <c r="D40" i="36"/>
  <c r="E67" i="54"/>
  <c r="D15" i="36"/>
  <c r="G8" i="44"/>
  <c r="O8" i="44" s="1"/>
  <c r="J8" i="44"/>
  <c r="R8" i="44" s="1"/>
  <c r="R92" i="44"/>
  <c r="J10" i="44"/>
  <c r="R10" i="44" s="1"/>
  <c r="G10" i="44"/>
  <c r="O10" i="44" s="1"/>
  <c r="J11" i="44"/>
  <c r="R11" i="44" s="1"/>
  <c r="G11" i="44"/>
  <c r="O11" i="44" s="1"/>
  <c r="O95" i="44"/>
  <c r="J9" i="44"/>
  <c r="R9" i="44" s="1"/>
  <c r="G9" i="44"/>
  <c r="O9" i="44" s="1"/>
  <c r="E68" i="54"/>
  <c r="D20" i="36"/>
  <c r="E66" i="54"/>
  <c r="D10" i="36"/>
  <c r="E76" i="54"/>
  <c r="D50" i="36"/>
  <c r="R93" i="44"/>
  <c r="O96" i="44"/>
  <c r="E71" i="54"/>
  <c r="D25" i="36"/>
  <c r="E64" i="54"/>
  <c r="D5" i="36"/>
  <c r="O92" i="44"/>
  <c r="G7" i="44"/>
  <c r="O7" i="44" s="1"/>
  <c r="J7" i="44"/>
  <c r="R7" i="44" s="1"/>
  <c r="R96" i="44"/>
  <c r="F76" i="54" l="1"/>
  <c r="D51" i="36"/>
  <c r="F73" i="54"/>
  <c r="D36" i="36"/>
  <c r="D7" i="44"/>
  <c r="L7" i="44" s="1"/>
  <c r="E7" i="44"/>
  <c r="M7" i="44" s="1"/>
  <c r="F68" i="54"/>
  <c r="D21" i="36"/>
  <c r="D52" i="44"/>
  <c r="L52" i="44" s="1"/>
  <c r="E52" i="44"/>
  <c r="M52" i="44" s="1"/>
  <c r="D37" i="44"/>
  <c r="L37" i="44" s="1"/>
  <c r="E37" i="44"/>
  <c r="M37" i="44" s="1"/>
  <c r="F66" i="54"/>
  <c r="D11" i="36"/>
  <c r="E42" i="44"/>
  <c r="M42" i="44" s="1"/>
  <c r="D42" i="44"/>
  <c r="L42" i="44" s="1"/>
  <c r="F75" i="54"/>
  <c r="D46" i="36"/>
  <c r="F64" i="54"/>
  <c r="D6" i="36"/>
  <c r="F74" i="54"/>
  <c r="D41" i="36"/>
  <c r="F71" i="54"/>
  <c r="D26" i="36"/>
  <c r="D27" i="44"/>
  <c r="L27" i="44" s="1"/>
  <c r="E27" i="44"/>
  <c r="M27" i="44" s="1"/>
  <c r="M92" i="44" s="1"/>
  <c r="E22" i="44"/>
  <c r="M22" i="44" s="1"/>
  <c r="D22" i="44"/>
  <c r="L22" i="44" s="1"/>
  <c r="D17" i="44"/>
  <c r="L17" i="44" s="1"/>
  <c r="E17" i="44"/>
  <c r="M17" i="44" s="1"/>
  <c r="D32" i="44"/>
  <c r="L32" i="44" s="1"/>
  <c r="E32" i="44"/>
  <c r="M32" i="44" s="1"/>
  <c r="F67" i="54"/>
  <c r="D16" i="36"/>
  <c r="F72" i="54"/>
  <c r="D31" i="36"/>
  <c r="D12" i="44"/>
  <c r="L12" i="44" s="1"/>
  <c r="E12" i="44"/>
  <c r="M12" i="44" s="1"/>
  <c r="D47" i="44"/>
  <c r="L47" i="44" s="1"/>
  <c r="E47" i="44"/>
  <c r="M47" i="44" s="1"/>
  <c r="T52" i="44" l="1"/>
  <c r="T7" i="44"/>
  <c r="T47" i="44"/>
  <c r="T32" i="44"/>
  <c r="T37" i="44"/>
  <c r="T22" i="44"/>
  <c r="T42" i="44"/>
  <c r="G73" i="54"/>
  <c r="D37" i="36"/>
  <c r="L92" i="44"/>
  <c r="T92" i="44" s="1"/>
  <c r="T27" i="44"/>
  <c r="E43" i="44"/>
  <c r="M43" i="44" s="1"/>
  <c r="D43" i="44"/>
  <c r="L43" i="44" s="1"/>
  <c r="D48" i="44"/>
  <c r="L48" i="44" s="1"/>
  <c r="E48" i="44"/>
  <c r="M48" i="44" s="1"/>
  <c r="G64" i="54"/>
  <c r="D7" i="36"/>
  <c r="G75" i="54"/>
  <c r="D47" i="36"/>
  <c r="G74" i="54"/>
  <c r="D42" i="36"/>
  <c r="G66" i="54"/>
  <c r="D12" i="36"/>
  <c r="T12" i="44"/>
  <c r="D18" i="44"/>
  <c r="L18" i="44" s="1"/>
  <c r="E18" i="44"/>
  <c r="M18" i="44" s="1"/>
  <c r="E13" i="44"/>
  <c r="M13" i="44" s="1"/>
  <c r="D13" i="44"/>
  <c r="L13" i="44" s="1"/>
  <c r="E53" i="44"/>
  <c r="M53" i="44" s="1"/>
  <c r="D53" i="44"/>
  <c r="L53" i="44" s="1"/>
  <c r="G76" i="54"/>
  <c r="D52" i="36"/>
  <c r="D28" i="44"/>
  <c r="L28" i="44" s="1"/>
  <c r="E28" i="44"/>
  <c r="M28" i="44" s="1"/>
  <c r="M93" i="44" s="1"/>
  <c r="D8" i="44"/>
  <c r="L8" i="44" s="1"/>
  <c r="E8" i="44"/>
  <c r="M8" i="44" s="1"/>
  <c r="G68" i="54"/>
  <c r="D22" i="36"/>
  <c r="G67" i="54"/>
  <c r="D17" i="36"/>
  <c r="G72" i="54"/>
  <c r="D32" i="36"/>
  <c r="G71" i="54"/>
  <c r="D27" i="36"/>
  <c r="E33" i="44"/>
  <c r="M33" i="44" s="1"/>
  <c r="D33" i="44"/>
  <c r="L33" i="44" s="1"/>
  <c r="T17" i="44"/>
  <c r="D23" i="44"/>
  <c r="L23" i="44" s="1"/>
  <c r="E23" i="44"/>
  <c r="M23" i="44" s="1"/>
  <c r="D38" i="44"/>
  <c r="L38" i="44" s="1"/>
  <c r="E38" i="44"/>
  <c r="M38" i="44" s="1"/>
  <c r="T53" i="44" l="1"/>
  <c r="T13" i="44"/>
  <c r="I72" i="54"/>
  <c r="D34" i="36"/>
  <c r="H68" i="54"/>
  <c r="D23" i="36"/>
  <c r="I67" i="54"/>
  <c r="D19" i="36"/>
  <c r="E29" i="44"/>
  <c r="M29" i="44" s="1"/>
  <c r="M94" i="44" s="1"/>
  <c r="D29" i="44"/>
  <c r="L29" i="44" s="1"/>
  <c r="D19" i="44"/>
  <c r="L19" i="44" s="1"/>
  <c r="E19" i="44"/>
  <c r="M19" i="44" s="1"/>
  <c r="I76" i="54"/>
  <c r="D54" i="36"/>
  <c r="H72" i="54"/>
  <c r="D33" i="36"/>
  <c r="H73" i="54"/>
  <c r="D38" i="36"/>
  <c r="I68" i="54"/>
  <c r="D24" i="36"/>
  <c r="H67" i="54"/>
  <c r="D18" i="36"/>
  <c r="T38" i="44"/>
  <c r="T33" i="44"/>
  <c r="L93" i="44"/>
  <c r="T93" i="44" s="1"/>
  <c r="T28" i="44"/>
  <c r="T18" i="44"/>
  <c r="D44" i="44"/>
  <c r="L44" i="44" s="1"/>
  <c r="E44" i="44"/>
  <c r="M44" i="44" s="1"/>
  <c r="D9" i="44"/>
  <c r="L9" i="44" s="1"/>
  <c r="E9" i="44"/>
  <c r="M9" i="44" s="1"/>
  <c r="T43" i="44"/>
  <c r="E39" i="44"/>
  <c r="M39" i="44" s="1"/>
  <c r="D39" i="44"/>
  <c r="L39" i="44" s="1"/>
  <c r="I66" i="54"/>
  <c r="D14" i="36"/>
  <c r="H64" i="54"/>
  <c r="D8" i="36"/>
  <c r="H74" i="54"/>
  <c r="D43" i="36"/>
  <c r="E34" i="44"/>
  <c r="M34" i="44" s="1"/>
  <c r="D34" i="44"/>
  <c r="L34" i="44" s="1"/>
  <c r="H76" i="54"/>
  <c r="D53" i="36"/>
  <c r="I75" i="54"/>
  <c r="D49" i="36"/>
  <c r="H71" i="54"/>
  <c r="D28" i="36"/>
  <c r="H66" i="54"/>
  <c r="D13" i="36"/>
  <c r="H75" i="54"/>
  <c r="D48" i="36"/>
  <c r="I64" i="54"/>
  <c r="D9" i="36"/>
  <c r="I71" i="54"/>
  <c r="D29" i="36"/>
  <c r="I74" i="54"/>
  <c r="D44" i="36"/>
  <c r="T23" i="44"/>
  <c r="E24" i="44"/>
  <c r="M24" i="44" s="1"/>
  <c r="D24" i="44"/>
  <c r="L24" i="44" s="1"/>
  <c r="T8" i="44"/>
  <c r="D54" i="44"/>
  <c r="L54" i="44" s="1"/>
  <c r="E54" i="44"/>
  <c r="M54" i="44" s="1"/>
  <c r="D14" i="44"/>
  <c r="L14" i="44" s="1"/>
  <c r="E14" i="44"/>
  <c r="M14" i="44" s="1"/>
  <c r="D49" i="44"/>
  <c r="L49" i="44" s="1"/>
  <c r="E49" i="44"/>
  <c r="M49" i="44" s="1"/>
  <c r="I73" i="54"/>
  <c r="D39" i="36"/>
  <c r="T48" i="44"/>
  <c r="T97" i="44"/>
  <c r="T102" i="44"/>
  <c r="T34" i="44" l="1"/>
  <c r="T14" i="44"/>
  <c r="T19" i="44"/>
  <c r="T54" i="44"/>
  <c r="T24" i="44"/>
  <c r="D10" i="44"/>
  <c r="L10" i="44" s="1"/>
  <c r="E10" i="44"/>
  <c r="M10" i="44" s="1"/>
  <c r="T39" i="44"/>
  <c r="T9" i="44"/>
  <c r="E20" i="44"/>
  <c r="M20" i="44" s="1"/>
  <c r="D20" i="44"/>
  <c r="L20" i="44" s="1"/>
  <c r="D40" i="44"/>
  <c r="L40" i="44" s="1"/>
  <c r="E40" i="44"/>
  <c r="M40" i="44" s="1"/>
  <c r="E56" i="44"/>
  <c r="M56" i="44" s="1"/>
  <c r="D56" i="44"/>
  <c r="L56" i="44" s="1"/>
  <c r="L94" i="44"/>
  <c r="T94" i="44" s="1"/>
  <c r="T29" i="44"/>
  <c r="D25" i="44"/>
  <c r="L25" i="44" s="1"/>
  <c r="E25" i="44"/>
  <c r="M25" i="44" s="1"/>
  <c r="E31" i="44"/>
  <c r="M31" i="44" s="1"/>
  <c r="M96" i="44" s="1"/>
  <c r="D31" i="44"/>
  <c r="L31" i="44" s="1"/>
  <c r="E30" i="44"/>
  <c r="M30" i="44" s="1"/>
  <c r="M95" i="44" s="1"/>
  <c r="D30" i="44"/>
  <c r="L30" i="44" s="1"/>
  <c r="E55" i="44"/>
  <c r="M55" i="44" s="1"/>
  <c r="D55" i="44"/>
  <c r="L55" i="44" s="1"/>
  <c r="D41" i="44"/>
  <c r="L41" i="44" s="1"/>
  <c r="E41" i="44"/>
  <c r="M41" i="44" s="1"/>
  <c r="T49" i="44"/>
  <c r="D46" i="44"/>
  <c r="L46" i="44" s="1"/>
  <c r="E46" i="44"/>
  <c r="M46" i="44" s="1"/>
  <c r="D11" i="44"/>
  <c r="L11" i="44" s="1"/>
  <c r="E11" i="44"/>
  <c r="M11" i="44" s="1"/>
  <c r="E15" i="44"/>
  <c r="M15" i="44" s="1"/>
  <c r="D15" i="44"/>
  <c r="L15" i="44" s="1"/>
  <c r="D51" i="44"/>
  <c r="L51" i="44" s="1"/>
  <c r="E51" i="44"/>
  <c r="M51" i="44" s="1"/>
  <c r="T103" i="44"/>
  <c r="T98" i="44"/>
  <c r="D45" i="44"/>
  <c r="L45" i="44" s="1"/>
  <c r="E45" i="44"/>
  <c r="M45" i="44" s="1"/>
  <c r="E16" i="44"/>
  <c r="M16" i="44" s="1"/>
  <c r="D16" i="44"/>
  <c r="L16" i="44" s="1"/>
  <c r="T44" i="44"/>
  <c r="D26" i="44"/>
  <c r="L26" i="44" s="1"/>
  <c r="E26" i="44"/>
  <c r="M26" i="44" s="1"/>
  <c r="D35" i="44"/>
  <c r="L35" i="44" s="1"/>
  <c r="E35" i="44"/>
  <c r="M35" i="44" s="1"/>
  <c r="E21" i="44"/>
  <c r="M21" i="44" s="1"/>
  <c r="D21" i="44"/>
  <c r="L21" i="44" s="1"/>
  <c r="D36" i="44"/>
  <c r="L36" i="44" s="1"/>
  <c r="E36" i="44"/>
  <c r="M36" i="44" s="1"/>
  <c r="D50" i="44"/>
  <c r="L50" i="44" s="1"/>
  <c r="E50" i="44"/>
  <c r="M50" i="44" s="1"/>
  <c r="T46" i="44" l="1"/>
  <c r="T25" i="44"/>
  <c r="T55" i="44"/>
  <c r="T36" i="44"/>
  <c r="T35" i="44"/>
  <c r="T21" i="44"/>
  <c r="T51" i="44"/>
  <c r="T11" i="44"/>
  <c r="T50" i="44"/>
  <c r="T45" i="44"/>
  <c r="T15" i="44"/>
  <c r="T41" i="44"/>
  <c r="T56" i="44"/>
  <c r="T20" i="44"/>
  <c r="T16" i="44"/>
  <c r="T31" i="44"/>
  <c r="L96" i="44"/>
  <c r="T96" i="44" s="1"/>
  <c r="T10" i="44"/>
  <c r="T26" i="44"/>
  <c r="L95" i="44"/>
  <c r="T95" i="44" s="1"/>
  <c r="T30" i="44"/>
  <c r="T99" i="44"/>
  <c r="T104" i="44"/>
  <c r="T40" i="44"/>
  <c r="T100" i="44" l="1"/>
  <c r="T105" i="44"/>
  <c r="T106" i="44"/>
  <c r="T101" i="44"/>
  <c r="E70" i="54" l="1"/>
  <c r="D90" i="36"/>
  <c r="F70" i="54" l="1"/>
  <c r="D91" i="36"/>
  <c r="D92" i="44"/>
  <c r="G70" i="54" l="1"/>
  <c r="D92" i="36"/>
  <c r="D93" i="44"/>
  <c r="H70" i="54" l="1"/>
  <c r="D93" i="36"/>
  <c r="D94" i="44"/>
  <c r="I70" i="54" l="1"/>
  <c r="D94" i="36"/>
  <c r="D95" i="44"/>
  <c r="D96" i="44" l="1"/>
  <c r="I117" i="54" l="1"/>
  <c r="H59" i="36"/>
  <c r="E117" i="54"/>
  <c r="H55" i="36"/>
  <c r="H114" i="54"/>
  <c r="H43" i="36"/>
  <c r="F122" i="54"/>
  <c r="H81" i="36"/>
  <c r="F115" i="54"/>
  <c r="H46" i="36"/>
  <c r="G116" i="54"/>
  <c r="H52" i="36"/>
  <c r="E116" i="54"/>
  <c r="H50" i="36"/>
  <c r="H117" i="54"/>
  <c r="H58" i="36"/>
  <c r="F114" i="54"/>
  <c r="H41" i="36"/>
  <c r="E114" i="54"/>
  <c r="H40" i="36"/>
  <c r="G122" i="54"/>
  <c r="H82" i="36"/>
  <c r="E115" i="54"/>
  <c r="H45" i="36"/>
  <c r="G117" i="54"/>
  <c r="H57" i="36"/>
  <c r="F117" i="54"/>
  <c r="H56" i="36"/>
  <c r="H122" i="54"/>
  <c r="H83" i="36"/>
  <c r="E122" i="54"/>
  <c r="H80" i="36"/>
  <c r="I115" i="54"/>
  <c r="H49" i="36"/>
  <c r="G115" i="54"/>
  <c r="H47" i="36"/>
  <c r="H116" i="54"/>
  <c r="H53" i="36"/>
  <c r="I116" i="54"/>
  <c r="H54" i="36"/>
  <c r="F116" i="54"/>
  <c r="H51" i="36"/>
  <c r="G114" i="54"/>
  <c r="H42" i="36"/>
  <c r="I114" i="54"/>
  <c r="H44" i="36"/>
  <c r="I122" i="54"/>
  <c r="H84" i="36"/>
  <c r="H115" i="54"/>
  <c r="H48" i="36"/>
  <c r="G108" i="54" l="1"/>
  <c r="H22" i="36"/>
  <c r="E119" i="54"/>
  <c r="H65" i="36"/>
  <c r="H120" i="54"/>
  <c r="H73" i="36"/>
  <c r="E108" i="54"/>
  <c r="H20" i="36"/>
  <c r="E112" i="54"/>
  <c r="H30" i="36"/>
  <c r="G119" i="54"/>
  <c r="H67" i="36"/>
  <c r="G107" i="54"/>
  <c r="H17" i="36"/>
  <c r="G121" i="54"/>
  <c r="H77" i="36"/>
  <c r="H106" i="54"/>
  <c r="H13" i="36"/>
  <c r="H118" i="54"/>
  <c r="H63" i="36"/>
  <c r="F107" i="54"/>
  <c r="H16" i="36"/>
  <c r="G120" i="54"/>
  <c r="H72" i="36"/>
  <c r="E121" i="54"/>
  <c r="H75" i="36"/>
  <c r="H111" i="54"/>
  <c r="H28" i="36"/>
  <c r="E111" i="54"/>
  <c r="H25" i="36"/>
  <c r="I82" i="44"/>
  <c r="Q82" i="44" s="1"/>
  <c r="F82" i="44"/>
  <c r="N82" i="44" s="1"/>
  <c r="U82" i="44" s="1"/>
  <c r="X82" i="44" s="1"/>
  <c r="H82" i="44"/>
  <c r="P82" i="44" s="1"/>
  <c r="H58" i="44"/>
  <c r="P58" i="44" s="1"/>
  <c r="I58" i="44"/>
  <c r="Q58" i="44" s="1"/>
  <c r="F58" i="44"/>
  <c r="N58" i="44" s="1"/>
  <c r="U58" i="44" s="1"/>
  <c r="X58" i="44" s="1"/>
  <c r="F43" i="44"/>
  <c r="N43" i="44" s="1"/>
  <c r="U43" i="44" s="1"/>
  <c r="X43" i="44" s="1"/>
  <c r="H43" i="44"/>
  <c r="P43" i="44" s="1"/>
  <c r="I43" i="44"/>
  <c r="Q43" i="44" s="1"/>
  <c r="F57" i="44"/>
  <c r="N57" i="44" s="1"/>
  <c r="U57" i="44" s="1"/>
  <c r="X57" i="44" s="1"/>
  <c r="I57" i="44"/>
  <c r="Q57" i="44" s="1"/>
  <c r="H57" i="44"/>
  <c r="P57" i="44" s="1"/>
  <c r="F106" i="54"/>
  <c r="H11" i="36"/>
  <c r="I119" i="54"/>
  <c r="H69" i="36"/>
  <c r="E107" i="54"/>
  <c r="H15" i="36"/>
  <c r="G106" i="54"/>
  <c r="H12" i="36"/>
  <c r="G112" i="54"/>
  <c r="H32" i="36"/>
  <c r="F123" i="54"/>
  <c r="H86" i="36"/>
  <c r="F120" i="54"/>
  <c r="H71" i="36"/>
  <c r="G113" i="54"/>
  <c r="H37" i="36"/>
  <c r="I108" i="54"/>
  <c r="H24" i="36"/>
  <c r="H123" i="54"/>
  <c r="H88" i="36"/>
  <c r="E118" i="54"/>
  <c r="H60" i="36"/>
  <c r="H121" i="54"/>
  <c r="H78" i="36"/>
  <c r="I113" i="54"/>
  <c r="H39" i="36"/>
  <c r="F113" i="54"/>
  <c r="H36" i="36"/>
  <c r="E106" i="54"/>
  <c r="H10" i="36"/>
  <c r="I106" i="54"/>
  <c r="H14" i="36"/>
  <c r="F108" i="54"/>
  <c r="H21" i="36"/>
  <c r="H108" i="54"/>
  <c r="H23" i="36"/>
  <c r="F112" i="54"/>
  <c r="H31" i="36"/>
  <c r="H119" i="54"/>
  <c r="H68" i="36"/>
  <c r="E123" i="54"/>
  <c r="H85" i="36"/>
  <c r="G123" i="54"/>
  <c r="H87" i="36"/>
  <c r="G118" i="54"/>
  <c r="H62" i="36"/>
  <c r="I118" i="54"/>
  <c r="H64" i="36"/>
  <c r="I107" i="54"/>
  <c r="H19" i="36"/>
  <c r="I120" i="54"/>
  <c r="H74" i="36"/>
  <c r="G111" i="54"/>
  <c r="H27" i="36"/>
  <c r="I50" i="44"/>
  <c r="Q50" i="44" s="1"/>
  <c r="F50" i="44"/>
  <c r="N50" i="44" s="1"/>
  <c r="U50" i="44" s="1"/>
  <c r="X50" i="44" s="1"/>
  <c r="H50" i="44"/>
  <c r="P50" i="44" s="1"/>
  <c r="I46" i="44"/>
  <c r="Q46" i="44" s="1"/>
  <c r="H46" i="44"/>
  <c r="P46" i="44" s="1"/>
  <c r="F46" i="44"/>
  <c r="N46" i="44" s="1"/>
  <c r="U46" i="44" s="1"/>
  <c r="X46" i="44" s="1"/>
  <c r="H53" i="44"/>
  <c r="P53" i="44" s="1"/>
  <c r="I53" i="44"/>
  <c r="Q53" i="44" s="1"/>
  <c r="F53" i="44"/>
  <c r="N53" i="44" s="1"/>
  <c r="U53" i="44" s="1"/>
  <c r="X53" i="44" s="1"/>
  <c r="F55" i="44"/>
  <c r="N55" i="44" s="1"/>
  <c r="U55" i="44" s="1"/>
  <c r="X55" i="44" s="1"/>
  <c r="I55" i="44"/>
  <c r="Q55" i="44" s="1"/>
  <c r="H55" i="44"/>
  <c r="P55" i="44" s="1"/>
  <c r="F51" i="44"/>
  <c r="N51" i="44" s="1"/>
  <c r="U51" i="44" s="1"/>
  <c r="X51" i="44" s="1"/>
  <c r="H51" i="44"/>
  <c r="P51" i="44" s="1"/>
  <c r="I51" i="44"/>
  <c r="Q51" i="44" s="1"/>
  <c r="I47" i="44"/>
  <c r="Q47" i="44" s="1"/>
  <c r="F47" i="44"/>
  <c r="N47" i="44" s="1"/>
  <c r="U47" i="44" s="1"/>
  <c r="X47" i="44" s="1"/>
  <c r="H47" i="44"/>
  <c r="P47" i="44" s="1"/>
  <c r="F52" i="44"/>
  <c r="N52" i="44" s="1"/>
  <c r="U52" i="44" s="1"/>
  <c r="X52" i="44" s="1"/>
  <c r="H52" i="44"/>
  <c r="P52" i="44" s="1"/>
  <c r="I52" i="44"/>
  <c r="Q52" i="44" s="1"/>
  <c r="I48" i="44"/>
  <c r="Q48" i="44" s="1"/>
  <c r="H48" i="44"/>
  <c r="P48" i="44" s="1"/>
  <c r="F48" i="44"/>
  <c r="N48" i="44" s="1"/>
  <c r="U48" i="44" s="1"/>
  <c r="X48" i="44" s="1"/>
  <c r="F45" i="44"/>
  <c r="N45" i="44" s="1"/>
  <c r="U45" i="44" s="1"/>
  <c r="X45" i="44" s="1"/>
  <c r="I45" i="44"/>
  <c r="Q45" i="44" s="1"/>
  <c r="H45" i="44"/>
  <c r="P45" i="44" s="1"/>
  <c r="H113" i="54"/>
  <c r="H38" i="36"/>
  <c r="H112" i="54"/>
  <c r="H33" i="36"/>
  <c r="H107" i="54"/>
  <c r="H18" i="36"/>
  <c r="I121" i="54"/>
  <c r="H79" i="36"/>
  <c r="F85" i="44"/>
  <c r="N85" i="44" s="1"/>
  <c r="U85" i="44" s="1"/>
  <c r="X85" i="44" s="1"/>
  <c r="H85" i="44"/>
  <c r="P85" i="44" s="1"/>
  <c r="I85" i="44"/>
  <c r="Q85" i="44" s="1"/>
  <c r="I59" i="44"/>
  <c r="Q59" i="44" s="1"/>
  <c r="F59" i="44"/>
  <c r="N59" i="44" s="1"/>
  <c r="U59" i="44" s="1"/>
  <c r="X59" i="44" s="1"/>
  <c r="H59" i="44"/>
  <c r="P59" i="44" s="1"/>
  <c r="I42" i="44"/>
  <c r="Q42" i="44" s="1"/>
  <c r="F42" i="44"/>
  <c r="N42" i="44" s="1"/>
  <c r="U42" i="44" s="1"/>
  <c r="X42" i="44" s="1"/>
  <c r="H42" i="44"/>
  <c r="P42" i="44" s="1"/>
  <c r="F60" i="44"/>
  <c r="N60" i="44" s="1"/>
  <c r="U60" i="44" s="1"/>
  <c r="X60" i="44" s="1"/>
  <c r="H60" i="44"/>
  <c r="P60" i="44" s="1"/>
  <c r="I60" i="44"/>
  <c r="Q60" i="44" s="1"/>
  <c r="F61" i="44"/>
  <c r="N61" i="44" s="1"/>
  <c r="U61" i="44" s="1"/>
  <c r="X61" i="44" s="1"/>
  <c r="H61" i="44"/>
  <c r="P61" i="44" s="1"/>
  <c r="I61" i="44"/>
  <c r="Q61" i="44" s="1"/>
  <c r="E113" i="54"/>
  <c r="H35" i="36"/>
  <c r="I112" i="54"/>
  <c r="H34" i="36"/>
  <c r="I123" i="54"/>
  <c r="H89" i="36"/>
  <c r="F121" i="54"/>
  <c r="H76" i="36"/>
  <c r="F119" i="54"/>
  <c r="H66" i="36"/>
  <c r="F118" i="54"/>
  <c r="H61" i="36"/>
  <c r="E120" i="54"/>
  <c r="H70" i="36"/>
  <c r="I111" i="54"/>
  <c r="H29" i="36"/>
  <c r="F111" i="54"/>
  <c r="H26" i="36"/>
  <c r="I86" i="44"/>
  <c r="Q86" i="44" s="1"/>
  <c r="H86" i="44"/>
  <c r="P86" i="44" s="1"/>
  <c r="F86" i="44"/>
  <c r="N86" i="44" s="1"/>
  <c r="U86" i="44" s="1"/>
  <c r="X86" i="44" s="1"/>
  <c r="I44" i="44"/>
  <c r="Q44" i="44" s="1"/>
  <c r="F44" i="44"/>
  <c r="N44" i="44" s="1"/>
  <c r="U44" i="44" s="1"/>
  <c r="X44" i="44" s="1"/>
  <c r="H44" i="44"/>
  <c r="P44" i="44" s="1"/>
  <c r="F56" i="44"/>
  <c r="N56" i="44" s="1"/>
  <c r="U56" i="44" s="1"/>
  <c r="X56" i="44" s="1"/>
  <c r="I56" i="44"/>
  <c r="Q56" i="44" s="1"/>
  <c r="H56" i="44"/>
  <c r="P56" i="44" s="1"/>
  <c r="F49" i="44"/>
  <c r="N49" i="44" s="1"/>
  <c r="U49" i="44" s="1"/>
  <c r="X49" i="44" s="1"/>
  <c r="I49" i="44"/>
  <c r="Q49" i="44" s="1"/>
  <c r="H49" i="44"/>
  <c r="P49" i="44" s="1"/>
  <c r="I84" i="44"/>
  <c r="Q84" i="44" s="1"/>
  <c r="H84" i="44"/>
  <c r="P84" i="44" s="1"/>
  <c r="F84" i="44"/>
  <c r="N84" i="44" s="1"/>
  <c r="U84" i="44" s="1"/>
  <c r="X84" i="44" s="1"/>
  <c r="I54" i="44"/>
  <c r="Q54" i="44" s="1"/>
  <c r="F54" i="44"/>
  <c r="N54" i="44" s="1"/>
  <c r="U54" i="44" s="1"/>
  <c r="X54" i="44" s="1"/>
  <c r="H54" i="44"/>
  <c r="P54" i="44" s="1"/>
  <c r="I83" i="44"/>
  <c r="Q83" i="44" s="1"/>
  <c r="F83" i="44"/>
  <c r="N83" i="44" s="1"/>
  <c r="U83" i="44" s="1"/>
  <c r="X83" i="44" s="1"/>
  <c r="H83" i="44"/>
  <c r="P83" i="44" s="1"/>
  <c r="V47" i="44" l="1"/>
  <c r="Y47" i="44" s="1"/>
  <c r="V59" i="44"/>
  <c r="Y59" i="44" s="1"/>
  <c r="V46" i="44"/>
  <c r="Y46" i="44" s="1"/>
  <c r="Z46" i="44" s="1"/>
  <c r="AC46" i="44" s="1"/>
  <c r="V60" i="44"/>
  <c r="Y60" i="44" s="1"/>
  <c r="V53" i="44"/>
  <c r="Y53" i="44" s="1"/>
  <c r="V50" i="44"/>
  <c r="Y50" i="44" s="1"/>
  <c r="V82" i="44"/>
  <c r="Y82" i="44" s="1"/>
  <c r="Z82" i="44" s="1"/>
  <c r="V49" i="44"/>
  <c r="Y49" i="44" s="1"/>
  <c r="Z49" i="44" s="1"/>
  <c r="AC49" i="44" s="1"/>
  <c r="V57" i="44"/>
  <c r="Y57" i="44" s="1"/>
  <c r="Z57" i="44" s="1"/>
  <c r="V84" i="44"/>
  <c r="Y84" i="44" s="1"/>
  <c r="Z84" i="44" s="1"/>
  <c r="AC84" i="44" s="1"/>
  <c r="V86" i="44"/>
  <c r="Y86" i="44" s="1"/>
  <c r="Z86" i="44" s="1"/>
  <c r="AC86" i="44" s="1"/>
  <c r="V44" i="44"/>
  <c r="Y44" i="44" s="1"/>
  <c r="Z44" i="44" s="1"/>
  <c r="AC44" i="44" s="1"/>
  <c r="F37" i="44"/>
  <c r="N37" i="44" s="1"/>
  <c r="U37" i="44" s="1"/>
  <c r="X37" i="44" s="1"/>
  <c r="I37" i="44"/>
  <c r="Q37" i="44" s="1"/>
  <c r="H37" i="44"/>
  <c r="P37" i="44" s="1"/>
  <c r="V42" i="44"/>
  <c r="Y42" i="44" s="1"/>
  <c r="Z42" i="44" s="1"/>
  <c r="Z59" i="44"/>
  <c r="AC59" i="44" s="1"/>
  <c r="V52" i="44"/>
  <c r="Y52" i="44" s="1"/>
  <c r="Z47" i="44"/>
  <c r="Z53" i="44"/>
  <c r="AC53" i="44" s="1"/>
  <c r="H70" i="44"/>
  <c r="P70" i="44" s="1"/>
  <c r="I70" i="44"/>
  <c r="Q70" i="44" s="1"/>
  <c r="F70" i="44"/>
  <c r="N70" i="44" s="1"/>
  <c r="U70" i="44" s="1"/>
  <c r="X70" i="44" s="1"/>
  <c r="I25" i="44"/>
  <c r="Q25" i="44" s="1"/>
  <c r="F25" i="44"/>
  <c r="N25" i="44" s="1"/>
  <c r="U25" i="44" s="1"/>
  <c r="X25" i="44" s="1"/>
  <c r="H25" i="44"/>
  <c r="P25" i="44" s="1"/>
  <c r="F16" i="44"/>
  <c r="N16" i="44" s="1"/>
  <c r="U16" i="44" s="1"/>
  <c r="X16" i="44" s="1"/>
  <c r="I16" i="44"/>
  <c r="Q16" i="44" s="1"/>
  <c r="H16" i="44"/>
  <c r="P16" i="44" s="1"/>
  <c r="I62" i="44"/>
  <c r="Q62" i="44" s="1"/>
  <c r="F62" i="44"/>
  <c r="N62" i="44" s="1"/>
  <c r="U62" i="44" s="1"/>
  <c r="X62" i="44" s="1"/>
  <c r="H62" i="44"/>
  <c r="P62" i="44" s="1"/>
  <c r="I26" i="44"/>
  <c r="Q26" i="44" s="1"/>
  <c r="F26" i="44"/>
  <c r="N26" i="44" s="1"/>
  <c r="U26" i="44" s="1"/>
  <c r="X26" i="44" s="1"/>
  <c r="H26" i="44"/>
  <c r="P26" i="44" s="1"/>
  <c r="I73" i="44"/>
  <c r="Q73" i="44" s="1"/>
  <c r="F73" i="44"/>
  <c r="N73" i="44" s="1"/>
  <c r="U73" i="44" s="1"/>
  <c r="X73" i="44" s="1"/>
  <c r="H73" i="44"/>
  <c r="P73" i="44" s="1"/>
  <c r="F34" i="44"/>
  <c r="N34" i="44" s="1"/>
  <c r="U34" i="44" s="1"/>
  <c r="X34" i="44" s="1"/>
  <c r="I34" i="44"/>
  <c r="Q34" i="44" s="1"/>
  <c r="H34" i="44"/>
  <c r="P34" i="44" s="1"/>
  <c r="V43" i="44"/>
  <c r="Y43" i="44" s="1"/>
  <c r="Z43" i="44" s="1"/>
  <c r="AC43" i="44" s="1"/>
  <c r="I30" i="44"/>
  <c r="Q30" i="44" s="1"/>
  <c r="H30" i="44"/>
  <c r="P30" i="44" s="1"/>
  <c r="F30" i="44"/>
  <c r="N30" i="44" s="1"/>
  <c r="I32" i="44"/>
  <c r="Q32" i="44" s="1"/>
  <c r="H32" i="44"/>
  <c r="P32" i="44" s="1"/>
  <c r="F32" i="44"/>
  <c r="N32" i="44" s="1"/>
  <c r="U32" i="44" s="1"/>
  <c r="X32" i="44" s="1"/>
  <c r="I67" i="44"/>
  <c r="Q67" i="44" s="1"/>
  <c r="F67" i="44"/>
  <c r="N67" i="44" s="1"/>
  <c r="U67" i="44" s="1"/>
  <c r="X67" i="44" s="1"/>
  <c r="H67" i="44"/>
  <c r="P67" i="44" s="1"/>
  <c r="I72" i="44"/>
  <c r="Q72" i="44" s="1"/>
  <c r="F72" i="44"/>
  <c r="N72" i="44" s="1"/>
  <c r="U72" i="44" s="1"/>
  <c r="X72" i="44" s="1"/>
  <c r="H72" i="44"/>
  <c r="P72" i="44" s="1"/>
  <c r="I68" i="44"/>
  <c r="Q68" i="44" s="1"/>
  <c r="F68" i="44"/>
  <c r="N68" i="44" s="1"/>
  <c r="U68" i="44" s="1"/>
  <c r="X68" i="44" s="1"/>
  <c r="H68" i="44"/>
  <c r="P68" i="44" s="1"/>
  <c r="I91" i="44"/>
  <c r="Q91" i="44" s="1"/>
  <c r="F91" i="44"/>
  <c r="N91" i="44" s="1"/>
  <c r="U91" i="44" s="1"/>
  <c r="X91" i="44" s="1"/>
  <c r="H91" i="44"/>
  <c r="P91" i="44" s="1"/>
  <c r="V54" i="44"/>
  <c r="Y54" i="44" s="1"/>
  <c r="Z54" i="44" s="1"/>
  <c r="AC54" i="44" s="1"/>
  <c r="I31" i="44"/>
  <c r="Q31" i="44" s="1"/>
  <c r="F31" i="44"/>
  <c r="N31" i="44" s="1"/>
  <c r="H31" i="44"/>
  <c r="P31" i="44" s="1"/>
  <c r="V83" i="44"/>
  <c r="Y83" i="44" s="1"/>
  <c r="Z83" i="44" s="1"/>
  <c r="AC83" i="44" s="1"/>
  <c r="V56" i="44"/>
  <c r="Y56" i="44" s="1"/>
  <c r="Z56" i="44" s="1"/>
  <c r="AC56" i="44" s="1"/>
  <c r="I63" i="44"/>
  <c r="Q63" i="44" s="1"/>
  <c r="F63" i="44"/>
  <c r="N63" i="44" s="1"/>
  <c r="U63" i="44" s="1"/>
  <c r="X63" i="44" s="1"/>
  <c r="H63" i="44"/>
  <c r="P63" i="44" s="1"/>
  <c r="F78" i="44"/>
  <c r="N78" i="44" s="1"/>
  <c r="U78" i="44" s="1"/>
  <c r="X78" i="44" s="1"/>
  <c r="I78" i="44"/>
  <c r="Q78" i="44" s="1"/>
  <c r="H78" i="44"/>
  <c r="P78" i="44" s="1"/>
  <c r="H36" i="44"/>
  <c r="P36" i="44" s="1"/>
  <c r="I36" i="44"/>
  <c r="Q36" i="44" s="1"/>
  <c r="F36" i="44"/>
  <c r="N36" i="44" s="1"/>
  <c r="U36" i="44" s="1"/>
  <c r="X36" i="44" s="1"/>
  <c r="I81" i="44"/>
  <c r="Q81" i="44" s="1"/>
  <c r="H81" i="44"/>
  <c r="P81" i="44" s="1"/>
  <c r="F81" i="44"/>
  <c r="N81" i="44" s="1"/>
  <c r="U81" i="44" s="1"/>
  <c r="X81" i="44" s="1"/>
  <c r="H35" i="44"/>
  <c r="P35" i="44" s="1"/>
  <c r="I35" i="44"/>
  <c r="Q35" i="44" s="1"/>
  <c r="F35" i="44"/>
  <c r="N35" i="44" s="1"/>
  <c r="U35" i="44" s="1"/>
  <c r="X35" i="44" s="1"/>
  <c r="V45" i="44"/>
  <c r="Y45" i="44" s="1"/>
  <c r="Z45" i="44" s="1"/>
  <c r="AC45" i="44" s="1"/>
  <c r="V48" i="44"/>
  <c r="Y48" i="44" s="1"/>
  <c r="Z48" i="44" s="1"/>
  <c r="AC48" i="44" s="1"/>
  <c r="Z52" i="44"/>
  <c r="V55" i="44"/>
  <c r="Y55" i="44" s="1"/>
  <c r="Z55" i="44" s="1"/>
  <c r="AC55" i="44" s="1"/>
  <c r="I29" i="44"/>
  <c r="Q29" i="44" s="1"/>
  <c r="H29" i="44"/>
  <c r="P29" i="44" s="1"/>
  <c r="F29" i="44"/>
  <c r="N29" i="44" s="1"/>
  <c r="F21" i="44"/>
  <c r="N21" i="44" s="1"/>
  <c r="U21" i="44" s="1"/>
  <c r="X21" i="44" s="1"/>
  <c r="H21" i="44"/>
  <c r="P21" i="44" s="1"/>
  <c r="I21" i="44"/>
  <c r="Q21" i="44" s="1"/>
  <c r="I64" i="44"/>
  <c r="Q64" i="44" s="1"/>
  <c r="F64" i="44"/>
  <c r="N64" i="44" s="1"/>
  <c r="U64" i="44" s="1"/>
  <c r="X64" i="44" s="1"/>
  <c r="H64" i="44"/>
  <c r="P64" i="44" s="1"/>
  <c r="I38" i="44"/>
  <c r="Q38" i="44" s="1"/>
  <c r="F38" i="44"/>
  <c r="N38" i="44" s="1"/>
  <c r="U38" i="44" s="1"/>
  <c r="X38" i="44" s="1"/>
  <c r="H38" i="44"/>
  <c r="P38" i="44" s="1"/>
  <c r="I80" i="44"/>
  <c r="Q80" i="44" s="1"/>
  <c r="F80" i="44"/>
  <c r="N80" i="44" s="1"/>
  <c r="U80" i="44" s="1"/>
  <c r="X80" i="44" s="1"/>
  <c r="H80" i="44"/>
  <c r="P80" i="44" s="1"/>
  <c r="I17" i="44"/>
  <c r="Q17" i="44" s="1"/>
  <c r="F17" i="44"/>
  <c r="N17" i="44" s="1"/>
  <c r="U17" i="44" s="1"/>
  <c r="X17" i="44" s="1"/>
  <c r="H17" i="44"/>
  <c r="P17" i="44" s="1"/>
  <c r="I13" i="44"/>
  <c r="Q13" i="44" s="1"/>
  <c r="H13" i="44"/>
  <c r="P13" i="44" s="1"/>
  <c r="F13" i="44"/>
  <c r="N13" i="44" s="1"/>
  <c r="U13" i="44" s="1"/>
  <c r="X13" i="44" s="1"/>
  <c r="V58" i="44"/>
  <c r="Y58" i="44" s="1"/>
  <c r="I74" i="44"/>
  <c r="Q74" i="44" s="1"/>
  <c r="F74" i="44"/>
  <c r="N74" i="44" s="1"/>
  <c r="U74" i="44" s="1"/>
  <c r="X74" i="44" s="1"/>
  <c r="H74" i="44"/>
  <c r="P74" i="44" s="1"/>
  <c r="F65" i="44"/>
  <c r="N65" i="44" s="1"/>
  <c r="U65" i="44" s="1"/>
  <c r="X65" i="44" s="1"/>
  <c r="H65" i="44"/>
  <c r="P65" i="44" s="1"/>
  <c r="I65" i="44"/>
  <c r="Q65" i="44" s="1"/>
  <c r="I79" i="44"/>
  <c r="Q79" i="44" s="1"/>
  <c r="H79" i="44"/>
  <c r="P79" i="44" s="1"/>
  <c r="F79" i="44"/>
  <c r="N79" i="44" s="1"/>
  <c r="U79" i="44" s="1"/>
  <c r="X79" i="44" s="1"/>
  <c r="I69" i="44"/>
  <c r="Q69" i="44" s="1"/>
  <c r="F69" i="44"/>
  <c r="N69" i="44" s="1"/>
  <c r="U69" i="44" s="1"/>
  <c r="X69" i="44" s="1"/>
  <c r="H69" i="44"/>
  <c r="P69" i="44" s="1"/>
  <c r="I75" i="44"/>
  <c r="Q75" i="44" s="1"/>
  <c r="F75" i="44"/>
  <c r="N75" i="44" s="1"/>
  <c r="U75" i="44" s="1"/>
  <c r="X75" i="44" s="1"/>
  <c r="H75" i="44"/>
  <c r="P75" i="44" s="1"/>
  <c r="I28" i="44"/>
  <c r="Q28" i="44" s="1"/>
  <c r="H28" i="44"/>
  <c r="P28" i="44" s="1"/>
  <c r="F28" i="44"/>
  <c r="N28" i="44" s="1"/>
  <c r="I87" i="44"/>
  <c r="Q87" i="44" s="1"/>
  <c r="F87" i="44"/>
  <c r="N87" i="44" s="1"/>
  <c r="U87" i="44" s="1"/>
  <c r="X87" i="44" s="1"/>
  <c r="H87" i="44"/>
  <c r="P87" i="44" s="1"/>
  <c r="F33" i="44"/>
  <c r="N33" i="44" s="1"/>
  <c r="U33" i="44" s="1"/>
  <c r="X33" i="44" s="1"/>
  <c r="I33" i="44"/>
  <c r="Q33" i="44" s="1"/>
  <c r="H33" i="44"/>
  <c r="P33" i="44" s="1"/>
  <c r="F23" i="44"/>
  <c r="N23" i="44" s="1"/>
  <c r="U23" i="44" s="1"/>
  <c r="X23" i="44" s="1"/>
  <c r="H23" i="44"/>
  <c r="P23" i="44" s="1"/>
  <c r="I23" i="44"/>
  <c r="Q23" i="44" s="1"/>
  <c r="I90" i="44"/>
  <c r="Q90" i="44" s="1"/>
  <c r="H90" i="44"/>
  <c r="P90" i="44" s="1"/>
  <c r="F90" i="44"/>
  <c r="N90" i="44" s="1"/>
  <c r="U90" i="44" s="1"/>
  <c r="X90" i="44" s="1"/>
  <c r="I39" i="44"/>
  <c r="Q39" i="44" s="1"/>
  <c r="F39" i="44"/>
  <c r="N39" i="44" s="1"/>
  <c r="U39" i="44" s="1"/>
  <c r="X39" i="44" s="1"/>
  <c r="H39" i="44"/>
  <c r="P39" i="44" s="1"/>
  <c r="I88" i="44"/>
  <c r="Q88" i="44" s="1"/>
  <c r="F88" i="44"/>
  <c r="N88" i="44" s="1"/>
  <c r="U88" i="44" s="1"/>
  <c r="X88" i="44" s="1"/>
  <c r="H88" i="44"/>
  <c r="P88" i="44" s="1"/>
  <c r="I14" i="44"/>
  <c r="Q14" i="44" s="1"/>
  <c r="F14" i="44"/>
  <c r="N14" i="44" s="1"/>
  <c r="U14" i="44" s="1"/>
  <c r="X14" i="44" s="1"/>
  <c r="H14" i="44"/>
  <c r="P14" i="44" s="1"/>
  <c r="F27" i="44"/>
  <c r="N27" i="44" s="1"/>
  <c r="H27" i="44"/>
  <c r="P27" i="44" s="1"/>
  <c r="I27" i="44"/>
  <c r="Q27" i="44" s="1"/>
  <c r="Q92" i="44" s="1"/>
  <c r="I24" i="44"/>
  <c r="Q24" i="44" s="1"/>
  <c r="F24" i="44"/>
  <c r="N24" i="44" s="1"/>
  <c r="U24" i="44" s="1"/>
  <c r="X24" i="44" s="1"/>
  <c r="H24" i="44"/>
  <c r="P24" i="44" s="1"/>
  <c r="V61" i="44"/>
  <c r="Y61" i="44" s="1"/>
  <c r="Z61" i="44" s="1"/>
  <c r="AC61" i="44" s="1"/>
  <c r="Z60" i="44"/>
  <c r="AC60" i="44" s="1"/>
  <c r="V85" i="44"/>
  <c r="Y85" i="44" s="1"/>
  <c r="Z85" i="44" s="1"/>
  <c r="AC85" i="44" s="1"/>
  <c r="F20" i="44"/>
  <c r="N20" i="44" s="1"/>
  <c r="U20" i="44" s="1"/>
  <c r="X20" i="44" s="1"/>
  <c r="H20" i="44"/>
  <c r="P20" i="44" s="1"/>
  <c r="I20" i="44"/>
  <c r="Q20" i="44" s="1"/>
  <c r="I40" i="44"/>
  <c r="Q40" i="44" s="1"/>
  <c r="F40" i="44"/>
  <c r="N40" i="44" s="1"/>
  <c r="U40" i="44" s="1"/>
  <c r="X40" i="44" s="1"/>
  <c r="H40" i="44"/>
  <c r="P40" i="44" s="1"/>
  <c r="V51" i="44"/>
  <c r="Y51" i="44" s="1"/>
  <c r="Z51" i="44" s="1"/>
  <c r="AC51" i="44" s="1"/>
  <c r="Z50" i="44"/>
  <c r="AC50" i="44" s="1"/>
  <c r="I76" i="44"/>
  <c r="Q76" i="44" s="1"/>
  <c r="F76" i="44"/>
  <c r="N76" i="44" s="1"/>
  <c r="U76" i="44" s="1"/>
  <c r="X76" i="44" s="1"/>
  <c r="H76" i="44"/>
  <c r="P76" i="44" s="1"/>
  <c r="I66" i="44"/>
  <c r="Q66" i="44" s="1"/>
  <c r="F66" i="44"/>
  <c r="N66" i="44" s="1"/>
  <c r="U66" i="44" s="1"/>
  <c r="X66" i="44" s="1"/>
  <c r="H66" i="44"/>
  <c r="P66" i="44" s="1"/>
  <c r="I89" i="44"/>
  <c r="Q89" i="44" s="1"/>
  <c r="H89" i="44"/>
  <c r="P89" i="44" s="1"/>
  <c r="F89" i="44"/>
  <c r="N89" i="44" s="1"/>
  <c r="U89" i="44" s="1"/>
  <c r="X89" i="44" s="1"/>
  <c r="I12" i="44"/>
  <c r="Q12" i="44" s="1"/>
  <c r="F12" i="44"/>
  <c r="N12" i="44" s="1"/>
  <c r="U12" i="44" s="1"/>
  <c r="X12" i="44" s="1"/>
  <c r="H12" i="44"/>
  <c r="P12" i="44" s="1"/>
  <c r="I41" i="44"/>
  <c r="Q41" i="44" s="1"/>
  <c r="F41" i="44"/>
  <c r="N41" i="44" s="1"/>
  <c r="U41" i="44" s="1"/>
  <c r="X41" i="44" s="1"/>
  <c r="H41" i="44"/>
  <c r="P41" i="44" s="1"/>
  <c r="I71" i="44"/>
  <c r="Q71" i="44" s="1"/>
  <c r="F71" i="44"/>
  <c r="N71" i="44" s="1"/>
  <c r="U71" i="44" s="1"/>
  <c r="X71" i="44" s="1"/>
  <c r="H71" i="44"/>
  <c r="P71" i="44" s="1"/>
  <c r="Z58" i="44"/>
  <c r="AC58" i="44" s="1"/>
  <c r="I77" i="44"/>
  <c r="Q77" i="44" s="1"/>
  <c r="F77" i="44"/>
  <c r="N77" i="44" s="1"/>
  <c r="U77" i="44" s="1"/>
  <c r="X77" i="44" s="1"/>
  <c r="H77" i="44"/>
  <c r="P77" i="44" s="1"/>
  <c r="I18" i="44"/>
  <c r="Q18" i="44" s="1"/>
  <c r="F18" i="44"/>
  <c r="N18" i="44" s="1"/>
  <c r="U18" i="44" s="1"/>
  <c r="X18" i="44" s="1"/>
  <c r="H18" i="44"/>
  <c r="P18" i="44" s="1"/>
  <c r="I15" i="44"/>
  <c r="Q15" i="44" s="1"/>
  <c r="H15" i="44"/>
  <c r="P15" i="44" s="1"/>
  <c r="F15" i="44"/>
  <c r="N15" i="44" s="1"/>
  <c r="U15" i="44" s="1"/>
  <c r="X15" i="44" s="1"/>
  <c r="I19" i="44"/>
  <c r="Q19" i="44" s="1"/>
  <c r="F19" i="44"/>
  <c r="N19" i="44" s="1"/>
  <c r="U19" i="44" s="1"/>
  <c r="X19" i="44" s="1"/>
  <c r="H19" i="44"/>
  <c r="P19" i="44" s="1"/>
  <c r="I22" i="44"/>
  <c r="Q22" i="44" s="1"/>
  <c r="F22" i="44"/>
  <c r="N22" i="44" s="1"/>
  <c r="U22" i="44" s="1"/>
  <c r="X22" i="44" s="1"/>
  <c r="H22" i="44"/>
  <c r="P22" i="44" s="1"/>
  <c r="Q95" i="44" l="1"/>
  <c r="V33" i="44"/>
  <c r="Y33" i="44" s="1"/>
  <c r="V79" i="44"/>
  <c r="Y79" i="44" s="1"/>
  <c r="Q93" i="44"/>
  <c r="V66" i="44"/>
  <c r="Y66" i="44" s="1"/>
  <c r="Z66" i="44" s="1"/>
  <c r="AC66" i="44" s="1"/>
  <c r="V24" i="44"/>
  <c r="Y24" i="44" s="1"/>
  <c r="Z24" i="44" s="1"/>
  <c r="AC24" i="44" s="1"/>
  <c r="V14" i="44"/>
  <c r="Y14" i="44" s="1"/>
  <c r="Z14" i="44" s="1"/>
  <c r="AC14" i="44" s="1"/>
  <c r="V75" i="44"/>
  <c r="Y75" i="44" s="1"/>
  <c r="Z75" i="44" s="1"/>
  <c r="AC75" i="44" s="1"/>
  <c r="V74" i="44"/>
  <c r="Y74" i="44" s="1"/>
  <c r="Z74" i="44" s="1"/>
  <c r="AC74" i="44" s="1"/>
  <c r="V38" i="44"/>
  <c r="Y38" i="44" s="1"/>
  <c r="V64" i="44"/>
  <c r="Y64" i="44" s="1"/>
  <c r="Z64" i="44" s="1"/>
  <c r="AC64" i="44" s="1"/>
  <c r="V68" i="44"/>
  <c r="Y68" i="44" s="1"/>
  <c r="Z68" i="44" s="1"/>
  <c r="AC68" i="44" s="1"/>
  <c r="V73" i="44"/>
  <c r="Y73" i="44" s="1"/>
  <c r="V25" i="44"/>
  <c r="Y25" i="44" s="1"/>
  <c r="V15" i="44"/>
  <c r="Y15" i="44" s="1"/>
  <c r="Z15" i="44" s="1"/>
  <c r="AC15" i="44" s="1"/>
  <c r="V23" i="44"/>
  <c r="Y23" i="44" s="1"/>
  <c r="Z23" i="44" s="1"/>
  <c r="AC23" i="44" s="1"/>
  <c r="Z33" i="44"/>
  <c r="AC33" i="44" s="1"/>
  <c r="V80" i="44"/>
  <c r="Y80" i="44" s="1"/>
  <c r="V81" i="44"/>
  <c r="Y81" i="44" s="1"/>
  <c r="Z81" i="44" s="1"/>
  <c r="AC81" i="44" s="1"/>
  <c r="V34" i="44"/>
  <c r="Y34" i="44" s="1"/>
  <c r="Z34" i="44" s="1"/>
  <c r="AC34" i="44" s="1"/>
  <c r="V16" i="44"/>
  <c r="Y16" i="44" s="1"/>
  <c r="V21" i="44"/>
  <c r="Y21" i="44" s="1"/>
  <c r="Z21" i="44" s="1"/>
  <c r="AC21" i="44" s="1"/>
  <c r="Z38" i="44"/>
  <c r="AC38" i="44" s="1"/>
  <c r="V91" i="44"/>
  <c r="Y91" i="44" s="1"/>
  <c r="Z91" i="44" s="1"/>
  <c r="AC91" i="44" s="1"/>
  <c r="V63" i="44"/>
  <c r="Y63" i="44" s="1"/>
  <c r="V32" i="44"/>
  <c r="Y32" i="44" s="1"/>
  <c r="Z32" i="44" s="1"/>
  <c r="AC32" i="44" s="1"/>
  <c r="V18" i="44"/>
  <c r="Y18" i="44" s="1"/>
  <c r="Z18" i="44" s="1"/>
  <c r="AC18" i="44" s="1"/>
  <c r="V71" i="44"/>
  <c r="Y71" i="44" s="1"/>
  <c r="Z71" i="44" s="1"/>
  <c r="AC71" i="44" s="1"/>
  <c r="V76" i="44"/>
  <c r="Y76" i="44" s="1"/>
  <c r="E104" i="54"/>
  <c r="H5" i="36"/>
  <c r="V22" i="44"/>
  <c r="Y22" i="44" s="1"/>
  <c r="Z22" i="44" s="1"/>
  <c r="AC82" i="44"/>
  <c r="AI22" i="44"/>
  <c r="U28" i="44"/>
  <c r="X28" i="44" s="1"/>
  <c r="N93" i="44"/>
  <c r="U93" i="44" s="1"/>
  <c r="V31" i="44"/>
  <c r="Y31" i="44" s="1"/>
  <c r="P96" i="44"/>
  <c r="U30" i="44"/>
  <c r="X30" i="44" s="1"/>
  <c r="N95" i="44"/>
  <c r="U95" i="44" s="1"/>
  <c r="AC47" i="44"/>
  <c r="AI16" i="44"/>
  <c r="H104" i="54"/>
  <c r="H8" i="36"/>
  <c r="F104" i="54"/>
  <c r="H6" i="36"/>
  <c r="V19" i="44"/>
  <c r="Y19" i="44" s="1"/>
  <c r="Z19" i="44" s="1"/>
  <c r="AC19" i="44" s="1"/>
  <c r="I104" i="54"/>
  <c r="H9" i="36"/>
  <c r="V77" i="44"/>
  <c r="Y77" i="44" s="1"/>
  <c r="Z77" i="44" s="1"/>
  <c r="V12" i="44"/>
  <c r="Y12" i="44" s="1"/>
  <c r="V89" i="44"/>
  <c r="Y89" i="44" s="1"/>
  <c r="Z89" i="44" s="1"/>
  <c r="AC89" i="44" s="1"/>
  <c r="V40" i="44"/>
  <c r="Y40" i="44" s="1"/>
  <c r="V20" i="44"/>
  <c r="Y20" i="44" s="1"/>
  <c r="Z20" i="44" s="1"/>
  <c r="AC20" i="44" s="1"/>
  <c r="V27" i="44"/>
  <c r="Y27" i="44" s="1"/>
  <c r="P92" i="44"/>
  <c r="V92" i="44" s="1"/>
  <c r="V39" i="44"/>
  <c r="Y39" i="44" s="1"/>
  <c r="V90" i="44"/>
  <c r="Y90" i="44" s="1"/>
  <c r="Z90" i="44" s="1"/>
  <c r="AC90" i="44" s="1"/>
  <c r="V87" i="44"/>
  <c r="Y87" i="44" s="1"/>
  <c r="Z87" i="44" s="1"/>
  <c r="V28" i="44"/>
  <c r="Y28" i="44" s="1"/>
  <c r="P93" i="44"/>
  <c r="Z79" i="44"/>
  <c r="AC79" i="44" s="1"/>
  <c r="V65" i="44"/>
  <c r="Y65" i="44" s="1"/>
  <c r="Z65" i="44" s="1"/>
  <c r="AC65" i="44" s="1"/>
  <c r="AC57" i="44"/>
  <c r="AI18" i="44"/>
  <c r="V17" i="44"/>
  <c r="Y17" i="44" s="1"/>
  <c r="Z17" i="44" s="1"/>
  <c r="Z80" i="44"/>
  <c r="AC80" i="44" s="1"/>
  <c r="U29" i="44"/>
  <c r="X29" i="44" s="1"/>
  <c r="N94" i="44"/>
  <c r="U94" i="44" s="1"/>
  <c r="AC52" i="44"/>
  <c r="AI17" i="44"/>
  <c r="V36" i="44"/>
  <c r="Y36" i="44" s="1"/>
  <c r="Z36" i="44" s="1"/>
  <c r="AC36" i="44" s="1"/>
  <c r="U31" i="44"/>
  <c r="X31" i="44" s="1"/>
  <c r="Z31" i="44" s="1"/>
  <c r="AC31" i="44" s="1"/>
  <c r="N96" i="44"/>
  <c r="U96" i="44" s="1"/>
  <c r="V30" i="44"/>
  <c r="Y30" i="44" s="1"/>
  <c r="P95" i="44"/>
  <c r="V95" i="44" s="1"/>
  <c r="Z73" i="44"/>
  <c r="AC73" i="44" s="1"/>
  <c r="Z25" i="44"/>
  <c r="AC25" i="44" s="1"/>
  <c r="V70" i="44"/>
  <c r="Y70" i="44" s="1"/>
  <c r="Z70" i="44" s="1"/>
  <c r="AC70" i="44" s="1"/>
  <c r="G104" i="54"/>
  <c r="H7" i="36"/>
  <c r="V41" i="44"/>
  <c r="Y41" i="44" s="1"/>
  <c r="Z41" i="44" s="1"/>
  <c r="AC41" i="44" s="1"/>
  <c r="Z12" i="44"/>
  <c r="Z40" i="44"/>
  <c r="AC40" i="44" s="1"/>
  <c r="U27" i="44"/>
  <c r="X27" i="44" s="1"/>
  <c r="Z27" i="44" s="1"/>
  <c r="AC27" i="44" s="1"/>
  <c r="N92" i="44"/>
  <c r="U92" i="44" s="1"/>
  <c r="V88" i="44"/>
  <c r="Y88" i="44" s="1"/>
  <c r="Z88" i="44" s="1"/>
  <c r="AC88" i="44" s="1"/>
  <c r="Z39" i="44"/>
  <c r="AC39" i="44" s="1"/>
  <c r="V69" i="44"/>
  <c r="Y69" i="44" s="1"/>
  <c r="Z69" i="44" s="1"/>
  <c r="AC69" i="44" s="1"/>
  <c r="V29" i="44"/>
  <c r="Y29" i="44" s="1"/>
  <c r="P94" i="44"/>
  <c r="V35" i="44"/>
  <c r="Y35" i="44" s="1"/>
  <c r="Z35" i="44" s="1"/>
  <c r="AC42" i="44"/>
  <c r="AI15" i="44"/>
  <c r="V78" i="44"/>
  <c r="Y78" i="44" s="1"/>
  <c r="Z78" i="44" s="1"/>
  <c r="AC78" i="44" s="1"/>
  <c r="Z63" i="44"/>
  <c r="AC63" i="44" s="1"/>
  <c r="Q96" i="44"/>
  <c r="V67" i="44"/>
  <c r="Y67" i="44" s="1"/>
  <c r="Z67" i="44" s="1"/>
  <c r="AC67" i="44" s="1"/>
  <c r="V62" i="44"/>
  <c r="Y62" i="44" s="1"/>
  <c r="Z62" i="44" s="1"/>
  <c r="Z76" i="44"/>
  <c r="AC76" i="44" s="1"/>
  <c r="V13" i="44"/>
  <c r="Y13" i="44" s="1"/>
  <c r="Z13" i="44" s="1"/>
  <c r="AC13" i="44" s="1"/>
  <c r="Q94" i="44"/>
  <c r="V72" i="44"/>
  <c r="Y72" i="44" s="1"/>
  <c r="Z72" i="44" s="1"/>
  <c r="V26" i="44"/>
  <c r="Y26" i="44" s="1"/>
  <c r="Z26" i="44" s="1"/>
  <c r="AC26" i="44" s="1"/>
  <c r="Z16" i="44"/>
  <c r="AC16" i="44" s="1"/>
  <c r="V37" i="44"/>
  <c r="Y37" i="44" s="1"/>
  <c r="Z37" i="44" s="1"/>
  <c r="V93" i="44" l="1"/>
  <c r="V94" i="44"/>
  <c r="Z30" i="44"/>
  <c r="AC30" i="44" s="1"/>
  <c r="AC37" i="44"/>
  <c r="AI14" i="44"/>
  <c r="AC72" i="44"/>
  <c r="AI20" i="44"/>
  <c r="AC35" i="44"/>
  <c r="AI13" i="44"/>
  <c r="AC77" i="44"/>
  <c r="AI21" i="44"/>
  <c r="F9" i="44"/>
  <c r="N9" i="44" s="1"/>
  <c r="U9" i="44" s="1"/>
  <c r="X9" i="44" s="1"/>
  <c r="H9" i="44"/>
  <c r="P9" i="44" s="1"/>
  <c r="V9" i="44" s="1"/>
  <c r="Y9" i="44" s="1"/>
  <c r="I9" i="44"/>
  <c r="Q9" i="44" s="1"/>
  <c r="U104" i="44"/>
  <c r="X104" i="44" s="1"/>
  <c r="U99" i="44"/>
  <c r="X99" i="44" s="1"/>
  <c r="X94" i="44"/>
  <c r="AC17" i="44"/>
  <c r="AI10" i="44"/>
  <c r="AC87" i="44"/>
  <c r="AI23" i="44"/>
  <c r="Y95" i="44"/>
  <c r="V100" i="44"/>
  <c r="Y100" i="44" s="1"/>
  <c r="V105" i="44"/>
  <c r="Y105" i="44" s="1"/>
  <c r="V97" i="44"/>
  <c r="V102" i="44"/>
  <c r="Y102" i="44" s="1"/>
  <c r="Y92" i="44"/>
  <c r="AJ16" i="44"/>
  <c r="AC62" i="44"/>
  <c r="AI19" i="44"/>
  <c r="U106" i="44"/>
  <c r="X106" i="44" s="1"/>
  <c r="U101" i="44"/>
  <c r="X101" i="44" s="1"/>
  <c r="X96" i="44"/>
  <c r="H11" i="44"/>
  <c r="P11" i="44" s="1"/>
  <c r="I11" i="44"/>
  <c r="Q11" i="44" s="1"/>
  <c r="F11" i="44"/>
  <c r="N11" i="44" s="1"/>
  <c r="U11" i="44" s="1"/>
  <c r="X11" i="44" s="1"/>
  <c r="I10" i="44"/>
  <c r="Q10" i="44" s="1"/>
  <c r="F10" i="44"/>
  <c r="N10" i="44" s="1"/>
  <c r="U10" i="44" s="1"/>
  <c r="X10" i="44" s="1"/>
  <c r="H10" i="44"/>
  <c r="P10" i="44" s="1"/>
  <c r="V96" i="44"/>
  <c r="U98" i="44"/>
  <c r="X98" i="44" s="1"/>
  <c r="U103" i="44"/>
  <c r="X103" i="44" s="1"/>
  <c r="X93" i="44"/>
  <c r="AJ22" i="44"/>
  <c r="Y94" i="44"/>
  <c r="V99" i="44"/>
  <c r="Y99" i="44" s="1"/>
  <c r="V104" i="44"/>
  <c r="Y104" i="44" s="1"/>
  <c r="AJ18" i="44"/>
  <c r="Y93" i="44"/>
  <c r="V98" i="44"/>
  <c r="Y98" i="44" s="1"/>
  <c r="V103" i="44"/>
  <c r="Y103" i="44" s="1"/>
  <c r="AJ15" i="44"/>
  <c r="U97" i="44"/>
  <c r="U102" i="44"/>
  <c r="X102" i="44" s="1"/>
  <c r="X92" i="44"/>
  <c r="AC12" i="44"/>
  <c r="AI9" i="44"/>
  <c r="Z29" i="44"/>
  <c r="AC29" i="44" s="1"/>
  <c r="U100" i="44"/>
  <c r="X100" i="44" s="1"/>
  <c r="U105" i="44"/>
  <c r="X105" i="44" s="1"/>
  <c r="X95" i="44"/>
  <c r="Z95" i="44" s="1"/>
  <c r="AC95" i="44" s="1"/>
  <c r="Z28" i="44"/>
  <c r="AC28" i="44" s="1"/>
  <c r="H7" i="44"/>
  <c r="P7" i="44" s="1"/>
  <c r="F7" i="44"/>
  <c r="N7" i="44" s="1"/>
  <c r="U7" i="44" s="1"/>
  <c r="X7" i="44" s="1"/>
  <c r="I7" i="44"/>
  <c r="Q7" i="44" s="1"/>
  <c r="AJ17" i="44"/>
  <c r="AC22" i="44"/>
  <c r="AI11" i="44"/>
  <c r="H8" i="44"/>
  <c r="P8" i="44" s="1"/>
  <c r="F8" i="44"/>
  <c r="N8" i="44" s="1"/>
  <c r="U8" i="44" s="1"/>
  <c r="X8" i="44" s="1"/>
  <c r="I8" i="44"/>
  <c r="Q8" i="44" s="1"/>
  <c r="Z92" i="44" l="1"/>
  <c r="AC92" i="44" s="1"/>
  <c r="Z94" i="44"/>
  <c r="AC94" i="44" s="1"/>
  <c r="V10" i="44"/>
  <c r="Y10" i="44" s="1"/>
  <c r="Z10" i="44" s="1"/>
  <c r="AC10" i="44" s="1"/>
  <c r="V11" i="44"/>
  <c r="Y11" i="44" s="1"/>
  <c r="Z11" i="44" s="1"/>
  <c r="AC11" i="44" s="1"/>
  <c r="Z103" i="44"/>
  <c r="AC103" i="44" s="1"/>
  <c r="V8" i="44"/>
  <c r="Y8" i="44" s="1"/>
  <c r="AJ19" i="44"/>
  <c r="AJ10" i="44"/>
  <c r="AJ21" i="44"/>
  <c r="AJ20" i="44"/>
  <c r="AJ11" i="44"/>
  <c r="AJ9" i="44"/>
  <c r="X97" i="44"/>
  <c r="Z104" i="44"/>
  <c r="AC104" i="44" s="1"/>
  <c r="Z98" i="44"/>
  <c r="AC98" i="44" s="1"/>
  <c r="Z102" i="44"/>
  <c r="Y96" i="44"/>
  <c r="Z96" i="44" s="1"/>
  <c r="AC96" i="44" s="1"/>
  <c r="V101" i="44"/>
  <c r="Y101" i="44" s="1"/>
  <c r="Z101" i="44" s="1"/>
  <c r="AC101" i="44" s="1"/>
  <c r="V106" i="44"/>
  <c r="Y106" i="44" s="1"/>
  <c r="Z106" i="44" s="1"/>
  <c r="AC106" i="44" s="1"/>
  <c r="AJ23" i="44"/>
  <c r="AJ13" i="44"/>
  <c r="AJ14" i="44"/>
  <c r="Y97" i="44"/>
  <c r="Z8" i="44"/>
  <c r="AC8" i="44" s="1"/>
  <c r="V7" i="44"/>
  <c r="Y7" i="44" s="1"/>
  <c r="Z7" i="44" s="1"/>
  <c r="Z100" i="44"/>
  <c r="AC100" i="44" s="1"/>
  <c r="Z93" i="44"/>
  <c r="AC93" i="44" s="1"/>
  <c r="Z105" i="44"/>
  <c r="AC105" i="44" s="1"/>
  <c r="Z99" i="44"/>
  <c r="AC99" i="44" s="1"/>
  <c r="Z9" i="44"/>
  <c r="AC9" i="44" s="1"/>
  <c r="AC7" i="44" l="1"/>
  <c r="AI7" i="44"/>
  <c r="AC102" i="44"/>
  <c r="AI8" i="44"/>
  <c r="AJ8" i="44" s="1"/>
  <c r="Z97" i="44"/>
  <c r="I110" i="54" l="1"/>
  <c r="H94" i="36"/>
  <c r="E110" i="54"/>
  <c r="H90" i="36"/>
  <c r="F110" i="54"/>
  <c r="H91" i="36"/>
  <c r="G110" i="54"/>
  <c r="H92" i="36"/>
  <c r="H110" i="54"/>
  <c r="H93" i="36"/>
  <c r="AC97" i="44"/>
  <c r="AI12" i="44"/>
  <c r="AJ7" i="44"/>
  <c r="AJ12" i="44" l="1"/>
  <c r="AI24" i="44"/>
  <c r="AJ24" i="44" s="1"/>
  <c r="AJ27" i="44" l="1"/>
  <c r="L18" i="64" s="1"/>
  <c r="F17" i="64" s="1"/>
  <c r="E44" i="77" s="1"/>
  <c r="H44" i="77" s="1"/>
  <c r="AB71" i="44"/>
  <c r="AD71" i="44" s="1"/>
  <c r="AB94" i="44"/>
  <c r="AD94" i="44" s="1"/>
  <c r="AB70" i="44"/>
  <c r="AD70" i="44" s="1"/>
  <c r="K61" i="79"/>
  <c r="E61" i="79" s="1"/>
  <c r="G437" i="54" s="1"/>
  <c r="K20" i="79"/>
  <c r="E20" i="79" s="1"/>
  <c r="F428" i="54" s="1"/>
  <c r="K23" i="79"/>
  <c r="E23" i="79" s="1"/>
  <c r="I428" i="54" s="1"/>
  <c r="AB37" i="44"/>
  <c r="AD37" i="44" s="1"/>
  <c r="E51" i="77"/>
  <c r="H51" i="77" s="1"/>
  <c r="AB17" i="44"/>
  <c r="AD17" i="44" s="1"/>
  <c r="AB84" i="44"/>
  <c r="AD84" i="44" s="1"/>
  <c r="E54" i="77"/>
  <c r="H54" i="77" s="1"/>
  <c r="AB85" i="44"/>
  <c r="AD85" i="44" s="1"/>
  <c r="AB25" i="44"/>
  <c r="AD25" i="44" s="1"/>
  <c r="AB56" i="44"/>
  <c r="AD56" i="44" s="1"/>
  <c r="AB23" i="44"/>
  <c r="AD23" i="44" s="1"/>
  <c r="K25" i="79"/>
  <c r="E25" i="79" s="1"/>
  <c r="F432" i="54" s="1"/>
  <c r="K9" i="79"/>
  <c r="E9" i="79" s="1"/>
  <c r="E426" i="54" s="1"/>
  <c r="K48" i="79"/>
  <c r="E48" i="79" s="1"/>
  <c r="I436" i="54" s="1"/>
  <c r="K32" i="79"/>
  <c r="E32" i="79" s="1"/>
  <c r="H433" i="54" s="1"/>
  <c r="K83" i="79"/>
  <c r="E83" i="79" s="1"/>
  <c r="I442" i="54" s="1"/>
  <c r="K67" i="79"/>
  <c r="E67" i="79" s="1"/>
  <c r="H438" i="54" s="1"/>
  <c r="K19" i="79"/>
  <c r="E19" i="79" s="1"/>
  <c r="E428" i="54" s="1"/>
  <c r="K46" i="79"/>
  <c r="E46" i="79" s="1"/>
  <c r="G436" i="54" s="1"/>
  <c r="K58" i="79"/>
  <c r="E58" i="79" s="1"/>
  <c r="I425" i="54" s="1"/>
  <c r="K30" i="79"/>
  <c r="E30" i="79" s="1"/>
  <c r="F433" i="54" s="1"/>
  <c r="AB69" i="44"/>
  <c r="AD69" i="44" s="1"/>
  <c r="AB97" i="44"/>
  <c r="AD97" i="44" s="1"/>
  <c r="E55" i="77"/>
  <c r="H55" i="77" s="1"/>
  <c r="E38" i="77"/>
  <c r="H38" i="77" s="1"/>
  <c r="AB77" i="44"/>
  <c r="AD77" i="44" s="1"/>
  <c r="AB61" i="44"/>
  <c r="AD61" i="44" s="1"/>
  <c r="AB29" i="44"/>
  <c r="AD29" i="44" s="1"/>
  <c r="AB52" i="44"/>
  <c r="AD52" i="44" s="1"/>
  <c r="AB51" i="44"/>
  <c r="AD51" i="44" s="1"/>
  <c r="AB34" i="44"/>
  <c r="AD34" i="44" s="1"/>
  <c r="E36" i="77" l="1"/>
  <c r="H36" i="77" s="1"/>
  <c r="AB64" i="44"/>
  <c r="AD64" i="44" s="1"/>
  <c r="E56" i="77"/>
  <c r="H56" i="77" s="1"/>
  <c r="AB50" i="44"/>
  <c r="AD50" i="44" s="1"/>
  <c r="AB99" i="44"/>
  <c r="AD99" i="44" s="1"/>
  <c r="AB73" i="44"/>
  <c r="AD73" i="44" s="1"/>
  <c r="K74" i="79"/>
  <c r="E74" i="79" s="1"/>
  <c r="E441" i="54" s="1"/>
  <c r="K35" i="79"/>
  <c r="E35" i="79" s="1"/>
  <c r="F434" i="54" s="1"/>
  <c r="K42" i="79"/>
  <c r="E42" i="79" s="1"/>
  <c r="H435" i="54" s="1"/>
  <c r="K64" i="79"/>
  <c r="E64" i="79" s="1"/>
  <c r="E438" i="54" s="1"/>
  <c r="K41" i="79"/>
  <c r="E41" i="79" s="1"/>
  <c r="G435" i="54" s="1"/>
  <c r="E34" i="77"/>
  <c r="H34" i="77" s="1"/>
  <c r="AB53" i="44"/>
  <c r="AD53" i="44" s="1"/>
  <c r="AB14" i="44"/>
  <c r="AD14" i="44" s="1"/>
  <c r="E30" i="77"/>
  <c r="H30" i="77" s="1"/>
  <c r="AB82" i="44"/>
  <c r="AD82" i="44" s="1"/>
  <c r="AB79" i="44"/>
  <c r="AD79" i="44" s="1"/>
  <c r="AB22" i="44"/>
  <c r="AD22" i="44" s="1"/>
  <c r="AB33" i="44"/>
  <c r="AD33" i="44" s="1"/>
  <c r="K38" i="79"/>
  <c r="E38" i="79" s="1"/>
  <c r="I434" i="54" s="1"/>
  <c r="K39" i="79"/>
  <c r="E39" i="79" s="1"/>
  <c r="E435" i="54" s="1"/>
  <c r="K68" i="79"/>
  <c r="E68" i="79" s="1"/>
  <c r="I438" i="54" s="1"/>
  <c r="AB39" i="44"/>
  <c r="AD39" i="44" s="1"/>
  <c r="AB45" i="44"/>
  <c r="AD45" i="44" s="1"/>
  <c r="AB66" i="44"/>
  <c r="AD66" i="44" s="1"/>
  <c r="E37" i="77"/>
  <c r="H37" i="77" s="1"/>
  <c r="E60" i="77"/>
  <c r="H60" i="77" s="1"/>
  <c r="E42" i="77"/>
  <c r="H42" i="77" s="1"/>
  <c r="E52" i="77"/>
  <c r="H52" i="77" s="1"/>
  <c r="AB11" i="44"/>
  <c r="AD11" i="44" s="1"/>
  <c r="AB98" i="44"/>
  <c r="AD98" i="44" s="1"/>
  <c r="AB55" i="44"/>
  <c r="AD55" i="44" s="1"/>
  <c r="K6" i="79"/>
  <c r="E6" i="79" s="1"/>
  <c r="G424" i="54" s="1"/>
  <c r="K51" i="79"/>
  <c r="E51" i="79" s="1"/>
  <c r="G429" i="54" s="1"/>
  <c r="K16" i="79"/>
  <c r="E16" i="79" s="1"/>
  <c r="G427" i="54" s="1"/>
  <c r="K80" i="79"/>
  <c r="E80" i="79" s="1"/>
  <c r="F442" i="54" s="1"/>
  <c r="K57" i="79"/>
  <c r="E57" i="79" s="1"/>
  <c r="H425" i="54" s="1"/>
  <c r="AB74" i="44"/>
  <c r="AD74" i="44" s="1"/>
  <c r="AB100" i="44"/>
  <c r="AD100" i="44" s="1"/>
  <c r="E35" i="77"/>
  <c r="H35" i="77" s="1"/>
  <c r="E43" i="77"/>
  <c r="H43" i="77" s="1"/>
  <c r="AB49" i="44"/>
  <c r="AD49" i="44" s="1"/>
  <c r="AB48" i="44"/>
  <c r="AD48" i="44" s="1"/>
  <c r="AB65" i="44"/>
  <c r="AD65" i="44" s="1"/>
  <c r="AB103" i="44"/>
  <c r="AD103" i="44" s="1"/>
  <c r="K62" i="79"/>
  <c r="E62" i="79" s="1"/>
  <c r="H437" i="54" s="1"/>
  <c r="K87" i="79"/>
  <c r="E87" i="79" s="1"/>
  <c r="H443" i="54" s="1"/>
  <c r="K84" i="79"/>
  <c r="E84" i="79" s="1"/>
  <c r="E443" i="54" s="1"/>
  <c r="E58" i="77"/>
  <c r="H58" i="77" s="1"/>
  <c r="AB41" i="44"/>
  <c r="AD41" i="44" s="1"/>
  <c r="AB93" i="44"/>
  <c r="AD93" i="44" s="1"/>
  <c r="E39" i="77"/>
  <c r="H39" i="77" s="1"/>
  <c r="K73" i="79"/>
  <c r="E73" i="79" s="1"/>
  <c r="I440" i="54" s="1"/>
  <c r="AB86" i="44"/>
  <c r="AD86" i="44" s="1"/>
  <c r="AB35" i="44"/>
  <c r="AD35" i="44" s="1"/>
  <c r="AB101" i="44"/>
  <c r="AD101" i="44" s="1"/>
  <c r="AB105" i="44"/>
  <c r="AD105" i="44" s="1"/>
  <c r="AB57" i="44"/>
  <c r="AD57" i="44" s="1"/>
  <c r="E57" i="77"/>
  <c r="H57" i="77" s="1"/>
  <c r="E50" i="77"/>
  <c r="E53" i="77"/>
  <c r="H53" i="77" s="1"/>
  <c r="K14" i="79"/>
  <c r="E14" i="79" s="1"/>
  <c r="E427" i="54" s="1"/>
  <c r="K29" i="79"/>
  <c r="E29" i="79" s="1"/>
  <c r="E433" i="54" s="1"/>
  <c r="E61" i="77"/>
  <c r="H61" i="77" s="1"/>
  <c r="E64" i="77"/>
  <c r="H64" i="77" s="1"/>
  <c r="E29" i="77"/>
  <c r="H29" i="77" s="1"/>
  <c r="AB24" i="44"/>
  <c r="AD24" i="44" s="1"/>
  <c r="D10" i="77" s="1"/>
  <c r="G10" i="77" s="1"/>
  <c r="AB7" i="44"/>
  <c r="E28" i="77"/>
  <c r="K4" i="79"/>
  <c r="E4" i="79" s="1"/>
  <c r="E424" i="54" s="1"/>
  <c r="K78" i="79"/>
  <c r="E78" i="79" s="1"/>
  <c r="I441" i="54" s="1"/>
  <c r="K55" i="79"/>
  <c r="E55" i="79" s="1"/>
  <c r="F425" i="54" s="1"/>
  <c r="K52" i="79"/>
  <c r="E52" i="79" s="1"/>
  <c r="H429" i="54" s="1"/>
  <c r="K45" i="79"/>
  <c r="E45" i="79" s="1"/>
  <c r="F436" i="54" s="1"/>
  <c r="AB44" i="44"/>
  <c r="AD44" i="44" s="1"/>
  <c r="AB76" i="44"/>
  <c r="AD76" i="44" s="1"/>
  <c r="AB80" i="44"/>
  <c r="AD80" i="44" s="1"/>
  <c r="AB26" i="44"/>
  <c r="AD26" i="44" s="1"/>
  <c r="AB28" i="44"/>
  <c r="AD28" i="44" s="1"/>
  <c r="E62" i="77"/>
  <c r="H62" i="77" s="1"/>
  <c r="K50" i="79"/>
  <c r="E50" i="79" s="1"/>
  <c r="F429" i="54" s="1"/>
  <c r="E66" i="77"/>
  <c r="H66" i="77" s="1"/>
  <c r="AB16" i="44"/>
  <c r="AD16" i="44" s="1"/>
  <c r="K8" i="79"/>
  <c r="E8" i="79" s="1"/>
  <c r="I424" i="54" s="1"/>
  <c r="K49" i="79"/>
  <c r="E49" i="79" s="1"/>
  <c r="E429" i="54" s="1"/>
  <c r="K7" i="79"/>
  <c r="E7" i="79" s="1"/>
  <c r="H424" i="54" s="1"/>
  <c r="K71" i="79"/>
  <c r="E71" i="79" s="1"/>
  <c r="G440" i="54" s="1"/>
  <c r="K36" i="79"/>
  <c r="E36" i="79" s="1"/>
  <c r="G434" i="54" s="1"/>
  <c r="K13" i="79"/>
  <c r="E13" i="79" s="1"/>
  <c r="I426" i="54" s="1"/>
  <c r="K77" i="79"/>
  <c r="E77" i="79" s="1"/>
  <c r="H441" i="54" s="1"/>
  <c r="AB67" i="44"/>
  <c r="AD67" i="44" s="1"/>
  <c r="AB83" i="44"/>
  <c r="AD83" i="44" s="1"/>
  <c r="D21" i="77" s="1"/>
  <c r="G21" i="77" s="1"/>
  <c r="AB36" i="44"/>
  <c r="AD36" i="44" s="1"/>
  <c r="AB32" i="44"/>
  <c r="AD32" i="44" s="1"/>
  <c r="AB102" i="44"/>
  <c r="AD102" i="44" s="1"/>
  <c r="AB72" i="44"/>
  <c r="AD72" i="44" s="1"/>
  <c r="AB15" i="44"/>
  <c r="AD15" i="44" s="1"/>
  <c r="AD7" i="44"/>
  <c r="K65" i="79"/>
  <c r="E65" i="79" s="1"/>
  <c r="F438" i="54" s="1"/>
  <c r="K43" i="79"/>
  <c r="E43" i="79" s="1"/>
  <c r="I435" i="54" s="1"/>
  <c r="E32" i="77"/>
  <c r="H32" i="77" s="1"/>
  <c r="K82" i="79"/>
  <c r="E82" i="79" s="1"/>
  <c r="H442" i="54" s="1"/>
  <c r="K24" i="79"/>
  <c r="E24" i="79" s="1"/>
  <c r="E432" i="54" s="1"/>
  <c r="AB42" i="44"/>
  <c r="AD42" i="44" s="1"/>
  <c r="AB90" i="44"/>
  <c r="AD90" i="44" s="1"/>
  <c r="AB20" i="44"/>
  <c r="AD20" i="44" s="1"/>
  <c r="K22" i="79"/>
  <c r="E22" i="79" s="1"/>
  <c r="H428" i="54" s="1"/>
  <c r="K72" i="79"/>
  <c r="E72" i="79" s="1"/>
  <c r="H440" i="54" s="1"/>
  <c r="AB92" i="44"/>
  <c r="AD92" i="44" s="1"/>
  <c r="AB10" i="44"/>
  <c r="AD10" i="44" s="1"/>
  <c r="K59" i="79"/>
  <c r="E59" i="79" s="1"/>
  <c r="E437" i="54" s="1"/>
  <c r="K88" i="79"/>
  <c r="E88" i="79" s="1"/>
  <c r="I443" i="54" s="1"/>
  <c r="AB89" i="44"/>
  <c r="AD89" i="44" s="1"/>
  <c r="AB9" i="44"/>
  <c r="AD9" i="44" s="1"/>
  <c r="AB91" i="44"/>
  <c r="AD91" i="44" s="1"/>
  <c r="K63" i="79"/>
  <c r="E63" i="79" s="1"/>
  <c r="I437" i="54" s="1"/>
  <c r="AB38" i="44"/>
  <c r="AD38" i="44" s="1"/>
  <c r="AB95" i="44"/>
  <c r="AD95" i="44" s="1"/>
  <c r="K11" i="79"/>
  <c r="E11" i="79" s="1"/>
  <c r="G426" i="54" s="1"/>
  <c r="K75" i="79"/>
  <c r="E75" i="79" s="1"/>
  <c r="F441" i="54" s="1"/>
  <c r="K40" i="79"/>
  <c r="E40" i="79" s="1"/>
  <c r="F435" i="54" s="1"/>
  <c r="K17" i="79"/>
  <c r="E17" i="79" s="1"/>
  <c r="H427" i="54" s="1"/>
  <c r="K81" i="79"/>
  <c r="E81" i="79" s="1"/>
  <c r="G442" i="54" s="1"/>
  <c r="AB54" i="44"/>
  <c r="AD54" i="44" s="1"/>
  <c r="D16" i="77" s="1"/>
  <c r="G16" i="77" s="1"/>
  <c r="AB88" i="44"/>
  <c r="AD88" i="44" s="1"/>
  <c r="AB18" i="44"/>
  <c r="AD18" i="44" s="1"/>
  <c r="AB58" i="44"/>
  <c r="AD58" i="44" s="1"/>
  <c r="AB12" i="44"/>
  <c r="AD12" i="44" s="1"/>
  <c r="E65" i="77"/>
  <c r="H65" i="77" s="1"/>
  <c r="K70" i="79"/>
  <c r="E70" i="79" s="1"/>
  <c r="F440" i="54" s="1"/>
  <c r="K60" i="79"/>
  <c r="E60" i="79" s="1"/>
  <c r="F437" i="54" s="1"/>
  <c r="E33" i="77"/>
  <c r="H33" i="77" s="1"/>
  <c r="K66" i="79"/>
  <c r="E66" i="79" s="1"/>
  <c r="G438" i="54" s="1"/>
  <c r="K27" i="79"/>
  <c r="E27" i="79" s="1"/>
  <c r="H432" i="54" s="1"/>
  <c r="K10" i="79"/>
  <c r="E10" i="79" s="1"/>
  <c r="F426" i="54" s="1"/>
  <c r="K56" i="79"/>
  <c r="E56" i="79" s="1"/>
  <c r="G425" i="54" s="1"/>
  <c r="K33" i="79"/>
  <c r="E33" i="79" s="1"/>
  <c r="I433" i="54" s="1"/>
  <c r="AB31" i="44"/>
  <c r="AD31" i="44" s="1"/>
  <c r="AB106" i="44"/>
  <c r="AD106" i="44" s="1"/>
  <c r="AB60" i="44"/>
  <c r="AD60" i="44" s="1"/>
  <c r="E63" i="77"/>
  <c r="H63" i="77" s="1"/>
  <c r="E40" i="77"/>
  <c r="H40" i="77" s="1"/>
  <c r="E59" i="77"/>
  <c r="H59" i="77" s="1"/>
  <c r="AB68" i="44"/>
  <c r="AD68" i="44" s="1"/>
  <c r="K86" i="79"/>
  <c r="E86" i="79" s="1"/>
  <c r="G443" i="54" s="1"/>
  <c r="K37" i="79"/>
  <c r="E37" i="79" s="1"/>
  <c r="H434" i="54" s="1"/>
  <c r="E31" i="77"/>
  <c r="H31" i="77" s="1"/>
  <c r="AB104" i="44"/>
  <c r="AD104" i="44" s="1"/>
  <c r="AB40" i="44"/>
  <c r="AD40" i="44" s="1"/>
  <c r="E41" i="77"/>
  <c r="H41" i="77" s="1"/>
  <c r="AB8" i="44"/>
  <c r="AD8" i="44" s="1"/>
  <c r="AB43" i="44"/>
  <c r="AD43" i="44" s="1"/>
  <c r="AB30" i="44"/>
  <c r="AD30" i="44" s="1"/>
  <c r="K47" i="79"/>
  <c r="E47" i="79" s="1"/>
  <c r="H436" i="54" s="1"/>
  <c r="K53" i="79"/>
  <c r="E53" i="79" s="1"/>
  <c r="I429" i="54" s="1"/>
  <c r="K28" i="79"/>
  <c r="E28" i="79" s="1"/>
  <c r="I432" i="54" s="1"/>
  <c r="AB78" i="44"/>
  <c r="AD78" i="44" s="1"/>
  <c r="AB59" i="44"/>
  <c r="AD59" i="44" s="1"/>
  <c r="K34" i="79"/>
  <c r="E34" i="79" s="1"/>
  <c r="E434" i="54" s="1"/>
  <c r="K26" i="79"/>
  <c r="E26" i="79" s="1"/>
  <c r="G432" i="54" s="1"/>
  <c r="K76" i="79"/>
  <c r="E76" i="79" s="1"/>
  <c r="G441" i="54" s="1"/>
  <c r="K69" i="79"/>
  <c r="E69" i="79" s="1"/>
  <c r="E440" i="54" s="1"/>
  <c r="AB87" i="44"/>
  <c r="AD87" i="44" s="1"/>
  <c r="AB75" i="44"/>
  <c r="AD75" i="44" s="1"/>
  <c r="D19" i="77" s="1"/>
  <c r="G19" i="77" s="1"/>
  <c r="K18" i="79"/>
  <c r="E18" i="79" s="1"/>
  <c r="I427" i="54" s="1"/>
  <c r="K31" i="79"/>
  <c r="E31" i="79" s="1"/>
  <c r="G433" i="54" s="1"/>
  <c r="K12" i="79"/>
  <c r="E12" i="79" s="1"/>
  <c r="H426" i="54" s="1"/>
  <c r="K5" i="79"/>
  <c r="E5" i="79" s="1"/>
  <c r="F424" i="54" s="1"/>
  <c r="AB96" i="44"/>
  <c r="AD96" i="44" s="1"/>
  <c r="AB27" i="44"/>
  <c r="AD27" i="44" s="1"/>
  <c r="AB47" i="44"/>
  <c r="AD47" i="44" s="1"/>
  <c r="D15" i="77" s="1"/>
  <c r="G15" i="77" s="1"/>
  <c r="AB21" i="44"/>
  <c r="AD21" i="44" s="1"/>
  <c r="AB13" i="44"/>
  <c r="AD13" i="44" s="1"/>
  <c r="AB46" i="44"/>
  <c r="AD46" i="44" s="1"/>
  <c r="AB81" i="44"/>
  <c r="AD81" i="44" s="1"/>
  <c r="D20" i="77" s="1"/>
  <c r="G20" i="77" s="1"/>
  <c r="M77" i="79" s="1"/>
  <c r="D77" i="79" s="1"/>
  <c r="H321" i="54" s="1"/>
  <c r="AB19" i="44"/>
  <c r="AD19" i="44" s="1"/>
  <c r="K54" i="79"/>
  <c r="E54" i="79" s="1"/>
  <c r="E425" i="54" s="1"/>
  <c r="K15" i="79"/>
  <c r="E15" i="79" s="1"/>
  <c r="F427" i="54" s="1"/>
  <c r="K79" i="79"/>
  <c r="E79" i="79" s="1"/>
  <c r="E442" i="54" s="1"/>
  <c r="K44" i="79"/>
  <c r="E44" i="79" s="1"/>
  <c r="E436" i="54" s="1"/>
  <c r="K21" i="79"/>
  <c r="E21" i="79" s="1"/>
  <c r="G428" i="54" s="1"/>
  <c r="K85" i="79"/>
  <c r="E85" i="79" s="1"/>
  <c r="F443" i="54" s="1"/>
  <c r="AB62" i="44"/>
  <c r="AD62" i="44" s="1"/>
  <c r="AB63" i="44"/>
  <c r="AD63" i="44" s="1"/>
  <c r="D11" i="77"/>
  <c r="G11" i="77" s="1"/>
  <c r="H50" i="77"/>
  <c r="H28" i="77"/>
  <c r="D12" i="77" l="1"/>
  <c r="G12" i="77" s="1"/>
  <c r="D9" i="77"/>
  <c r="D13" i="77"/>
  <c r="G13" i="77" s="1"/>
  <c r="I13" i="77" s="1"/>
  <c r="D18" i="77"/>
  <c r="G18" i="77" s="1"/>
  <c r="D7" i="77"/>
  <c r="G7" i="77" s="1"/>
  <c r="M55" i="79" s="1"/>
  <c r="D55" i="79" s="1"/>
  <c r="F305" i="54" s="1"/>
  <c r="D22" i="77"/>
  <c r="G22" i="77" s="1"/>
  <c r="I22" i="77" s="1"/>
  <c r="D6" i="77"/>
  <c r="F13" i="54"/>
  <c r="I13" i="54"/>
  <c r="M30" i="79"/>
  <c r="D30" i="79" s="1"/>
  <c r="F313" i="54" s="1"/>
  <c r="F353" i="54" s="1"/>
  <c r="H67" i="77"/>
  <c r="G21" i="54"/>
  <c r="E67" i="77"/>
  <c r="H21" i="54"/>
  <c r="M29" i="79"/>
  <c r="D29" i="79" s="1"/>
  <c r="E313" i="54" s="1"/>
  <c r="E413" i="54" s="1"/>
  <c r="M33" i="79"/>
  <c r="D33" i="79" s="1"/>
  <c r="I313" i="54" s="1"/>
  <c r="I353" i="54" s="1"/>
  <c r="M32" i="79"/>
  <c r="D32" i="79" s="1"/>
  <c r="H313" i="54" s="1"/>
  <c r="H333" i="54" s="1"/>
  <c r="G9" i="77"/>
  <c r="G7" i="54" s="1"/>
  <c r="D14" i="77"/>
  <c r="G14" i="77" s="1"/>
  <c r="D17" i="77"/>
  <c r="G17" i="77" s="1"/>
  <c r="E17" i="54" s="1"/>
  <c r="D8" i="77"/>
  <c r="G8" i="77" s="1"/>
  <c r="I8" i="77" s="1"/>
  <c r="H13" i="54"/>
  <c r="G13" i="54"/>
  <c r="E13" i="54"/>
  <c r="M31" i="79"/>
  <c r="D31" i="79" s="1"/>
  <c r="G313" i="54" s="1"/>
  <c r="G353" i="54" s="1"/>
  <c r="E45" i="77"/>
  <c r="H45" i="77"/>
  <c r="M76" i="79"/>
  <c r="D76" i="79" s="1"/>
  <c r="G321" i="54" s="1"/>
  <c r="G341" i="54" s="1"/>
  <c r="F21" i="54"/>
  <c r="I20" i="77"/>
  <c r="M74" i="79"/>
  <c r="D74" i="79" s="1"/>
  <c r="E321" i="54" s="1"/>
  <c r="E341" i="54" s="1"/>
  <c r="M75" i="79"/>
  <c r="D75" i="79" s="1"/>
  <c r="F321" i="54" s="1"/>
  <c r="F341" i="54" s="1"/>
  <c r="I21" i="54"/>
  <c r="M78" i="79"/>
  <c r="D78" i="79" s="1"/>
  <c r="I321" i="54" s="1"/>
  <c r="I401" i="54" s="1"/>
  <c r="E21" i="54"/>
  <c r="I30" i="54"/>
  <c r="F94" i="36"/>
  <c r="G6" i="77"/>
  <c r="M53" i="79"/>
  <c r="D53" i="79" s="1"/>
  <c r="I309" i="54" s="1"/>
  <c r="M51" i="79"/>
  <c r="D51" i="79" s="1"/>
  <c r="G309" i="54" s="1"/>
  <c r="F9" i="54"/>
  <c r="G9" i="54"/>
  <c r="M52" i="79"/>
  <c r="D52" i="79" s="1"/>
  <c r="H309" i="54" s="1"/>
  <c r="M49" i="79"/>
  <c r="D49" i="79" s="1"/>
  <c r="E309" i="54" s="1"/>
  <c r="E9" i="54"/>
  <c r="I11" i="77"/>
  <c r="I9" i="54"/>
  <c r="M50" i="79"/>
  <c r="D50" i="79" s="1"/>
  <c r="F309" i="54" s="1"/>
  <c r="H9" i="54"/>
  <c r="I7" i="77"/>
  <c r="E393" i="54"/>
  <c r="E353" i="54"/>
  <c r="G30" i="54"/>
  <c r="F92" i="36"/>
  <c r="M68" i="79"/>
  <c r="D68" i="79" s="1"/>
  <c r="I318" i="54" s="1"/>
  <c r="M65" i="79"/>
  <c r="D65" i="79" s="1"/>
  <c r="F318" i="54" s="1"/>
  <c r="M67" i="79"/>
  <c r="D67" i="79" s="1"/>
  <c r="H318" i="54" s="1"/>
  <c r="M66" i="79"/>
  <c r="D66" i="79" s="1"/>
  <c r="G318" i="54" s="1"/>
  <c r="F18" i="54"/>
  <c r="H18" i="54"/>
  <c r="E18" i="54"/>
  <c r="M64" i="79"/>
  <c r="D64" i="79" s="1"/>
  <c r="E318" i="54" s="1"/>
  <c r="I18" i="77"/>
  <c r="G18" i="54"/>
  <c r="I18" i="54"/>
  <c r="I17" i="54"/>
  <c r="G16" i="54"/>
  <c r="I16" i="77"/>
  <c r="M46" i="79"/>
  <c r="D46" i="79" s="1"/>
  <c r="G316" i="54" s="1"/>
  <c r="E16" i="54"/>
  <c r="F16" i="54"/>
  <c r="H16" i="54"/>
  <c r="I16" i="54"/>
  <c r="M45" i="79"/>
  <c r="D45" i="79" s="1"/>
  <c r="F316" i="54" s="1"/>
  <c r="M44" i="79"/>
  <c r="D44" i="79" s="1"/>
  <c r="E316" i="54" s="1"/>
  <c r="M47" i="79"/>
  <c r="D47" i="79" s="1"/>
  <c r="H316" i="54" s="1"/>
  <c r="M48" i="79"/>
  <c r="D48" i="79" s="1"/>
  <c r="I316" i="54" s="1"/>
  <c r="M36" i="79"/>
  <c r="D36" i="79" s="1"/>
  <c r="G314" i="54" s="1"/>
  <c r="F14" i="54"/>
  <c r="I14" i="77"/>
  <c r="G14" i="54"/>
  <c r="M35" i="79"/>
  <c r="D35" i="79" s="1"/>
  <c r="F314" i="54" s="1"/>
  <c r="H14" i="54"/>
  <c r="M37" i="79"/>
  <c r="D37" i="79" s="1"/>
  <c r="H314" i="54" s="1"/>
  <c r="E14" i="54"/>
  <c r="I14" i="54"/>
  <c r="M38" i="79"/>
  <c r="D38" i="79" s="1"/>
  <c r="I314" i="54" s="1"/>
  <c r="M34" i="79"/>
  <c r="D34" i="79" s="1"/>
  <c r="E314" i="54" s="1"/>
  <c r="M28" i="79"/>
  <c r="D28" i="79" s="1"/>
  <c r="I312" i="54" s="1"/>
  <c r="M24" i="79"/>
  <c r="D24" i="79" s="1"/>
  <c r="E312" i="54" s="1"/>
  <c r="F12" i="54"/>
  <c r="M25" i="79"/>
  <c r="D25" i="79" s="1"/>
  <c r="F312" i="54" s="1"/>
  <c r="M26" i="79"/>
  <c r="D26" i="79" s="1"/>
  <c r="G312" i="54" s="1"/>
  <c r="M27" i="79"/>
  <c r="D27" i="79" s="1"/>
  <c r="H312" i="54" s="1"/>
  <c r="I12" i="54"/>
  <c r="I12" i="77"/>
  <c r="G12" i="54"/>
  <c r="E12" i="54"/>
  <c r="H12" i="54"/>
  <c r="F30" i="54"/>
  <c r="F91" i="36"/>
  <c r="H421" i="54"/>
  <c r="H401" i="54"/>
  <c r="H361" i="54"/>
  <c r="H341" i="54"/>
  <c r="H381" i="54"/>
  <c r="I10" i="77"/>
  <c r="M23" i="79"/>
  <c r="D23" i="79" s="1"/>
  <c r="I308" i="54" s="1"/>
  <c r="F8" i="54"/>
  <c r="E8" i="54"/>
  <c r="H8" i="54"/>
  <c r="M20" i="79"/>
  <c r="D20" i="79" s="1"/>
  <c r="F308" i="54" s="1"/>
  <c r="I8" i="54"/>
  <c r="M19" i="79"/>
  <c r="D19" i="79" s="1"/>
  <c r="E308" i="54" s="1"/>
  <c r="M22" i="79"/>
  <c r="D22" i="79" s="1"/>
  <c r="H308" i="54" s="1"/>
  <c r="G8" i="54"/>
  <c r="M21" i="79"/>
  <c r="D21" i="79" s="1"/>
  <c r="G308" i="54" s="1"/>
  <c r="I393" i="54"/>
  <c r="M41" i="79"/>
  <c r="D41" i="79" s="1"/>
  <c r="G315" i="54" s="1"/>
  <c r="M39" i="79"/>
  <c r="D39" i="79" s="1"/>
  <c r="E315" i="54" s="1"/>
  <c r="F15" i="54"/>
  <c r="I15" i="54"/>
  <c r="M43" i="79"/>
  <c r="D43" i="79" s="1"/>
  <c r="I315" i="54" s="1"/>
  <c r="H15" i="54"/>
  <c r="G15" i="54"/>
  <c r="I15" i="77"/>
  <c r="E15" i="54"/>
  <c r="M42" i="79"/>
  <c r="D42" i="79" s="1"/>
  <c r="H315" i="54" s="1"/>
  <c r="M40" i="79"/>
  <c r="D40" i="79" s="1"/>
  <c r="F315" i="54" s="1"/>
  <c r="M69" i="79"/>
  <c r="D69" i="79" s="1"/>
  <c r="E320" i="54" s="1"/>
  <c r="M70" i="79"/>
  <c r="D70" i="79" s="1"/>
  <c r="F320" i="54" s="1"/>
  <c r="M72" i="79"/>
  <c r="D72" i="79" s="1"/>
  <c r="H320" i="54" s="1"/>
  <c r="E20" i="54"/>
  <c r="G20" i="54"/>
  <c r="I20" i="54"/>
  <c r="M73" i="79"/>
  <c r="D73" i="79" s="1"/>
  <c r="I320" i="54" s="1"/>
  <c r="I19" i="77"/>
  <c r="H20" i="54"/>
  <c r="M71" i="79"/>
  <c r="D71" i="79" s="1"/>
  <c r="G320" i="54" s="1"/>
  <c r="F20" i="54"/>
  <c r="G22" i="54"/>
  <c r="H22" i="54"/>
  <c r="I21" i="77"/>
  <c r="E22" i="54"/>
  <c r="M79" i="79"/>
  <c r="D79" i="79" s="1"/>
  <c r="E322" i="54" s="1"/>
  <c r="I22" i="54"/>
  <c r="M80" i="79"/>
  <c r="D80" i="79" s="1"/>
  <c r="F322" i="54" s="1"/>
  <c r="F22" i="54"/>
  <c r="M83" i="79"/>
  <c r="D83" i="79" s="1"/>
  <c r="I322" i="54" s="1"/>
  <c r="M81" i="79"/>
  <c r="D81" i="79" s="1"/>
  <c r="G322" i="54" s="1"/>
  <c r="M82" i="79"/>
  <c r="D82" i="79" s="1"/>
  <c r="H322" i="54" s="1"/>
  <c r="M84" i="79" l="1"/>
  <c r="D84" i="79" s="1"/>
  <c r="E323" i="54" s="1"/>
  <c r="E4" i="54"/>
  <c r="M4" i="79"/>
  <c r="D4" i="79" s="1"/>
  <c r="E304" i="54" s="1"/>
  <c r="E333" i="54"/>
  <c r="I373" i="54"/>
  <c r="M5" i="79"/>
  <c r="E373" i="54"/>
  <c r="E361" i="54"/>
  <c r="F23" i="54"/>
  <c r="I23" i="54"/>
  <c r="M61" i="79"/>
  <c r="D61" i="79" s="1"/>
  <c r="G317" i="54" s="1"/>
  <c r="G417" i="54" s="1"/>
  <c r="H17" i="54"/>
  <c r="G5" i="54"/>
  <c r="I5" i="54"/>
  <c r="M63" i="79"/>
  <c r="D63" i="79" s="1"/>
  <c r="I317" i="54" s="1"/>
  <c r="I377" i="54" s="1"/>
  <c r="F17" i="54"/>
  <c r="H5" i="54"/>
  <c r="M62" i="79"/>
  <c r="D62" i="79" s="1"/>
  <c r="H317" i="54" s="1"/>
  <c r="H417" i="54" s="1"/>
  <c r="M57" i="79"/>
  <c r="D57" i="79" s="1"/>
  <c r="H305" i="54" s="1"/>
  <c r="H325" i="54" s="1"/>
  <c r="M60" i="79"/>
  <c r="D60" i="79" s="1"/>
  <c r="F317" i="54" s="1"/>
  <c r="F417" i="54" s="1"/>
  <c r="G17" i="54"/>
  <c r="I17" i="77"/>
  <c r="E5" i="54"/>
  <c r="M58" i="79"/>
  <c r="D58" i="79" s="1"/>
  <c r="I305" i="54" s="1"/>
  <c r="I405" i="54" s="1"/>
  <c r="M56" i="79"/>
  <c r="D56" i="79" s="1"/>
  <c r="G305" i="54" s="1"/>
  <c r="G385" i="54" s="1"/>
  <c r="M88" i="79"/>
  <c r="D88" i="79" s="1"/>
  <c r="I323" i="54" s="1"/>
  <c r="I423" i="54" s="1"/>
  <c r="M85" i="79"/>
  <c r="D85" i="79" s="1"/>
  <c r="F323" i="54" s="1"/>
  <c r="F343" i="54" s="1"/>
  <c r="F401" i="54"/>
  <c r="I413" i="54"/>
  <c r="M87" i="79"/>
  <c r="D87" i="79" s="1"/>
  <c r="H323" i="54" s="1"/>
  <c r="H403" i="54" s="1"/>
  <c r="E23" i="54"/>
  <c r="G23" i="54"/>
  <c r="F381" i="54"/>
  <c r="I333" i="54"/>
  <c r="H23" i="54"/>
  <c r="M86" i="79"/>
  <c r="D86" i="79" s="1"/>
  <c r="G323" i="54" s="1"/>
  <c r="G403" i="54" s="1"/>
  <c r="M59" i="79"/>
  <c r="D59" i="79" s="1"/>
  <c r="E317" i="54" s="1"/>
  <c r="E397" i="54" s="1"/>
  <c r="M54" i="79"/>
  <c r="D54" i="79" s="1"/>
  <c r="E305" i="54" s="1"/>
  <c r="E345" i="54" s="1"/>
  <c r="F5" i="54"/>
  <c r="I381" i="54"/>
  <c r="I341" i="54"/>
  <c r="H393" i="54"/>
  <c r="H413" i="54"/>
  <c r="H373" i="54"/>
  <c r="H353" i="54"/>
  <c r="F373" i="54"/>
  <c r="F413" i="54"/>
  <c r="F333" i="54"/>
  <c r="F393" i="54"/>
  <c r="F361" i="54"/>
  <c r="F421" i="54"/>
  <c r="G421" i="54"/>
  <c r="M11" i="79"/>
  <c r="D11" i="79" s="1"/>
  <c r="G306" i="54" s="1"/>
  <c r="G386" i="54" s="1"/>
  <c r="G373" i="54"/>
  <c r="M9" i="79"/>
  <c r="D9" i="79" s="1"/>
  <c r="E306" i="54" s="1"/>
  <c r="E406" i="54" s="1"/>
  <c r="F7" i="54"/>
  <c r="G333" i="54"/>
  <c r="M13" i="79"/>
  <c r="D13" i="79" s="1"/>
  <c r="I306" i="54" s="1"/>
  <c r="I406" i="54" s="1"/>
  <c r="D23" i="77"/>
  <c r="M16" i="79"/>
  <c r="D16" i="79" s="1"/>
  <c r="G307" i="54" s="1"/>
  <c r="G407" i="54" s="1"/>
  <c r="G413" i="54"/>
  <c r="M12" i="79"/>
  <c r="D12" i="79" s="1"/>
  <c r="H306" i="54" s="1"/>
  <c r="H366" i="54" s="1"/>
  <c r="G6" i="54"/>
  <c r="I7" i="54"/>
  <c r="H7" i="54"/>
  <c r="M14" i="79"/>
  <c r="D14" i="79" s="1"/>
  <c r="E307" i="54" s="1"/>
  <c r="G393" i="54"/>
  <c r="I6" i="54"/>
  <c r="F6" i="54"/>
  <c r="M17" i="79"/>
  <c r="D17" i="79" s="1"/>
  <c r="H307" i="54" s="1"/>
  <c r="M15" i="79"/>
  <c r="D15" i="79" s="1"/>
  <c r="F307" i="54" s="1"/>
  <c r="E7" i="54"/>
  <c r="E6" i="54"/>
  <c r="M10" i="79"/>
  <c r="D10" i="79" s="1"/>
  <c r="F306" i="54" s="1"/>
  <c r="F366" i="54" s="1"/>
  <c r="H6" i="54"/>
  <c r="M18" i="79"/>
  <c r="D18" i="79" s="1"/>
  <c r="I307" i="54" s="1"/>
  <c r="I9" i="77"/>
  <c r="I421" i="54"/>
  <c r="E381" i="54"/>
  <c r="G381" i="54"/>
  <c r="I361" i="54"/>
  <c r="E401" i="54"/>
  <c r="G401" i="54"/>
  <c r="E421" i="54"/>
  <c r="G361" i="54"/>
  <c r="F362" i="54"/>
  <c r="F342" i="54"/>
  <c r="F382" i="54"/>
  <c r="F402" i="54"/>
  <c r="F422" i="54"/>
  <c r="I380" i="54"/>
  <c r="I340" i="54"/>
  <c r="I420" i="54"/>
  <c r="I400" i="54"/>
  <c r="I360" i="54"/>
  <c r="H400" i="54"/>
  <c r="H360" i="54"/>
  <c r="H380" i="54"/>
  <c r="H420" i="54"/>
  <c r="H340" i="54"/>
  <c r="I355" i="54"/>
  <c r="I415" i="54"/>
  <c r="I395" i="54"/>
  <c r="I375" i="54"/>
  <c r="I335" i="54"/>
  <c r="G415" i="54"/>
  <c r="G395" i="54"/>
  <c r="G335" i="54"/>
  <c r="G375" i="54"/>
  <c r="G355" i="54"/>
  <c r="H368" i="54"/>
  <c r="H408" i="54"/>
  <c r="H328" i="54"/>
  <c r="H388" i="54"/>
  <c r="H348" i="54"/>
  <c r="G363" i="54"/>
  <c r="H412" i="54"/>
  <c r="H372" i="54"/>
  <c r="H332" i="54"/>
  <c r="H392" i="54"/>
  <c r="H352" i="54"/>
  <c r="E392" i="54"/>
  <c r="E352" i="54"/>
  <c r="E412" i="54"/>
  <c r="E332" i="54"/>
  <c r="E372" i="54"/>
  <c r="E354" i="54"/>
  <c r="E394" i="54"/>
  <c r="E334" i="54"/>
  <c r="E374" i="54"/>
  <c r="E414" i="54"/>
  <c r="H374" i="54"/>
  <c r="H394" i="54"/>
  <c r="H354" i="54"/>
  <c r="H414" i="54"/>
  <c r="H334" i="54"/>
  <c r="I336" i="54"/>
  <c r="I416" i="54"/>
  <c r="I376" i="54"/>
  <c r="I396" i="54"/>
  <c r="I356" i="54"/>
  <c r="G356" i="54"/>
  <c r="G396" i="54"/>
  <c r="G416" i="54"/>
  <c r="G376" i="54"/>
  <c r="G336" i="54"/>
  <c r="H418" i="54"/>
  <c r="H378" i="54"/>
  <c r="H338" i="54"/>
  <c r="H358" i="54"/>
  <c r="H398" i="54"/>
  <c r="I365" i="54"/>
  <c r="F369" i="54"/>
  <c r="F329" i="54"/>
  <c r="F349" i="54"/>
  <c r="F389" i="54"/>
  <c r="F409" i="54"/>
  <c r="E329" i="54"/>
  <c r="E409" i="54"/>
  <c r="E349" i="54"/>
  <c r="E389" i="54"/>
  <c r="E369" i="54"/>
  <c r="G369" i="54"/>
  <c r="G329" i="54"/>
  <c r="G389" i="54"/>
  <c r="G349" i="54"/>
  <c r="G409" i="54"/>
  <c r="H422" i="54"/>
  <c r="H382" i="54"/>
  <c r="H342" i="54"/>
  <c r="H402" i="54"/>
  <c r="H362" i="54"/>
  <c r="H30" i="54"/>
  <c r="F93" i="36"/>
  <c r="G422" i="54"/>
  <c r="G342" i="54"/>
  <c r="G382" i="54"/>
  <c r="G402" i="54"/>
  <c r="G362" i="54"/>
  <c r="G340" i="54"/>
  <c r="G420" i="54"/>
  <c r="G400" i="54"/>
  <c r="G360" i="54"/>
  <c r="G380" i="54"/>
  <c r="F420" i="54"/>
  <c r="F400" i="54"/>
  <c r="F360" i="54"/>
  <c r="F340" i="54"/>
  <c r="F380" i="54"/>
  <c r="E408" i="54"/>
  <c r="E388" i="54"/>
  <c r="E328" i="54"/>
  <c r="E368" i="54"/>
  <c r="E348" i="54"/>
  <c r="E383" i="54"/>
  <c r="E403" i="54"/>
  <c r="E343" i="54"/>
  <c r="E423" i="54"/>
  <c r="E363" i="54"/>
  <c r="G352" i="54"/>
  <c r="G412" i="54"/>
  <c r="G392" i="54"/>
  <c r="G372" i="54"/>
  <c r="G332" i="54"/>
  <c r="I392" i="54"/>
  <c r="I372" i="54"/>
  <c r="I412" i="54"/>
  <c r="I352" i="54"/>
  <c r="I332" i="54"/>
  <c r="I394" i="54"/>
  <c r="I354" i="54"/>
  <c r="I414" i="54"/>
  <c r="I334" i="54"/>
  <c r="I374" i="54"/>
  <c r="H416" i="54"/>
  <c r="H396" i="54"/>
  <c r="H376" i="54"/>
  <c r="H336" i="54"/>
  <c r="H356" i="54"/>
  <c r="F358" i="54"/>
  <c r="F418" i="54"/>
  <c r="F378" i="54"/>
  <c r="F398" i="54"/>
  <c r="F338" i="54"/>
  <c r="E94" i="44"/>
  <c r="F405" i="54"/>
  <c r="F345" i="54"/>
  <c r="F325" i="54"/>
  <c r="F385" i="54"/>
  <c r="F365" i="54"/>
  <c r="H329" i="54"/>
  <c r="H389" i="54"/>
  <c r="H369" i="54"/>
  <c r="H409" i="54"/>
  <c r="H349" i="54"/>
  <c r="I369" i="54"/>
  <c r="I409" i="54"/>
  <c r="I349" i="54"/>
  <c r="I329" i="54"/>
  <c r="I389" i="54"/>
  <c r="E30" i="54"/>
  <c r="F90" i="36"/>
  <c r="I402" i="54"/>
  <c r="I362" i="54"/>
  <c r="I342" i="54"/>
  <c r="I422" i="54"/>
  <c r="I382" i="54"/>
  <c r="E382" i="54"/>
  <c r="E402" i="54"/>
  <c r="E342" i="54"/>
  <c r="E422" i="54"/>
  <c r="E362" i="54"/>
  <c r="E380" i="54"/>
  <c r="E340" i="54"/>
  <c r="E360" i="54"/>
  <c r="E420" i="54"/>
  <c r="E400" i="54"/>
  <c r="F395" i="54"/>
  <c r="F375" i="54"/>
  <c r="F335" i="54"/>
  <c r="F415" i="54"/>
  <c r="F355" i="54"/>
  <c r="G328" i="54"/>
  <c r="G388" i="54"/>
  <c r="G348" i="54"/>
  <c r="G368" i="54"/>
  <c r="G408" i="54"/>
  <c r="E93" i="44"/>
  <c r="F352" i="54"/>
  <c r="F412" i="54"/>
  <c r="F392" i="54"/>
  <c r="F332" i="54"/>
  <c r="F372" i="54"/>
  <c r="F374" i="54"/>
  <c r="F394" i="54"/>
  <c r="F414" i="54"/>
  <c r="F354" i="54"/>
  <c r="F334" i="54"/>
  <c r="G414" i="54"/>
  <c r="G334" i="54"/>
  <c r="G394" i="54"/>
  <c r="G374" i="54"/>
  <c r="G354" i="54"/>
  <c r="E336" i="54"/>
  <c r="E356" i="54"/>
  <c r="E416" i="54"/>
  <c r="E396" i="54"/>
  <c r="E376" i="54"/>
  <c r="F337" i="54"/>
  <c r="I398" i="54"/>
  <c r="I378" i="54"/>
  <c r="I358" i="54"/>
  <c r="I338" i="54"/>
  <c r="I418" i="54"/>
  <c r="E96" i="44"/>
  <c r="H355" i="54"/>
  <c r="H395" i="54"/>
  <c r="H335" i="54"/>
  <c r="H375" i="54"/>
  <c r="H415" i="54"/>
  <c r="E335" i="54"/>
  <c r="E355" i="54"/>
  <c r="E395" i="54"/>
  <c r="E375" i="54"/>
  <c r="E415" i="54"/>
  <c r="F408" i="54"/>
  <c r="F348" i="54"/>
  <c r="F388" i="54"/>
  <c r="F368" i="54"/>
  <c r="F328" i="54"/>
  <c r="I368" i="54"/>
  <c r="I328" i="54"/>
  <c r="I348" i="54"/>
  <c r="I388" i="54"/>
  <c r="I408" i="54"/>
  <c r="F396" i="54"/>
  <c r="F336" i="54"/>
  <c r="F356" i="54"/>
  <c r="F376" i="54"/>
  <c r="F416" i="54"/>
  <c r="E358" i="54"/>
  <c r="E418" i="54"/>
  <c r="E378" i="54"/>
  <c r="E338" i="54"/>
  <c r="E398" i="54"/>
  <c r="G418" i="54"/>
  <c r="G398" i="54"/>
  <c r="G378" i="54"/>
  <c r="G338" i="54"/>
  <c r="G358" i="54"/>
  <c r="G23" i="77"/>
  <c r="F4" i="54"/>
  <c r="M8" i="79"/>
  <c r="D8" i="79" s="1"/>
  <c r="I304" i="54" s="1"/>
  <c r="D5" i="79"/>
  <c r="F304" i="54" s="1"/>
  <c r="G4" i="54"/>
  <c r="M7" i="79"/>
  <c r="D7" i="79" s="1"/>
  <c r="H304" i="54" s="1"/>
  <c r="I4" i="54"/>
  <c r="M6" i="79"/>
  <c r="D6" i="79" s="1"/>
  <c r="G304" i="54" s="1"/>
  <c r="I6" i="77"/>
  <c r="H4" i="54"/>
  <c r="F397" i="54" l="1"/>
  <c r="F357" i="54"/>
  <c r="F377" i="54"/>
  <c r="I385" i="54"/>
  <c r="I346" i="54"/>
  <c r="G383" i="54"/>
  <c r="F326" i="54"/>
  <c r="I326" i="54"/>
  <c r="G343" i="54"/>
  <c r="G423" i="54"/>
  <c r="I386" i="54"/>
  <c r="I366" i="54"/>
  <c r="F386" i="54"/>
  <c r="F406" i="54"/>
  <c r="I345" i="54"/>
  <c r="H386" i="54"/>
  <c r="I325" i="54"/>
  <c r="E346" i="54"/>
  <c r="E417" i="54"/>
  <c r="H406" i="54"/>
  <c r="H345" i="54"/>
  <c r="H385" i="54"/>
  <c r="H383" i="54"/>
  <c r="E325" i="54"/>
  <c r="H377" i="54"/>
  <c r="H423" i="54"/>
  <c r="E365" i="54"/>
  <c r="H357" i="54"/>
  <c r="G377" i="54"/>
  <c r="G357" i="54"/>
  <c r="I363" i="54"/>
  <c r="H363" i="54"/>
  <c r="I357" i="54"/>
  <c r="I383" i="54"/>
  <c r="I337" i="54"/>
  <c r="G397" i="54"/>
  <c r="E357" i="54"/>
  <c r="G345" i="54"/>
  <c r="E377" i="54"/>
  <c r="G325" i="54"/>
  <c r="G405" i="54"/>
  <c r="H343" i="54"/>
  <c r="I343" i="54"/>
  <c r="I403" i="54"/>
  <c r="E385" i="54"/>
  <c r="H337" i="54"/>
  <c r="H397" i="54"/>
  <c r="I397" i="54"/>
  <c r="G337" i="54"/>
  <c r="E405" i="54"/>
  <c r="I417" i="54"/>
  <c r="H405" i="54"/>
  <c r="H365" i="54"/>
  <c r="E337" i="54"/>
  <c r="G365" i="54"/>
  <c r="F403" i="54"/>
  <c r="G406" i="54"/>
  <c r="F363" i="54"/>
  <c r="F423" i="54"/>
  <c r="F383" i="54"/>
  <c r="G346" i="54"/>
  <c r="G326" i="54"/>
  <c r="G366" i="54"/>
  <c r="G327" i="54"/>
  <c r="G367" i="54"/>
  <c r="G387" i="54"/>
  <c r="E326" i="54"/>
  <c r="G347" i="54"/>
  <c r="E366" i="54"/>
  <c r="E386" i="54"/>
  <c r="I327" i="54"/>
  <c r="I407" i="54"/>
  <c r="I387" i="54"/>
  <c r="I367" i="54"/>
  <c r="I347" i="54"/>
  <c r="F346" i="54"/>
  <c r="H346" i="54"/>
  <c r="F407" i="54"/>
  <c r="F387" i="54"/>
  <c r="F367" i="54"/>
  <c r="F327" i="54"/>
  <c r="F347" i="54"/>
  <c r="H387" i="54"/>
  <c r="H347" i="54"/>
  <c r="H327" i="54"/>
  <c r="H367" i="54"/>
  <c r="H407" i="54"/>
  <c r="E347" i="54"/>
  <c r="E407" i="54"/>
  <c r="E387" i="54"/>
  <c r="E367" i="54"/>
  <c r="E327" i="54"/>
  <c r="H326" i="54"/>
  <c r="I23" i="77"/>
  <c r="G384" i="54"/>
  <c r="G404" i="54"/>
  <c r="G324" i="54"/>
  <c r="G364" i="54"/>
  <c r="G344" i="54"/>
  <c r="F384" i="54"/>
  <c r="F404" i="54"/>
  <c r="F364" i="54"/>
  <c r="F324" i="54"/>
  <c r="F344" i="54"/>
  <c r="E364" i="54"/>
  <c r="E404" i="54"/>
  <c r="E384" i="54"/>
  <c r="E344" i="54"/>
  <c r="E324" i="54"/>
  <c r="I384" i="54"/>
  <c r="I344" i="54"/>
  <c r="I404" i="54"/>
  <c r="I364" i="54"/>
  <c r="I324" i="54"/>
  <c r="H344" i="54"/>
  <c r="H364" i="54"/>
  <c r="H384" i="54"/>
  <c r="H324" i="54"/>
  <c r="H404" i="54"/>
  <c r="E92" i="44"/>
  <c r="E95" i="44"/>
  <c r="I50" i="54" l="1"/>
  <c r="G94" i="36"/>
  <c r="G50" i="54"/>
  <c r="G92" i="36"/>
  <c r="H50" i="54" l="1"/>
  <c r="G93" i="36"/>
  <c r="E50" i="54"/>
  <c r="G90" i="36"/>
  <c r="F50" i="54"/>
  <c r="G91" i="36"/>
  <c r="J96" i="44"/>
  <c r="G96" i="44"/>
  <c r="F96" i="44"/>
  <c r="H96" i="44"/>
  <c r="I96" i="44"/>
  <c r="J94" i="44"/>
  <c r="G94" i="44"/>
  <c r="F94" i="44"/>
  <c r="H94" i="44"/>
  <c r="I94" i="44"/>
  <c r="J95" i="44" l="1"/>
  <c r="F95" i="44"/>
  <c r="G95" i="44"/>
  <c r="H95" i="44"/>
  <c r="I95" i="44"/>
  <c r="J93" i="44"/>
  <c r="F93" i="44"/>
  <c r="G93" i="44"/>
  <c r="H93" i="44"/>
  <c r="I93" i="44"/>
  <c r="J92" i="44"/>
  <c r="G92" i="44"/>
  <c r="F92" i="44"/>
  <c r="H92" i="44"/>
  <c r="I92" i="44"/>
</calcChain>
</file>

<file path=xl/sharedStrings.xml><?xml version="1.0" encoding="utf-8"?>
<sst xmlns="http://schemas.openxmlformats.org/spreadsheetml/2006/main" count="3379" uniqueCount="331">
  <si>
    <t>hhdu_hh</t>
  </si>
  <si>
    <t>hhm_hh</t>
  </si>
  <si>
    <t>lnhh_t</t>
  </si>
  <si>
    <t>lnrev_hh</t>
  </si>
  <si>
    <t>eq_lpcf62</t>
  </si>
  <si>
    <t>incomescore</t>
  </si>
  <si>
    <t>totalmigration</t>
  </si>
  <si>
    <t>_cons</t>
  </si>
  <si>
    <t>hh_t</t>
  </si>
  <si>
    <t>rev_hh</t>
  </si>
  <si>
    <t>unit</t>
  </si>
  <si>
    <t>%</t>
  </si>
  <si>
    <t>000s</t>
  </si>
  <si>
    <t>ln(£)</t>
  </si>
  <si>
    <t>£</t>
  </si>
  <si>
    <t>£m</t>
  </si>
  <si>
    <t>nr</t>
  </si>
  <si>
    <t>Dual service connections</t>
  </si>
  <si>
    <t>Total households connected</t>
  </si>
  <si>
    <t>Purpose</t>
  </si>
  <si>
    <t>ANH</t>
  </si>
  <si>
    <t>NES</t>
  </si>
  <si>
    <t>NWT</t>
  </si>
  <si>
    <t>SRN</t>
  </si>
  <si>
    <t>SVT</t>
  </si>
  <si>
    <t>TMS</t>
  </si>
  <si>
    <t>WSX</t>
  </si>
  <si>
    <t>YKY</t>
  </si>
  <si>
    <t>AFW</t>
  </si>
  <si>
    <t>BRL</t>
  </si>
  <si>
    <t>DVW</t>
  </si>
  <si>
    <t>PRT</t>
  </si>
  <si>
    <t>SES</t>
  </si>
  <si>
    <t>SEW</t>
  </si>
  <si>
    <t>SSC</t>
  </si>
  <si>
    <t>SWB</t>
  </si>
  <si>
    <t>ln(nr)</t>
  </si>
  <si>
    <t>Transformed data</t>
  </si>
  <si>
    <t>Company</t>
  </si>
  <si>
    <t>Triangulation weights</t>
  </si>
  <si>
    <t>Model</t>
  </si>
  <si>
    <t>WSH</t>
  </si>
  <si>
    <t>Average bill size</t>
  </si>
  <si>
    <t>codecombine</t>
  </si>
  <si>
    <t>companycode</t>
  </si>
  <si>
    <t>financialyear</t>
  </si>
  <si>
    <t>Combination of company and year</t>
  </si>
  <si>
    <t>Company unique code</t>
  </si>
  <si>
    <t>Financial year</t>
  </si>
  <si>
    <t>2020-21</t>
  </si>
  <si>
    <t>2021-22</t>
  </si>
  <si>
    <t>2022-23</t>
  </si>
  <si>
    <t>2023-24</t>
  </si>
  <si>
    <t>2024-25</t>
  </si>
  <si>
    <t>Acronym</t>
  </si>
  <si>
    <t>Reference</t>
  </si>
  <si>
    <t>Item description</t>
  </si>
  <si>
    <t>Unit</t>
  </si>
  <si>
    <t>ANH21</t>
  </si>
  <si>
    <t>ANH22</t>
  </si>
  <si>
    <t>ANH23</t>
  </si>
  <si>
    <t>ANH24</t>
  </si>
  <si>
    <t>ANH25</t>
  </si>
  <si>
    <t>NES21</t>
  </si>
  <si>
    <t>NES22</t>
  </si>
  <si>
    <t>NES23</t>
  </si>
  <si>
    <t>NES24</t>
  </si>
  <si>
    <t>NES25</t>
  </si>
  <si>
    <t>NWT21</t>
  </si>
  <si>
    <t>NWT22</t>
  </si>
  <si>
    <t>NWT23</t>
  </si>
  <si>
    <t>NWT24</t>
  </si>
  <si>
    <t>NWT25</t>
  </si>
  <si>
    <t>SRN21</t>
  </si>
  <si>
    <t>SRN22</t>
  </si>
  <si>
    <t>SRN23</t>
  </si>
  <si>
    <t>SRN24</t>
  </si>
  <si>
    <t>SRN25</t>
  </si>
  <si>
    <t>SVT21</t>
  </si>
  <si>
    <t>SVT22</t>
  </si>
  <si>
    <t>SVT23</t>
  </si>
  <si>
    <t>SVT24</t>
  </si>
  <si>
    <t>SVT25</t>
  </si>
  <si>
    <t>SWB21</t>
  </si>
  <si>
    <t>SWB22</t>
  </si>
  <si>
    <t>SWB23</t>
  </si>
  <si>
    <t>SWB24</t>
  </si>
  <si>
    <t>SWB25</t>
  </si>
  <si>
    <t>TMS21</t>
  </si>
  <si>
    <t>TMS22</t>
  </si>
  <si>
    <t>TMS23</t>
  </si>
  <si>
    <t>TMS24</t>
  </si>
  <si>
    <t>TMS25</t>
  </si>
  <si>
    <t>WSH21</t>
  </si>
  <si>
    <t>WSH22</t>
  </si>
  <si>
    <t>WSH23</t>
  </si>
  <si>
    <t>WSH24</t>
  </si>
  <si>
    <t>WSH25</t>
  </si>
  <si>
    <t>WSX21</t>
  </si>
  <si>
    <t>WSX22</t>
  </si>
  <si>
    <t>WSX23</t>
  </si>
  <si>
    <t>WSX24</t>
  </si>
  <si>
    <t>WSX25</t>
  </si>
  <si>
    <t>YKY21</t>
  </si>
  <si>
    <t>YKY22</t>
  </si>
  <si>
    <t>YKY23</t>
  </si>
  <si>
    <t>YKY24</t>
  </si>
  <si>
    <t>YKY25</t>
  </si>
  <si>
    <t>AFW21</t>
  </si>
  <si>
    <t>AFW22</t>
  </si>
  <si>
    <t>AFW23</t>
  </si>
  <si>
    <t>AFW24</t>
  </si>
  <si>
    <t>AFW25</t>
  </si>
  <si>
    <t>BRL21</t>
  </si>
  <si>
    <t>BRL22</t>
  </si>
  <si>
    <t>BRL23</t>
  </si>
  <si>
    <t>BRL24</t>
  </si>
  <si>
    <t>BRL25</t>
  </si>
  <si>
    <t>DVW21</t>
  </si>
  <si>
    <t>DVW22</t>
  </si>
  <si>
    <t>DVW23</t>
  </si>
  <si>
    <t>DVW24</t>
  </si>
  <si>
    <t>DVW25</t>
  </si>
  <si>
    <t>PRT21</t>
  </si>
  <si>
    <t>PRT22</t>
  </si>
  <si>
    <t>PRT23</t>
  </si>
  <si>
    <t>PRT24</t>
  </si>
  <si>
    <t>PRT25</t>
  </si>
  <si>
    <t>SES21</t>
  </si>
  <si>
    <t>SES22</t>
  </si>
  <si>
    <t>SES23</t>
  </si>
  <si>
    <t>SES24</t>
  </si>
  <si>
    <t>SES25</t>
  </si>
  <si>
    <t>SEW21</t>
  </si>
  <si>
    <t>SEW22</t>
  </si>
  <si>
    <t>SEW23</t>
  </si>
  <si>
    <t>SEW24</t>
  </si>
  <si>
    <t>SEW25</t>
  </si>
  <si>
    <t>SSC21</t>
  </si>
  <si>
    <t>SSC22</t>
  </si>
  <si>
    <t>SSC23</t>
  </si>
  <si>
    <t>SSC24</t>
  </si>
  <si>
    <t>SSC25</t>
  </si>
  <si>
    <t>Total</t>
  </si>
  <si>
    <t>Frontier shift</t>
  </si>
  <si>
    <t>Modelled total costs</t>
  </si>
  <si>
    <t>ROCtriangulationweight</t>
  </si>
  <si>
    <t>RDCtriangulationweight</t>
  </si>
  <si>
    <t>RTCtriangulationweights</t>
  </si>
  <si>
    <t>finaltriangulationweights</t>
  </si>
  <si>
    <t>Modelled costs</t>
  </si>
  <si>
    <t>Text</t>
  </si>
  <si>
    <t>Price Review 2019</t>
  </si>
  <si>
    <t>PR19QA_CA012_OUT_1</t>
  </si>
  <si>
    <t>PR19QA_CA012_OUT_2</t>
  </si>
  <si>
    <t>PR19CA012_OUT</t>
  </si>
  <si>
    <t>SVE</t>
  </si>
  <si>
    <t>HDD</t>
  </si>
  <si>
    <t>5yrscatchupchallenge</t>
  </si>
  <si>
    <t>C_RRTOTEX_PR19CA012</t>
  </si>
  <si>
    <t>C_R3100TOT_PR19CA012</t>
  </si>
  <si>
    <t>C_REV_HH_PR19CA012</t>
  </si>
  <si>
    <t>C_HHDU_HH_PR19CA012</t>
  </si>
  <si>
    <t>C_HHM_HH_PR19CA012</t>
  </si>
  <si>
    <t>C_EQ_LPCF62_PR19CA012</t>
  </si>
  <si>
    <t>C_INCOMESCORE_PR19CA012</t>
  </si>
  <si>
    <t>C_TOTALMIGRATION_PR19CA012</t>
  </si>
  <si>
    <t>C_WEIGHT_ROC_PR19CA012</t>
  </si>
  <si>
    <t>C_WEIGHT_RDC_PR19CA012</t>
  </si>
  <si>
    <t>C_WEIGHT_TD_RTC_PR19CA012</t>
  </si>
  <si>
    <t>C_WEIGHT_BU_RTC_PR19CA012</t>
  </si>
  <si>
    <t>C_CU_5_PR19CA012</t>
  </si>
  <si>
    <t>Other retail costs</t>
  </si>
  <si>
    <t>Bad debt costs</t>
  </si>
  <si>
    <t>Total retail costs</t>
  </si>
  <si>
    <t>Households with default (Equifax)</t>
  </si>
  <si>
    <t>Combined Income Score for Eng and Wales (IMD)</t>
  </si>
  <si>
    <t>Total internal + international migration</t>
  </si>
  <si>
    <t>Total Households Connected</t>
  </si>
  <si>
    <t>Metered customers</t>
  </si>
  <si>
    <t>Constant</t>
  </si>
  <si>
    <t>Average bill</t>
  </si>
  <si>
    <t>Variables code</t>
  </si>
  <si>
    <t>Variable</t>
  </si>
  <si>
    <t>Income score for Eng and Wales (IMD)</t>
  </si>
  <si>
    <t>Forecast of cost drivers</t>
  </si>
  <si>
    <t>Efficiency challenge parameters</t>
  </si>
  <si>
    <t>ROC2_t</t>
  </si>
  <si>
    <t>ROC4_t</t>
  </si>
  <si>
    <t>RDC1_t</t>
  </si>
  <si>
    <t>RDC20_t</t>
  </si>
  <si>
    <t>RTC3_t</t>
  </si>
  <si>
    <t>RTC4_t</t>
  </si>
  <si>
    <t>RTC8_t</t>
  </si>
  <si>
    <t>ROC
triangulated</t>
  </si>
  <si>
    <t>RDC
triangulated</t>
  </si>
  <si>
    <t>RTC
triangulated</t>
  </si>
  <si>
    <t>Top down</t>
  </si>
  <si>
    <t>Bottom up</t>
  </si>
  <si>
    <t>Modelled unit costs (£)</t>
  </si>
  <si>
    <t>ROC2_hh</t>
  </si>
  <si>
    <t>ROC4_hh</t>
  </si>
  <si>
    <t>RDC1_hh</t>
  </si>
  <si>
    <t>RDC20_hh</t>
  </si>
  <si>
    <t>RTC3_hh</t>
  </si>
  <si>
    <t>RTC4_hh</t>
  </si>
  <si>
    <t>RTC8_hh</t>
  </si>
  <si>
    <t>Random effects</t>
  </si>
  <si>
    <t xml:space="preserve">Model weights </t>
  </si>
  <si>
    <t>Stata model code</t>
  </si>
  <si>
    <t>reROC2</t>
  </si>
  <si>
    <t>reROC4</t>
  </si>
  <si>
    <t>reRDC1</t>
  </si>
  <si>
    <t>reRDC20</t>
  </si>
  <si>
    <t>reRTC3</t>
  </si>
  <si>
    <t>reRTC4</t>
  </si>
  <si>
    <t>reRTC8</t>
  </si>
  <si>
    <t>No. of obs</t>
  </si>
  <si>
    <t>SVE21</t>
  </si>
  <si>
    <t>SVE22</t>
  </si>
  <si>
    <t>SVE23</t>
  </si>
  <si>
    <t>SVE24</t>
  </si>
  <si>
    <t>SVE25</t>
  </si>
  <si>
    <t>HDD21</t>
  </si>
  <si>
    <t>HDD22</t>
  </si>
  <si>
    <t>HDD23</t>
  </si>
  <si>
    <t>HDD24</t>
  </si>
  <si>
    <t>HDD25</t>
  </si>
  <si>
    <t>Price Review 2020</t>
  </si>
  <si>
    <t>company</t>
  </si>
  <si>
    <t>no. of obs</t>
  </si>
  <si>
    <t>Year</t>
  </si>
  <si>
    <t>SVH</t>
  </si>
  <si>
    <t>Input price pressure</t>
  </si>
  <si>
    <t>Modelled totex - triangulated</t>
  </si>
  <si>
    <t>Forward looking efficiency challenge</t>
  </si>
  <si>
    <t>Upper quartile</t>
  </si>
  <si>
    <t>Rate of productivity improvement</t>
  </si>
  <si>
    <t>Within sector catch-up - historical</t>
  </si>
  <si>
    <t>Within sector catch-up - forward looking</t>
  </si>
  <si>
    <t>Wider economy catch-up</t>
  </si>
  <si>
    <t>select &gt;&gt;</t>
  </si>
  <si>
    <t>lookup id to F-outputs</t>
  </si>
  <si>
    <t>SVE/HDD Allocation of totex</t>
  </si>
  <si>
    <t>Feeder model 4: Calculation of our efficient cost allowances</t>
  </si>
  <si>
    <t>Efficiency score - business plan</t>
  </si>
  <si>
    <t>FL upper quartile</t>
  </si>
  <si>
    <t>Residential retail modelled costs, £m</t>
  </si>
  <si>
    <t>Efficient costs</t>
  </si>
  <si>
    <t>Net total frontier shift</t>
  </si>
  <si>
    <t>Final AMP7 allowances</t>
  </si>
  <si>
    <t>Cost adjustment claims</t>
  </si>
  <si>
    <t>Symmetrical adjustments</t>
  </si>
  <si>
    <t>Business plan costs - residential retail</t>
  </si>
  <si>
    <t>Code</t>
  </si>
  <si>
    <t>Coeffs</t>
  </si>
  <si>
    <t>TC_tr</t>
  </si>
  <si>
    <t xml:space="preserve">Company forecast of number of connected households (000s) </t>
  </si>
  <si>
    <t>Data for financial model inputs</t>
  </si>
  <si>
    <t>Transformed data for financial model inputs</t>
  </si>
  <si>
    <t>£/hh</t>
  </si>
  <si>
    <t>C_DEP_PR19CA012</t>
  </si>
  <si>
    <t>C_RRCAPEX_PR19CA012</t>
  </si>
  <si>
    <t>C_COSTPERHH1_PR19CA012</t>
  </si>
  <si>
    <t>C_COSTPERHH2_PR19CA012</t>
  </si>
  <si>
    <t>C_COSTPERHH3_PR19CA012</t>
  </si>
  <si>
    <t>C_COSTPERHH4_PR19CA012</t>
  </si>
  <si>
    <t>C_COSTPERHH5_PR19CA012</t>
  </si>
  <si>
    <t>C_COSTPERHH6_PR19CA012</t>
  </si>
  <si>
    <t>Total retail</t>
  </si>
  <si>
    <t>Bad debt and debt management</t>
  </si>
  <si>
    <t>DC_t</t>
  </si>
  <si>
    <t>OC_tr</t>
  </si>
  <si>
    <t>Submitted modelled costs (nominal)</t>
  </si>
  <si>
    <t>Average bill (17/18 prices adjusted using CPIH)</t>
  </si>
  <si>
    <t>real £/hh</t>
  </si>
  <si>
    <t>C_RR3PARTY_PR19CA012</t>
  </si>
  <si>
    <t>bptotex</t>
  </si>
  <si>
    <t>Submitted modelled costs
(17/18 prices)</t>
  </si>
  <si>
    <t>Submitted totex (17/18 prices)</t>
  </si>
  <si>
    <t>C_DEP_PR19CA009</t>
  </si>
  <si>
    <t>C_DC_T_PR19CA009</t>
  </si>
  <si>
    <t>C_HH_T_PR19CA009</t>
  </si>
  <si>
    <t>C_TC_TRN_PR19CA009</t>
  </si>
  <si>
    <t>C_TC_TRR_PR19CA009</t>
  </si>
  <si>
    <t>C_OC_TR_PR19CA009</t>
  </si>
  <si>
    <t>C_BPTOTEX_PR19CA009</t>
  </si>
  <si>
    <t>SVH21</t>
  </si>
  <si>
    <t>SVH22</t>
  </si>
  <si>
    <t>SVH23</t>
  </si>
  <si>
    <t>SVH24</t>
  </si>
  <si>
    <t>SVH25</t>
  </si>
  <si>
    <t>C_BM4017_PR19CA009</t>
  </si>
  <si>
    <t>Business plan (nominal) - 5 years</t>
  </si>
  <si>
    <t/>
  </si>
  <si>
    <t>Triangulation</t>
  </si>
  <si>
    <t>nominal £m</t>
  </si>
  <si>
    <t>Unmodelled costs</t>
  </si>
  <si>
    <t>Cost to serve per customer - £/connected household. nominal £m</t>
  </si>
  <si>
    <t>Depreciation post efficiency challenge and adjustments - nominal £m</t>
  </si>
  <si>
    <t>Capital expenditure on assets principally used by residential retail - nominal £m</t>
  </si>
  <si>
    <t>RR - 3rd party services - nominal £m</t>
  </si>
  <si>
    <t>Capital expenditure nominal £m</t>
  </si>
  <si>
    <t>Depreciation excl. legacy depreciation nominal £m</t>
  </si>
  <si>
    <t>Our view (average) (real) - 5 years</t>
  </si>
  <si>
    <t>triangulated efficiency challenge %</t>
  </si>
  <si>
    <t>Submitted bad debt costs
(nominal)</t>
  </si>
  <si>
    <t>Submitted other costs
(nominal)</t>
  </si>
  <si>
    <t>Submitted business plans modelled costs (nominal £m)</t>
  </si>
  <si>
    <t>Efficient modelled allowances (nominal £)</t>
  </si>
  <si>
    <t>Efficient base allowance (for cost sharing) (nominal £m)</t>
  </si>
  <si>
    <t>Efficient totex allowance (for financial model) (nominal £m)</t>
  </si>
  <si>
    <t>Business plans modelled costs (nominal £m)</t>
  </si>
  <si>
    <t>Efficient modelled allowances (nominal £m)</t>
  </si>
  <si>
    <t>Efficient totex allowance (nominal £m)</t>
  </si>
  <si>
    <t>To calculate an efficient cost allowance for residential retail.</t>
  </si>
  <si>
    <t>Guide to model</t>
  </si>
  <si>
    <t>Controls</t>
  </si>
  <si>
    <t xml:space="preserve">The weights given to each econometric model across different levels of aggregation, catch-up (including the within sector historical challenge) and the weights for apportioning SVE and HDD’s costs can be found in the “Controls” tab.  </t>
  </si>
  <si>
    <t>Modelled costs are triangulated at different levels of aggregation to estimate modelled totex - triangulated. We apply a forward looking efficiency challenge based on the upper quartile to obtain efficient costs</t>
  </si>
  <si>
    <t>Final allowance</t>
  </si>
  <si>
    <t>This tab calculates the efficient totex allowances.</t>
  </si>
  <si>
    <t xml:space="preserve">- The efficient total cost base allowance is derived from the modelled total costs. There are no cost adjustment claims, unmodelled costs or symmetrical adjustments.
</t>
  </si>
  <si>
    <t>- Information on other costs and bad debt and management costs can also be seen</t>
  </si>
  <si>
    <t>Real input price inflation</t>
  </si>
  <si>
    <t>The model takes the coefficients from our econometric models which are also used in FM_RR2.</t>
  </si>
  <si>
    <t>Drivers</t>
  </si>
  <si>
    <t>The tab takes the forecasts of cost drivers from FM_RR3.</t>
  </si>
  <si>
    <t>The 'Modelled costs' tab multiplies the coefficients from the Coeffs tab by the forecast of costs drivers from the Drivers tab.</t>
  </si>
  <si>
    <t>Version 1.0. 18th July 2019</t>
  </si>
  <si>
    <t>Top-down / bottom-up triangulation weights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</si>
</sst>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3" formatCode="_-* #,##0.00_-;\-* #,##0.00_-;_-* &quot;-&quot;??_-;_-@_-"/>
    <numFmt numFmtId="164" formatCode="_(* #,##0.00_);_(* \(#,##0.00\);_(* &quot;-&quot;??_);_(@_)"/>
    <numFmt numFmtId="165" formatCode="#,##0_);\(#,##0\);&quot;-  &quot;;&quot; &quot;@&quot; &quot;"/>
    <numFmt numFmtId="166" formatCode="0.000"/>
    <numFmt numFmtId="167" formatCode="0.0"/>
    <numFmt numFmtId="168" formatCode="#,##0.00_ ;\-#,##0.00\ "/>
    <numFmt numFmtId="169" formatCode="#,##0.000"/>
    <numFmt numFmtId="170" formatCode="0.0%"/>
    <numFmt numFmtId="171" formatCode="#,##0.0"/>
    <numFmt numFmtId="172" formatCode="0.0000"/>
    <numFmt numFmtId="173" formatCode="_(* #,##0.000_);_(* \(#,##0.000\);_(* &quot;-&quot;??_);_(@_)"/>
    <numFmt numFmtId="174" formatCode="_(* #,##0_);_(* \(#,##0\);_(* &quot;-&quot;??_);_(@_)"/>
  </numFmts>
  <fonts count="31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sz val="11"/>
      <color theme="1"/>
      <name val="Arial"/>
      <family val="2"/>
      <scheme val="minor"/>
    </font>
    <font>
      <sz val="10"/>
      <name val="Arial"/>
      <family val="2"/>
    </font>
    <font>
      <b/>
      <sz val="14"/>
      <color theme="3"/>
      <name val="Calibri"/>
      <family val="2"/>
    </font>
    <font>
      <sz val="11"/>
      <color theme="1"/>
      <name val="Calibri"/>
      <family val="2"/>
    </font>
    <font>
      <b/>
      <sz val="9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0"/>
      <color theme="3" tint="-0.249977111117893"/>
      <name val="Calibri"/>
      <family val="2"/>
    </font>
    <font>
      <b/>
      <sz val="10"/>
      <color theme="1"/>
      <name val="Calibri"/>
      <family val="2"/>
    </font>
    <font>
      <sz val="11"/>
      <color indexed="8"/>
      <name val="Arial"/>
      <family val="2"/>
      <scheme val="minor"/>
    </font>
    <font>
      <sz val="11"/>
      <name val="Arial"/>
      <family val="2"/>
    </font>
    <font>
      <b/>
      <sz val="10"/>
      <name val="Calibri"/>
      <family val="2"/>
    </font>
    <font>
      <sz val="10"/>
      <color theme="1"/>
      <name val="Gill Sans MT"/>
      <family val="2"/>
    </font>
    <font>
      <b/>
      <sz val="10"/>
      <color theme="3"/>
      <name val="Calibri"/>
      <family val="2"/>
    </font>
    <font>
      <sz val="11"/>
      <color rgb="FFFF0000"/>
      <name val="Calibri"/>
      <family val="2"/>
    </font>
    <font>
      <sz val="11"/>
      <color rgb="FF006100"/>
      <name val="Arial"/>
      <family val="2"/>
    </font>
    <font>
      <sz val="10"/>
      <color theme="1"/>
      <name val="Arial"/>
      <family val="2"/>
      <scheme val="minor"/>
    </font>
    <font>
      <sz val="10"/>
      <name val="Arial"/>
      <family val="2"/>
    </font>
    <font>
      <b/>
      <sz val="12"/>
      <color theme="3"/>
      <name val="Calibri"/>
      <family val="2"/>
    </font>
    <font>
      <sz val="10"/>
      <color theme="3"/>
      <name val="Calibri"/>
      <family val="2"/>
    </font>
    <font>
      <sz val="11"/>
      <color rgb="FFFF0000"/>
      <name val="Arial"/>
      <family val="2"/>
      <scheme val="minor"/>
    </font>
    <font>
      <b/>
      <u/>
      <sz val="10"/>
      <color theme="1"/>
      <name val="Calibri"/>
      <family val="2"/>
    </font>
    <font>
      <b/>
      <sz val="9"/>
      <color theme="3"/>
      <name val="Arial"/>
      <family val="2"/>
    </font>
    <font>
      <sz val="10"/>
      <color rgb="FF006100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5" tint="0.59999389629810485"/>
      </bottom>
      <diagonal/>
    </border>
    <border>
      <left style="thin">
        <color theme="5" tint="0.59999389629810485"/>
      </left>
      <right/>
      <top style="thin">
        <color theme="5" tint="0.59999389629810485"/>
      </top>
      <bottom/>
      <diagonal/>
    </border>
    <border>
      <left/>
      <right/>
      <top style="thin">
        <color theme="5" tint="0.59999389629810485"/>
      </top>
      <bottom/>
      <diagonal/>
    </border>
    <border>
      <left/>
      <right style="thin">
        <color theme="5" tint="0.59999389629810485"/>
      </right>
      <top style="thin">
        <color theme="5" tint="0.59999389629810485"/>
      </top>
      <bottom/>
      <diagonal/>
    </border>
    <border>
      <left style="thin">
        <color theme="5" tint="0.59999389629810485"/>
      </left>
      <right/>
      <top/>
      <bottom/>
      <diagonal/>
    </border>
    <border>
      <left/>
      <right style="thin">
        <color theme="5" tint="0.59999389629810485"/>
      </right>
      <top/>
      <bottom/>
      <diagonal/>
    </border>
    <border>
      <left style="thin">
        <color theme="5" tint="0.59999389629810485"/>
      </left>
      <right/>
      <top/>
      <bottom style="thin">
        <color theme="5" tint="0.59999389629810485"/>
      </bottom>
      <diagonal/>
    </border>
    <border>
      <left/>
      <right style="thin">
        <color theme="5" tint="0.59999389629810485"/>
      </right>
      <top/>
      <bottom style="thin">
        <color theme="5" tint="0.59999389629810485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165" fontId="1" fillId="0" borderId="0" applyFont="0" applyFill="0" applyBorder="0" applyProtection="0">
      <alignment vertical="top"/>
    </xf>
    <xf numFmtId="0" fontId="4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22" fillId="8" borderId="0" applyNumberFormat="0" applyBorder="0" applyAlignment="0" applyProtection="0"/>
    <xf numFmtId="0" fontId="24" fillId="0" borderId="0"/>
  </cellStyleXfs>
  <cellXfs count="199">
    <xf numFmtId="0" fontId="0" fillId="0" borderId="0" xfId="0"/>
    <xf numFmtId="0" fontId="2" fillId="0" borderId="0" xfId="0" applyFont="1"/>
    <xf numFmtId="0" fontId="5" fillId="3" borderId="0" xfId="3" applyFont="1" applyFill="1"/>
    <xf numFmtId="0" fontId="6" fillId="3" borderId="0" xfId="0" applyFont="1" applyFill="1"/>
    <xf numFmtId="0" fontId="6" fillId="3" borderId="2" xfId="0" applyFont="1" applyFill="1" applyBorder="1"/>
    <xf numFmtId="0" fontId="7" fillId="0" borderId="0" xfId="3" applyFont="1" applyBorder="1"/>
    <xf numFmtId="0" fontId="6" fillId="3" borderId="0" xfId="0" applyFont="1" applyFill="1" applyBorder="1"/>
    <xf numFmtId="165" fontId="10" fillId="0" borderId="0" xfId="4" applyFont="1" applyFill="1" applyBorder="1" applyAlignment="1">
      <alignment vertical="top"/>
    </xf>
    <xf numFmtId="0" fontId="6" fillId="0" borderId="0" xfId="0" applyFont="1"/>
    <xf numFmtId="0" fontId="6" fillId="0" borderId="0" xfId="0" applyFont="1" applyBorder="1"/>
    <xf numFmtId="0" fontId="6" fillId="0" borderId="0" xfId="0" applyFont="1" applyFill="1"/>
    <xf numFmtId="0" fontId="12" fillId="0" borderId="17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0" fontId="12" fillId="0" borderId="1" xfId="0" applyFont="1" applyBorder="1" applyAlignment="1">
      <alignment vertical="center"/>
    </xf>
    <xf numFmtId="0" fontId="12" fillId="0" borderId="13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168" fontId="12" fillId="0" borderId="1" xfId="1" applyNumberFormat="1" applyFont="1" applyBorder="1" applyAlignment="1">
      <alignment horizontal="center" wrapText="1"/>
    </xf>
    <xf numFmtId="0" fontId="12" fillId="0" borderId="0" xfId="0" applyFont="1"/>
    <xf numFmtId="2" fontId="6" fillId="0" borderId="0" xfId="0" applyNumberFormat="1" applyFont="1"/>
    <xf numFmtId="0" fontId="12" fillId="0" borderId="1" xfId="0" applyFont="1" applyBorder="1"/>
    <xf numFmtId="2" fontId="6" fillId="0" borderId="0" xfId="0" applyNumberFormat="1" applyFont="1" applyBorder="1"/>
    <xf numFmtId="2" fontId="6" fillId="0" borderId="0" xfId="0" applyNumberFormat="1" applyFont="1" applyFill="1" applyBorder="1"/>
    <xf numFmtId="0" fontId="16" fillId="0" borderId="0" xfId="6" applyAlignment="1">
      <alignment vertical="top"/>
    </xf>
    <xf numFmtId="166" fontId="19" fillId="0" borderId="0" xfId="0" applyNumberFormat="1" applyFont="1" applyAlignment="1">
      <alignment horizontal="center" vertical="center"/>
    </xf>
    <xf numFmtId="0" fontId="9" fillId="0" borderId="11" xfId="5" applyFont="1" applyFill="1" applyBorder="1" applyAlignment="1">
      <alignment horizontal="center" vertical="center" wrapText="1"/>
    </xf>
    <xf numFmtId="0" fontId="11" fillId="0" borderId="11" xfId="5" applyFont="1" applyFill="1" applyBorder="1" applyAlignment="1">
      <alignment horizontal="center" vertical="center" wrapText="1"/>
    </xf>
    <xf numFmtId="0" fontId="12" fillId="0" borderId="11" xfId="5" applyFont="1" applyFill="1" applyBorder="1" applyAlignment="1">
      <alignment horizontal="center" vertical="center" wrapText="1"/>
    </xf>
    <xf numFmtId="0" fontId="14" fillId="0" borderId="1" xfId="5" applyFont="1" applyFill="1" applyBorder="1" applyAlignment="1">
      <alignment horizontal="center" vertical="center" wrapText="1"/>
    </xf>
    <xf numFmtId="0" fontId="9" fillId="0" borderId="16" xfId="5" applyFont="1" applyFill="1" applyBorder="1" applyAlignment="1">
      <alignment horizontal="left" vertical="center" wrapText="1"/>
    </xf>
    <xf numFmtId="0" fontId="15" fillId="0" borderId="0" xfId="0" applyFont="1"/>
    <xf numFmtId="0" fontId="20" fillId="0" borderId="10" xfId="0" applyFont="1" applyFill="1" applyBorder="1" applyAlignment="1">
      <alignment horizontal="centerContinuous"/>
    </xf>
    <xf numFmtId="0" fontId="12" fillId="0" borderId="12" xfId="0" applyFont="1" applyFill="1" applyBorder="1" applyAlignment="1">
      <alignment horizontal="centerContinuous"/>
    </xf>
    <xf numFmtId="0" fontId="20" fillId="0" borderId="1" xfId="0" applyFont="1" applyFill="1" applyBorder="1" applyAlignment="1">
      <alignment horizontal="centerContinuous"/>
    </xf>
    <xf numFmtId="0" fontId="12" fillId="0" borderId="11" xfId="0" applyFont="1" applyFill="1" applyBorder="1"/>
    <xf numFmtId="0" fontId="12" fillId="0" borderId="1" xfId="0" applyFont="1" applyFill="1" applyBorder="1" applyAlignment="1">
      <alignment horizontal="center"/>
    </xf>
    <xf numFmtId="0" fontId="12" fillId="0" borderId="1" xfId="0" applyFont="1" applyFill="1" applyBorder="1"/>
    <xf numFmtId="0" fontId="13" fillId="0" borderId="0" xfId="0" applyFont="1"/>
    <xf numFmtId="0" fontId="15" fillId="0" borderId="0" xfId="0" applyFont="1" applyFill="1"/>
    <xf numFmtId="0" fontId="12" fillId="0" borderId="0" xfId="0" applyFont="1" applyFill="1"/>
    <xf numFmtId="0" fontId="12" fillId="0" borderId="19" xfId="0" applyFont="1" applyBorder="1"/>
    <xf numFmtId="0" fontId="20" fillId="0" borderId="10" xfId="0" applyFont="1" applyBorder="1" applyAlignment="1">
      <alignment horizontal="centerContinuous"/>
    </xf>
    <xf numFmtId="0" fontId="20" fillId="0" borderId="12" xfId="0" applyFont="1" applyBorder="1" applyAlignment="1">
      <alignment horizontal="centerContinuous"/>
    </xf>
    <xf numFmtId="0" fontId="20" fillId="0" borderId="12" xfId="0" applyFont="1" applyFill="1" applyBorder="1" applyAlignment="1">
      <alignment horizontal="centerContinuous"/>
    </xf>
    <xf numFmtId="0" fontId="20" fillId="0" borderId="13" xfId="0" applyFont="1" applyFill="1" applyBorder="1" applyAlignment="1">
      <alignment horizontal="centerContinuous"/>
    </xf>
    <xf numFmtId="0" fontId="12" fillId="0" borderId="14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vertical="center" wrapText="1"/>
    </xf>
    <xf numFmtId="0" fontId="12" fillId="0" borderId="19" xfId="0" applyFont="1" applyFill="1" applyBorder="1" applyAlignment="1">
      <alignment vertical="center" wrapText="1"/>
    </xf>
    <xf numFmtId="0" fontId="12" fillId="0" borderId="13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wrapText="1"/>
    </xf>
    <xf numFmtId="0" fontId="12" fillId="0" borderId="1" xfId="0" applyFont="1" applyBorder="1" applyAlignment="1">
      <alignment horizontal="center"/>
    </xf>
    <xf numFmtId="167" fontId="12" fillId="0" borderId="13" xfId="2" applyNumberFormat="1" applyFont="1" applyFill="1" applyBorder="1"/>
    <xf numFmtId="167" fontId="12" fillId="0" borderId="1" xfId="0" applyNumberFormat="1" applyFont="1" applyFill="1" applyBorder="1"/>
    <xf numFmtId="2" fontId="12" fillId="0" borderId="1" xfId="0" applyNumberFormat="1" applyFont="1" applyFill="1" applyBorder="1"/>
    <xf numFmtId="3" fontId="12" fillId="7" borderId="1" xfId="0" applyNumberFormat="1" applyFont="1" applyFill="1" applyBorder="1"/>
    <xf numFmtId="4" fontId="12" fillId="7" borderId="1" xfId="0" applyNumberFormat="1" applyFont="1" applyFill="1" applyBorder="1"/>
    <xf numFmtId="0" fontId="12" fillId="0" borderId="0" xfId="0" applyFont="1" applyBorder="1"/>
    <xf numFmtId="9" fontId="12" fillId="0" borderId="0" xfId="0" applyNumberFormat="1" applyFont="1" applyFill="1" applyBorder="1" applyAlignment="1">
      <alignment horizontal="center" vertical="center" wrapText="1"/>
    </xf>
    <xf numFmtId="9" fontId="12" fillId="7" borderId="1" xfId="2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Continuous"/>
    </xf>
    <xf numFmtId="0" fontId="12" fillId="0" borderId="1" xfId="0" applyFont="1" applyBorder="1" applyAlignment="1">
      <alignment horizontal="centerContinuous" vertical="top"/>
    </xf>
    <xf numFmtId="0" fontId="12" fillId="5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2" fillId="6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167" fontId="12" fillId="0" borderId="1" xfId="0" applyNumberFormat="1" applyFont="1" applyFill="1" applyBorder="1" applyAlignment="1">
      <alignment horizontal="right" vertical="center"/>
    </xf>
    <xf numFmtId="167" fontId="12" fillId="0" borderId="1" xfId="0" applyNumberFormat="1" applyFont="1" applyBorder="1"/>
    <xf numFmtId="0" fontId="21" fillId="3" borderId="0" xfId="0" applyFont="1" applyFill="1"/>
    <xf numFmtId="0" fontId="20" fillId="0" borderId="18" xfId="0" applyFont="1" applyFill="1" applyBorder="1" applyAlignment="1">
      <alignment horizontal="centerContinuous"/>
    </xf>
    <xf numFmtId="0" fontId="15" fillId="0" borderId="10" xfId="0" applyFont="1" applyBorder="1"/>
    <xf numFmtId="0" fontId="15" fillId="0" borderId="13" xfId="0" applyFont="1" applyBorder="1"/>
    <xf numFmtId="167" fontId="12" fillId="0" borderId="0" xfId="2" applyNumberFormat="1" applyFont="1" applyFill="1" applyBorder="1"/>
    <xf numFmtId="167" fontId="12" fillId="0" borderId="0" xfId="0" applyNumberFormat="1" applyFont="1" applyFill="1" applyBorder="1"/>
    <xf numFmtId="2" fontId="12" fillId="0" borderId="0" xfId="0" applyNumberFormat="1" applyFont="1" applyFill="1" applyBorder="1"/>
    <xf numFmtId="3" fontId="12" fillId="0" borderId="0" xfId="0" applyNumberFormat="1" applyFont="1" applyFill="1" applyBorder="1"/>
    <xf numFmtId="4" fontId="12" fillId="0" borderId="0" xfId="0" applyNumberFormat="1" applyFont="1" applyFill="1" applyBorder="1"/>
    <xf numFmtId="0" fontId="23" fillId="0" borderId="0" xfId="0" applyFont="1"/>
    <xf numFmtId="0" fontId="23" fillId="2" borderId="15" xfId="0" applyFont="1" applyFill="1" applyBorder="1" applyAlignment="1">
      <alignment horizontal="center" wrapText="1"/>
    </xf>
    <xf numFmtId="4" fontId="6" fillId="0" borderId="0" xfId="0" applyNumberFormat="1" applyFont="1" applyFill="1" applyBorder="1" applyAlignment="1">
      <alignment horizontal="right" vertical="center"/>
    </xf>
    <xf numFmtId="171" fontId="12" fillId="0" borderId="0" xfId="0" applyNumberFormat="1" applyFont="1"/>
    <xf numFmtId="167" fontId="12" fillId="0" borderId="0" xfId="0" applyNumberFormat="1" applyFont="1"/>
    <xf numFmtId="0" fontId="12" fillId="0" borderId="1" xfId="0" applyFont="1" applyFill="1" applyBorder="1" applyAlignment="1">
      <alignment horizontal="left" wrapText="1"/>
    </xf>
    <xf numFmtId="0" fontId="12" fillId="0" borderId="0" xfId="0" applyFont="1" applyAlignment="1">
      <alignment horizontal="center"/>
    </xf>
    <xf numFmtId="0" fontId="18" fillId="7" borderId="16" xfId="0" applyFont="1" applyFill="1" applyBorder="1" applyAlignment="1">
      <alignment horizontal="center" vertical="center" wrapText="1"/>
    </xf>
    <xf numFmtId="0" fontId="18" fillId="7" borderId="1" xfId="0" applyFont="1" applyFill="1" applyBorder="1" applyAlignment="1">
      <alignment horizontal="center" vertical="center" wrapText="1"/>
    </xf>
    <xf numFmtId="167" fontId="12" fillId="0" borderId="0" xfId="0" applyNumberFormat="1" applyFont="1" applyFill="1"/>
    <xf numFmtId="0" fontId="12" fillId="0" borderId="13" xfId="0" applyFont="1" applyFill="1" applyBorder="1"/>
    <xf numFmtId="168" fontId="12" fillId="0" borderId="11" xfId="1" applyNumberFormat="1" applyFont="1" applyBorder="1" applyAlignment="1">
      <alignment horizontal="center" wrapText="1"/>
    </xf>
    <xf numFmtId="0" fontId="12" fillId="0" borderId="10" xfId="0" applyFont="1" applyFill="1" applyBorder="1"/>
    <xf numFmtId="9" fontId="12" fillId="0" borderId="13" xfId="0" applyNumberFormat="1" applyFont="1" applyFill="1" applyBorder="1"/>
    <xf numFmtId="0" fontId="12" fillId="0" borderId="12" xfId="0" applyFont="1" applyFill="1" applyBorder="1"/>
    <xf numFmtId="170" fontId="12" fillId="0" borderId="1" xfId="0" applyNumberFormat="1" applyFont="1" applyFill="1" applyBorder="1"/>
    <xf numFmtId="0" fontId="12" fillId="0" borderId="1" xfId="0" applyFont="1" applyFill="1" applyBorder="1" applyAlignment="1">
      <alignment wrapText="1"/>
    </xf>
    <xf numFmtId="0" fontId="12" fillId="10" borderId="1" xfId="0" applyFont="1" applyFill="1" applyBorder="1"/>
    <xf numFmtId="2" fontId="12" fillId="0" borderId="0" xfId="0" applyNumberFormat="1" applyFont="1"/>
    <xf numFmtId="174" fontId="15" fillId="0" borderId="1" xfId="1" applyNumberFormat="1" applyFont="1" applyBorder="1"/>
    <xf numFmtId="2" fontId="12" fillId="0" borderId="1" xfId="0" applyNumberFormat="1" applyFont="1" applyBorder="1"/>
    <xf numFmtId="0" fontId="12" fillId="0" borderId="16" xfId="0" applyFont="1" applyFill="1" applyBorder="1" applyAlignment="1">
      <alignment horizontal="center" vertical="center"/>
    </xf>
    <xf numFmtId="174" fontId="12" fillId="0" borderId="16" xfId="1" applyNumberFormat="1" applyFont="1" applyFill="1" applyBorder="1" applyAlignment="1">
      <alignment vertical="center"/>
    </xf>
    <xf numFmtId="0" fontId="15" fillId="0" borderId="10" xfId="0" applyFont="1" applyFill="1" applyBorder="1"/>
    <xf numFmtId="173" fontId="15" fillId="0" borderId="1" xfId="1" applyNumberFormat="1" applyFont="1" applyBorder="1" applyAlignment="1">
      <alignment wrapText="1"/>
    </xf>
    <xf numFmtId="0" fontId="15" fillId="0" borderId="1" xfId="0" applyFont="1" applyFill="1" applyBorder="1"/>
    <xf numFmtId="167" fontId="15" fillId="0" borderId="1" xfId="0" applyNumberFormat="1" applyFont="1" applyFill="1" applyBorder="1" applyAlignment="1">
      <alignment horizontal="center"/>
    </xf>
    <xf numFmtId="2" fontId="6" fillId="0" borderId="0" xfId="7" applyNumberFormat="1" applyFont="1" applyFill="1" applyBorder="1" applyAlignment="1">
      <alignment vertical="top"/>
    </xf>
    <xf numFmtId="0" fontId="6" fillId="0" borderId="0" xfId="0" applyFont="1" applyAlignment="1">
      <alignment horizontal="centerContinuous"/>
    </xf>
    <xf numFmtId="172" fontId="12" fillId="0" borderId="0" xfId="0" applyNumberFormat="1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25" fillId="0" borderId="0" xfId="0" applyFont="1" applyFill="1" applyBorder="1"/>
    <xf numFmtId="0" fontId="12" fillId="5" borderId="13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167" fontId="12" fillId="0" borderId="13" xfId="0" applyNumberFormat="1" applyFont="1" applyFill="1" applyBorder="1" applyAlignment="1">
      <alignment horizontal="right" vertical="center"/>
    </xf>
    <xf numFmtId="0" fontId="12" fillId="10" borderId="13" xfId="0" applyFont="1" applyFill="1" applyBorder="1"/>
    <xf numFmtId="0" fontId="26" fillId="0" borderId="0" xfId="0" applyFont="1"/>
    <xf numFmtId="0" fontId="15" fillId="2" borderId="1" xfId="0" applyFont="1" applyFill="1" applyBorder="1" applyAlignment="1">
      <alignment vertical="center" wrapText="1"/>
    </xf>
    <xf numFmtId="0" fontId="15" fillId="2" borderId="10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vertical="center"/>
    </xf>
    <xf numFmtId="2" fontId="6" fillId="0" borderId="0" xfId="7" applyNumberFormat="1" applyFont="1" applyFill="1" applyBorder="1" applyAlignment="1"/>
    <xf numFmtId="2" fontId="6" fillId="0" borderId="0" xfId="8" applyNumberFormat="1" applyFont="1" applyFill="1" applyBorder="1" applyAlignment="1">
      <alignment vertical="top"/>
    </xf>
    <xf numFmtId="2" fontId="6" fillId="0" borderId="0" xfId="9" applyNumberFormat="1" applyFont="1" applyBorder="1"/>
    <xf numFmtId="2" fontId="6" fillId="0" borderId="0" xfId="4" applyNumberFormat="1" applyFont="1" applyFill="1" applyBorder="1">
      <alignment vertical="top"/>
    </xf>
    <xf numFmtId="2" fontId="6" fillId="0" borderId="0" xfId="1" applyNumberFormat="1" applyFont="1" applyFill="1" applyBorder="1"/>
    <xf numFmtId="2" fontId="10" fillId="0" borderId="0" xfId="4" applyNumberFormat="1" applyFont="1" applyFill="1" applyBorder="1">
      <alignment vertical="top"/>
    </xf>
    <xf numFmtId="2" fontId="16" fillId="0" borderId="0" xfId="6" applyNumberFormat="1" applyBorder="1" applyAlignment="1">
      <alignment vertical="top"/>
    </xf>
    <xf numFmtId="2" fontId="0" fillId="0" borderId="0" xfId="0" applyNumberFormat="1" applyBorder="1"/>
    <xf numFmtId="2" fontId="17" fillId="0" borderId="0" xfId="10" applyNumberFormat="1" applyFont="1" applyFill="1" applyBorder="1" applyAlignment="1">
      <alignment vertical="top"/>
    </xf>
    <xf numFmtId="2" fontId="17" fillId="0" borderId="0" xfId="10" applyNumberFormat="1" applyFont="1" applyFill="1" applyBorder="1" applyAlignment="1">
      <alignment vertical="top" wrapText="1"/>
    </xf>
    <xf numFmtId="2" fontId="0" fillId="0" borderId="0" xfId="10" applyNumberFormat="1" applyFont="1" applyFill="1" applyBorder="1" applyAlignment="1"/>
    <xf numFmtId="0" fontId="12" fillId="0" borderId="1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2" fontId="27" fillId="0" borderId="0" xfId="6" quotePrefix="1" applyNumberFormat="1" applyFont="1" applyFill="1" applyAlignment="1">
      <alignment vertical="top"/>
    </xf>
    <xf numFmtId="0" fontId="2" fillId="0" borderId="0" xfId="0" quotePrefix="1" applyFont="1"/>
    <xf numFmtId="174" fontId="12" fillId="0" borderId="0" xfId="0" applyNumberFormat="1" applyFont="1"/>
    <xf numFmtId="0" fontId="12" fillId="0" borderId="16" xfId="0" applyFont="1" applyFill="1" applyBorder="1"/>
    <xf numFmtId="174" fontId="12" fillId="0" borderId="16" xfId="1" applyNumberFormat="1" applyFont="1" applyFill="1" applyBorder="1"/>
    <xf numFmtId="164" fontId="12" fillId="0" borderId="16" xfId="0" applyNumberFormat="1" applyFont="1" applyFill="1" applyBorder="1"/>
    <xf numFmtId="174" fontId="12" fillId="0" borderId="11" xfId="0" applyNumberFormat="1" applyFont="1" applyFill="1" applyBorder="1"/>
    <xf numFmtId="174" fontId="15" fillId="0" borderId="10" xfId="1" applyNumberFormat="1" applyFont="1" applyFill="1" applyBorder="1"/>
    <xf numFmtId="174" fontId="15" fillId="0" borderId="1" xfId="1" applyNumberFormat="1" applyFont="1" applyFill="1" applyBorder="1"/>
    <xf numFmtId="0" fontId="18" fillId="12" borderId="16" xfId="0" applyFont="1" applyFill="1" applyBorder="1"/>
    <xf numFmtId="0" fontId="18" fillId="12" borderId="16" xfId="0" applyFont="1" applyFill="1" applyBorder="1" applyAlignment="1">
      <alignment horizontal="centerContinuous" wrapText="1"/>
    </xf>
    <xf numFmtId="0" fontId="18" fillId="12" borderId="11" xfId="0" applyFont="1" applyFill="1" applyBorder="1" applyAlignment="1">
      <alignment horizontal="centerContinuous" wrapText="1"/>
    </xf>
    <xf numFmtId="164" fontId="12" fillId="0" borderId="0" xfId="1" applyFont="1"/>
    <xf numFmtId="0" fontId="20" fillId="0" borderId="14" xfId="0" applyFont="1" applyFill="1" applyBorder="1" applyAlignment="1">
      <alignment horizontal="centerContinuous"/>
    </xf>
    <xf numFmtId="174" fontId="15" fillId="0" borderId="1" xfId="0" applyNumberFormat="1" applyFont="1" applyFill="1" applyBorder="1"/>
    <xf numFmtId="167" fontId="15" fillId="0" borderId="1" xfId="0" applyNumberFormat="1" applyFont="1" applyBorder="1" applyAlignment="1">
      <alignment horizontal="center"/>
    </xf>
    <xf numFmtId="173" fontId="15" fillId="0" borderId="1" xfId="1" applyNumberFormat="1" applyFont="1" applyBorder="1"/>
    <xf numFmtId="0" fontId="6" fillId="0" borderId="1" xfId="0" applyFont="1" applyFill="1" applyBorder="1"/>
    <xf numFmtId="0" fontId="20" fillId="0" borderId="0" xfId="0" applyFont="1" applyFill="1" applyBorder="1" applyAlignment="1">
      <alignment horizontal="center"/>
    </xf>
    <xf numFmtId="166" fontId="12" fillId="0" borderId="1" xfId="0" applyNumberFormat="1" applyFont="1" applyFill="1" applyBorder="1" applyAlignment="1">
      <alignment horizontal="center" vertical="center" wrapText="1"/>
    </xf>
    <xf numFmtId="166" fontId="12" fillId="0" borderId="1" xfId="0" applyNumberFormat="1" applyFont="1" applyBorder="1"/>
    <xf numFmtId="166" fontId="0" fillId="0" borderId="0" xfId="0" applyNumberFormat="1"/>
    <xf numFmtId="0" fontId="12" fillId="0" borderId="1" xfId="0" applyFont="1" applyFill="1" applyBorder="1" applyAlignment="1">
      <alignment horizontal="center" wrapText="1"/>
    </xf>
    <xf numFmtId="2" fontId="0" fillId="0" borderId="0" xfId="0" applyNumberFormat="1"/>
    <xf numFmtId="9" fontId="12" fillId="7" borderId="1" xfId="2" applyFont="1" applyFill="1" applyBorder="1" applyAlignment="1">
      <alignment horizontal="center" vertical="center"/>
    </xf>
    <xf numFmtId="170" fontId="12" fillId="7" borderId="1" xfId="2" applyNumberFormat="1" applyFont="1" applyFill="1" applyBorder="1"/>
    <xf numFmtId="169" fontId="12" fillId="7" borderId="1" xfId="0" applyNumberFormat="1" applyFont="1" applyFill="1" applyBorder="1"/>
    <xf numFmtId="167" fontId="12" fillId="16" borderId="1" xfId="0" applyNumberFormat="1" applyFont="1" applyFill="1" applyBorder="1"/>
    <xf numFmtId="0" fontId="12" fillId="0" borderId="1" xfId="0" applyFont="1" applyFill="1" applyBorder="1" applyAlignment="1">
      <alignment vertical="center"/>
    </xf>
    <xf numFmtId="167" fontId="12" fillId="0" borderId="13" xfId="0" applyNumberFormat="1" applyFont="1" applyFill="1" applyBorder="1" applyAlignment="1">
      <alignment vertical="center"/>
    </xf>
    <xf numFmtId="167" fontId="12" fillId="0" borderId="1" xfId="0" applyNumberFormat="1" applyFont="1" applyFill="1" applyBorder="1" applyAlignment="1">
      <alignment vertical="center"/>
    </xf>
    <xf numFmtId="0" fontId="28" fillId="11" borderId="1" xfId="0" applyFont="1" applyFill="1" applyBorder="1" applyAlignment="1">
      <alignment horizontal="center" vertical="center" wrapText="1"/>
    </xf>
    <xf numFmtId="0" fontId="15" fillId="17" borderId="1" xfId="0" applyFont="1" applyFill="1" applyBorder="1" applyAlignment="1">
      <alignment horizontal="center" vertical="center" wrapText="1"/>
    </xf>
    <xf numFmtId="0" fontId="18" fillId="12" borderId="16" xfId="0" applyFont="1" applyFill="1" applyBorder="1" applyAlignment="1">
      <alignment horizontal="centerContinuous" vertical="center" wrapText="1"/>
    </xf>
    <xf numFmtId="0" fontId="18" fillId="15" borderId="16" xfId="0" applyFont="1" applyFill="1" applyBorder="1" applyAlignment="1">
      <alignment horizontal="centerContinuous" vertical="center" wrapText="1"/>
    </xf>
    <xf numFmtId="0" fontId="18" fillId="13" borderId="16" xfId="0" applyFont="1" applyFill="1" applyBorder="1" applyAlignment="1">
      <alignment horizontal="centerContinuous" vertical="center" wrapText="1"/>
    </xf>
    <xf numFmtId="0" fontId="18" fillId="9" borderId="11" xfId="0" applyFont="1" applyFill="1" applyBorder="1" applyAlignment="1">
      <alignment horizontal="centerContinuous" vertical="center" wrapText="1"/>
    </xf>
    <xf numFmtId="0" fontId="18" fillId="13" borderId="11" xfId="0" applyFont="1" applyFill="1" applyBorder="1" applyAlignment="1">
      <alignment horizontal="centerContinuous" vertical="center" wrapText="1"/>
    </xf>
    <xf numFmtId="0" fontId="18" fillId="14" borderId="11" xfId="0" applyFont="1" applyFill="1" applyBorder="1" applyAlignment="1">
      <alignment horizontal="centerContinuous" vertical="center" wrapText="1"/>
    </xf>
    <xf numFmtId="2" fontId="12" fillId="18" borderId="1" xfId="0" applyNumberFormat="1" applyFont="1" applyFill="1" applyBorder="1"/>
    <xf numFmtId="1" fontId="12" fillId="18" borderId="1" xfId="0" applyNumberFormat="1" applyFont="1" applyFill="1" applyBorder="1"/>
    <xf numFmtId="10" fontId="12" fillId="0" borderId="0" xfId="0" applyNumberFormat="1" applyFont="1"/>
    <xf numFmtId="0" fontId="12" fillId="0" borderId="0" xfId="0" applyFont="1" applyFill="1" applyBorder="1" applyAlignment="1">
      <alignment horizontal="center" wrapText="1"/>
    </xf>
    <xf numFmtId="0" fontId="12" fillId="0" borderId="13" xfId="0" applyFont="1" applyFill="1" applyBorder="1" applyAlignment="1">
      <alignment horizontal="centerContinuous"/>
    </xf>
    <xf numFmtId="167" fontId="12" fillId="19" borderId="1" xfId="0" applyNumberFormat="1" applyFont="1" applyFill="1" applyBorder="1"/>
    <xf numFmtId="0" fontId="23" fillId="0" borderId="0" xfId="0" applyFont="1" applyBorder="1" applyAlignment="1">
      <alignment horizontal="center" wrapText="1"/>
    </xf>
    <xf numFmtId="0" fontId="12" fillId="0" borderId="0" xfId="0" applyFont="1" applyFill="1" applyBorder="1"/>
    <xf numFmtId="43" fontId="12" fillId="0" borderId="0" xfId="0" applyNumberFormat="1" applyFont="1"/>
    <xf numFmtId="0" fontId="29" fillId="3" borderId="0" xfId="3" applyFont="1" applyFill="1"/>
    <xf numFmtId="167" fontId="12" fillId="16" borderId="1" xfId="0" applyNumberFormat="1" applyFont="1" applyFill="1" applyBorder="1" applyAlignment="1">
      <alignment vertical="center"/>
    </xf>
    <xf numFmtId="0" fontId="30" fillId="8" borderId="1" xfId="12" applyFont="1" applyBorder="1" applyAlignment="1">
      <alignment horizontal="center"/>
    </xf>
    <xf numFmtId="173" fontId="12" fillId="2" borderId="1" xfId="1" applyNumberFormat="1" applyFont="1" applyFill="1" applyBorder="1"/>
    <xf numFmtId="0" fontId="8" fillId="13" borderId="3" xfId="0" applyFont="1" applyFill="1" applyBorder="1"/>
    <xf numFmtId="0" fontId="6" fillId="13" borderId="4" xfId="0" applyFont="1" applyFill="1" applyBorder="1"/>
    <xf numFmtId="0" fontId="6" fillId="13" borderId="5" xfId="0" applyFont="1" applyFill="1" applyBorder="1"/>
    <xf numFmtId="0" fontId="6" fillId="13" borderId="6" xfId="0" applyFont="1" applyFill="1" applyBorder="1"/>
    <xf numFmtId="0" fontId="6" fillId="13" borderId="0" xfId="0" applyFont="1" applyFill="1" applyBorder="1"/>
    <xf numFmtId="0" fontId="6" fillId="13" borderId="7" xfId="0" applyFont="1" applyFill="1" applyBorder="1"/>
    <xf numFmtId="0" fontId="8" fillId="13" borderId="6" xfId="0" applyFont="1" applyFill="1" applyBorder="1"/>
    <xf numFmtId="0" fontId="6" fillId="13" borderId="0" xfId="0" applyFont="1" applyFill="1" applyBorder="1" applyAlignment="1">
      <alignment horizontal="left"/>
    </xf>
    <xf numFmtId="0" fontId="10" fillId="13" borderId="6" xfId="0" applyFont="1" applyFill="1" applyBorder="1"/>
    <xf numFmtId="0" fontId="6" fillId="13" borderId="0" xfId="0" quotePrefix="1" applyFont="1" applyFill="1" applyBorder="1"/>
    <xf numFmtId="0" fontId="10" fillId="13" borderId="0" xfId="0" applyFont="1" applyFill="1" applyBorder="1"/>
    <xf numFmtId="0" fontId="6" fillId="13" borderId="0" xfId="0" quotePrefix="1" applyFont="1" applyFill="1" applyBorder="1" applyAlignment="1"/>
    <xf numFmtId="0" fontId="6" fillId="13" borderId="8" xfId="0" applyFont="1" applyFill="1" applyBorder="1"/>
    <xf numFmtId="0" fontId="6" fillId="13" borderId="2" xfId="0" applyFont="1" applyFill="1" applyBorder="1"/>
    <xf numFmtId="0" fontId="6" fillId="13" borderId="9" xfId="0" applyFont="1" applyFill="1" applyBorder="1"/>
    <xf numFmtId="0" fontId="20" fillId="0" borderId="1" xfId="0" applyFont="1" applyBorder="1" applyAlignment="1">
      <alignment horizontal="center"/>
    </xf>
    <xf numFmtId="0" fontId="20" fillId="0" borderId="1" xfId="0" applyFont="1" applyFill="1" applyBorder="1" applyAlignment="1">
      <alignment horizontal="center"/>
    </xf>
  </cellXfs>
  <cellStyles count="14">
    <cellStyle name="Comma" xfId="1" builtinId="3"/>
    <cellStyle name="Good" xfId="12" builtinId="26"/>
    <cellStyle name="Normal" xfId="0" builtinId="0"/>
    <cellStyle name="Normal 12" xfId="9"/>
    <cellStyle name="Normal 2" xfId="3"/>
    <cellStyle name="Normal 2 2" xfId="5"/>
    <cellStyle name="Normal 2 4" xfId="6"/>
    <cellStyle name="Normal 20" xfId="4"/>
    <cellStyle name="Normal 3" xfId="13"/>
    <cellStyle name="Normal 4 2" xfId="11"/>
    <cellStyle name="Normal 7 2" xfId="10"/>
    <cellStyle name="Normal 7 5" xfId="7"/>
    <cellStyle name="Normal 7 7" xfId="8"/>
    <cellStyle name="Percent" xfId="2" builtinId="5"/>
  </cellStyles>
  <dxfs count="25">
    <dxf>
      <font>
        <color rgb="FF006100"/>
      </font>
      <fill>
        <patternFill>
          <bgColor rgb="FFC6EFCE"/>
        </patternFill>
      </fill>
    </dxf>
    <dxf>
      <font>
        <color rgb="FF00B05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B050"/>
      </font>
      <fill>
        <patternFill>
          <bgColor rgb="FFCCFFCC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00B050"/>
      </font>
      <fill>
        <patternFill>
          <bgColor rgb="FFCCFFCC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00B050"/>
      </font>
      <fill>
        <patternFill>
          <bgColor rgb="FFCCFFCC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00B050"/>
      </font>
      <fill>
        <patternFill>
          <bgColor rgb="FFCCFFCC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00B050"/>
      </font>
      <fill>
        <patternFill>
          <bgColor rgb="FFCCFFCC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00B050"/>
      </font>
      <fill>
        <patternFill>
          <bgColor rgb="FFCCFFCC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00B050"/>
      </font>
      <fill>
        <patternFill>
          <bgColor rgb="FFCCFFCC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rgb="FF00B050"/>
      </font>
      <fill>
        <patternFill>
          <bgColor rgb="FFCCFFCC"/>
        </patternFill>
      </fill>
    </dxf>
    <dxf>
      <font>
        <color rgb="FFFF0000"/>
      </font>
      <fill>
        <patternFill>
          <bgColor theme="9" tint="0.79998168889431442"/>
        </patternFill>
      </fill>
    </dxf>
  </dxfs>
  <tableStyles count="0" defaultTableStyle="TableStyleMedium2" defaultPivotStyle="PivotStyleLight16"/>
  <colors>
    <mruColors>
      <color rgb="FFFFCCCC"/>
      <color rgb="FFA2DA80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externalLink" Target="externalLinks/externalLink7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8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49</xdr:row>
      <xdr:rowOff>0</xdr:rowOff>
    </xdr:from>
    <xdr:to>
      <xdr:col>16</xdr:col>
      <xdr:colOff>480214</xdr:colOff>
      <xdr:row>51</xdr:row>
      <xdr:rowOff>114300</xdr:rowOff>
    </xdr:to>
    <xdr:sp macro="" textlink="">
      <xdr:nvSpPr>
        <xdr:cNvPr id="3" name="TextBox 5"/>
        <xdr:cNvSpPr txBox="1"/>
      </xdr:nvSpPr>
      <xdr:spPr>
        <a:xfrm>
          <a:off x="314325" y="8915400"/>
          <a:ext cx="11510164" cy="476250"/>
        </a:xfrm>
        <a:prstGeom prst="rect">
          <a:avLst/>
        </a:prstGeom>
        <a:noFill/>
        <a:ln>
          <a:solidFill>
            <a:schemeClr val="tx1"/>
          </a:solidFill>
          <a:prstDash val="sysDot"/>
        </a:ln>
      </xdr:spPr>
      <xdr:txBody>
        <a:bodyPr wrap="square" rtlCol="0">
          <a:no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GB" sz="1200"/>
            <a:t>The diagram above is a simplified process model to indicate the relationship between the various feeder models and data sources we use to assess wholesale and retail expenditure cost efficiency models.  We provide a detailed process map in ‘PR19 price setting models map - slow track draft determinations’</a:t>
          </a:r>
          <a:r>
            <a:rPr lang="en-GB" sz="1200" b="1"/>
            <a:t>. </a:t>
          </a:r>
        </a:p>
        <a:p>
          <a:endParaRPr lang="en-GB"/>
        </a:p>
      </xdr:txBody>
    </xdr:sp>
    <xdr:clientData/>
  </xdr:twoCellAnchor>
  <xdr:twoCellAnchor>
    <xdr:from>
      <xdr:col>1</xdr:col>
      <xdr:colOff>0</xdr:colOff>
      <xdr:row>54</xdr:row>
      <xdr:rowOff>0</xdr:rowOff>
    </xdr:from>
    <xdr:to>
      <xdr:col>3</xdr:col>
      <xdr:colOff>184023</xdr:colOff>
      <xdr:row>55</xdr:row>
      <xdr:rowOff>93345</xdr:rowOff>
    </xdr:to>
    <xdr:sp macro="" textlink="">
      <xdr:nvSpPr>
        <xdr:cNvPr id="4" name="Rectangle 3"/>
        <xdr:cNvSpPr/>
      </xdr:nvSpPr>
      <xdr:spPr>
        <a:xfrm>
          <a:off x="314325" y="9820275"/>
          <a:ext cx="2670048" cy="274320"/>
        </a:xfrm>
        <a:prstGeom prst="rect">
          <a:avLst/>
        </a:prstGeom>
        <a:solidFill>
          <a:srgbClr val="FFFF00"/>
        </a:solidFill>
        <a:ln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GB" sz="1200">
              <a:solidFill>
                <a:schemeClr val="tx1"/>
              </a:solidFill>
            </a:rPr>
            <a:t>Model presented in the current file</a:t>
          </a:r>
        </a:p>
      </xdr:txBody>
    </xdr:sp>
    <xdr:clientData/>
  </xdr:twoCellAnchor>
  <xdr:twoCellAnchor>
    <xdr:from>
      <xdr:col>1</xdr:col>
      <xdr:colOff>0</xdr:colOff>
      <xdr:row>58</xdr:row>
      <xdr:rowOff>0</xdr:rowOff>
    </xdr:from>
    <xdr:to>
      <xdr:col>6</xdr:col>
      <xdr:colOff>311415</xdr:colOff>
      <xdr:row>66</xdr:row>
      <xdr:rowOff>142875</xdr:rowOff>
    </xdr:to>
    <xdr:sp macro="" textlink="">
      <xdr:nvSpPr>
        <xdr:cNvPr id="5" name="Content Placeholder 2"/>
        <xdr:cNvSpPr txBox="1">
          <a:spLocks/>
        </xdr:cNvSpPr>
      </xdr:nvSpPr>
      <xdr:spPr>
        <a:xfrm>
          <a:off x="314325" y="10544175"/>
          <a:ext cx="4769115" cy="1590675"/>
        </a:xfrm>
        <a:prstGeom prst="rect">
          <a:avLst/>
        </a:prstGeom>
        <a:ln>
          <a:solidFill>
            <a:schemeClr val="tx1"/>
          </a:solidFill>
        </a:ln>
      </xdr:spPr>
      <xdr:txBody>
        <a:bodyPr vert="horz" wrap="square" lIns="91440" tIns="45720" rIns="91440" bIns="45720" rtlCol="0">
          <a:normAutofit fontScale="92500" lnSpcReduction="10000"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0" indent="0">
            <a:buNone/>
          </a:pPr>
          <a:r>
            <a:rPr lang="en-GB" sz="1200" b="1" u="sng"/>
            <a:t>Key:</a:t>
          </a:r>
        </a:p>
        <a:p>
          <a:pPr marL="0" indent="0">
            <a:buNone/>
          </a:pPr>
          <a:endParaRPr lang="en-GB" sz="1200"/>
        </a:p>
        <a:p>
          <a:pPr marL="0" indent="0">
            <a:buNone/>
          </a:pPr>
          <a:r>
            <a:rPr lang="en-GB" sz="1200"/>
            <a:t>FM = Feeder model</a:t>
          </a:r>
          <a:endParaRPr lang="en-GB" sz="1400"/>
        </a:p>
        <a:p>
          <a:pPr marL="0" indent="0">
            <a:buNone/>
          </a:pPr>
          <a:r>
            <a:rPr lang="en-GB" sz="1200"/>
            <a:t>CAC = Cost adjustment claim</a:t>
          </a:r>
          <a:endParaRPr lang="en-GB" sz="1400"/>
        </a:p>
        <a:p>
          <a:pPr marL="0" indent="0">
            <a:buNone/>
          </a:pPr>
          <a:r>
            <a:rPr lang="en-GB" sz="1200"/>
            <a:t>CPIH = Consumer Prices Index including owner occupiers’ housing costs </a:t>
          </a:r>
          <a:endParaRPr lang="en-GB" sz="1400"/>
        </a:p>
        <a:p>
          <a:pPr marL="0" indent="0">
            <a:buNone/>
          </a:pPr>
          <a:r>
            <a:rPr lang="en-GB" sz="1200"/>
            <a:t>ONS = Office for National Statistics</a:t>
          </a:r>
          <a:endParaRPr lang="en-GB" sz="1400"/>
        </a:p>
        <a:p>
          <a:pPr marL="0" indent="0">
            <a:buNone/>
          </a:pPr>
          <a:r>
            <a:rPr lang="en-GB" sz="1200"/>
            <a:t>MHCLG = Ministry of Housing, Communities and Local Government </a:t>
          </a:r>
          <a:endParaRPr lang="en-GB" sz="1400"/>
        </a:p>
        <a:p>
          <a:pPr marL="0" indent="0">
            <a:buNone/>
          </a:pPr>
          <a:r>
            <a:rPr lang="en-GB" sz="1200"/>
            <a:t>HVT = Havant Thicket</a:t>
          </a:r>
          <a:endParaRPr lang="en-GB" sz="1400"/>
        </a:p>
        <a:p>
          <a:pPr marL="0" indent="0">
            <a:buNone/>
          </a:pPr>
          <a:r>
            <a:rPr lang="en-GB" sz="1200"/>
            <a:t>TTT = Thames Tideway</a:t>
          </a:r>
          <a:endParaRPr lang="en-GB" sz="1400"/>
        </a:p>
        <a:p>
          <a:pPr marL="0" indent="0">
            <a:buNone/>
          </a:pPr>
          <a:r>
            <a:rPr lang="en-GB" sz="1400"/>
            <a:t> </a:t>
          </a:r>
        </a:p>
      </xdr:txBody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13</xdr:col>
      <xdr:colOff>266700</xdr:colOff>
      <xdr:row>46</xdr:row>
      <xdr:rowOff>177999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4325" y="3305175"/>
          <a:ext cx="9324975" cy="524529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73011</xdr:colOff>
      <xdr:row>11</xdr:row>
      <xdr:rowOff>1226</xdr:rowOff>
    </xdr:from>
    <xdr:to>
      <xdr:col>8</xdr:col>
      <xdr:colOff>336298</xdr:colOff>
      <xdr:row>15</xdr:row>
      <xdr:rowOff>118858</xdr:rowOff>
    </xdr:to>
    <xdr:sp macro="" textlink="">
      <xdr:nvSpPr>
        <xdr:cNvPr id="2" name="TextBox 1"/>
        <xdr:cNvSpPr txBox="1"/>
      </xdr:nvSpPr>
      <xdr:spPr>
        <a:xfrm rot="20329305">
          <a:off x="3625836" y="1834789"/>
          <a:ext cx="1634887" cy="784382"/>
        </a:xfrm>
        <a:prstGeom prst="leftArrow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900">
              <a:solidFill>
                <a:srgbClr val="FF0000"/>
              </a:solidFill>
            </a:rPr>
            <a:t>This must be set on "Triangulation"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AFT2\Rev03\Unified%20Allocations\Data\NewNeed\2003LIS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PAEIG\RPA%204\All%20Key%20Docs\Dispo\Waterfall0708\Data\&#163;50m%20pro%20rata%20to%20PCT%202002_03%20allocation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mercl\RATES\YE%20Mar%2006\P12%20March0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PAEIG\RPA%204\Key%20Facts\2012_13\January%202013\201211070_Key%20data%20updated%2011%20January%20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M\CFISSA%20-%20CFS%20-%20PSS\2008-09%20Central%20Programmes\DH&amp;ALB%20Finances\Cascade\Journals\08.09%20DHFC%20Spring%20Supply%20Adjustments%20-%20Additional%20Cascade%20Journal%20-%20146609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RATES%20%20APR2000-MAR2001\YE%20March02\SOUTH%20NDR%20WC%20APR2001%20MAR200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hona.labor\AppData\Local\Microsoft\Windows\INetCache\IE\QJKFE5G1\PR19-14h-for-publication.xlsb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OFWSHARE/PR19%20Modelling/Model%20runs/DD/Model%20Run%207/Cost%20Assessment/Cost%20Assessment/Cost%20Assessment%2020190605%20DD/Retail%20dashboar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2PCTs"/>
      <sheetName val="2003LISI"/>
      <sheetName val="Table 5.3 &amp; 5.4"/>
      <sheetName val="Table 5.8"/>
      <sheetName val="Introduction"/>
      <sheetName val="#REF"/>
      <sheetName val="HES 2012-13"/>
      <sheetName val="A&amp;E"/>
      <sheetName val="RTT admitted"/>
      <sheetName val="RTT - non-admitted"/>
      <sheetName val="RTT - incomplete"/>
      <sheetName val="bed occupancy"/>
      <sheetName val="cancer - 2 week"/>
      <sheetName val="cancer - 62 day"/>
      <sheetName val="DTOC"/>
      <sheetName val="readmissions"/>
      <sheetName val="MRSA2"/>
      <sheetName val="C-Diff2"/>
      <sheetName val="FFT- IP"/>
      <sheetName val="safety thermometer"/>
      <sheetName val="lists"/>
      <sheetName val="workforce"/>
      <sheetName val="staff sickness"/>
      <sheetName val="Org List"/>
      <sheetName val="TDA"/>
      <sheetName val="Monitor"/>
      <sheetName val="Thresholds"/>
      <sheetName val="SHMI"/>
      <sheetName val="HSMR 2001 - 2012"/>
      <sheetName val="CQC banding"/>
      <sheetName val="RCI"/>
      <sheetName val="PFI Information"/>
      <sheetName val="urban-rural"/>
      <sheetName val="A&amp;E winter money"/>
      <sheetName val="provider DfT"/>
      <sheetName val="Justification list"/>
      <sheetName val="Table_5_3_&amp;_5_4"/>
      <sheetName val="Table_5_8"/>
      <sheetName val="Change_Log"/>
      <sheetName val="Picklist_Ranges"/>
      <sheetName val="Headcount"/>
      <sheetName val="HC_Reporting_Categories"/>
      <sheetName val="Report"/>
      <sheetName val="Drop Down Options"/>
      <sheetName val="Instructions"/>
      <sheetName val="Lookups"/>
      <sheetName val="ATCCList"/>
      <sheetName val="CCG&amp;CSU CCList"/>
      <sheetName val="Key"/>
      <sheetName val="Fin Perf Ranking"/>
      <sheetName val="lookup"/>
      <sheetName val="LIST"/>
      <sheetName val="Summary"/>
      <sheetName val="APPENDIX N(ii)"/>
      <sheetName val="Theme mapping"/>
      <sheetName val="Sheet1"/>
      <sheetName val="themes"/>
      <sheetName val="PIVOT"/>
      <sheetName val="Month 2 data"/>
      <sheetName val="Month 3 Data"/>
      <sheetName val="Sheet4"/>
      <sheetName val="Sheet2"/>
      <sheetName val="DATA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/>
      <sheetData sheetId="37"/>
      <sheetData sheetId="38"/>
      <sheetData sheetId="39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#REF"/>
      <sheetName val="Dnurse"/>
      <sheetName val="ComPsy"/>
      <sheetName val="£50m pro rata to PCT 2002_03 al"/>
      <sheetName val="NAO Cost of Capital Calc"/>
      <sheetName val="Input Table (TB)"/>
      <sheetName val="Front"/>
      <sheetName val="By CC"/>
      <sheetName val="2002PCTs"/>
      <sheetName val="2. Overall Disp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hly Rec"/>
      <sheetName val="Adjustments"/>
      <sheetName val="NDRJnl"/>
      <sheetName val="WCJnl"/>
      <sheetName val="Aln"/>
      <sheetName val="Ber"/>
      <sheetName val="Bly"/>
      <sheetName val="Bre"/>
      <sheetName val="Car"/>
      <sheetName val="C Mor"/>
      <sheetName val="Chelm"/>
      <sheetName val="Ch Le"/>
      <sheetName val="Colch"/>
      <sheetName val="Dar"/>
      <sheetName val="Der"/>
      <sheetName val="Dur"/>
      <sheetName val="Eas"/>
      <sheetName val="Eden"/>
      <sheetName val="G'head"/>
      <sheetName val="Ham"/>
      <sheetName val="H'pool"/>
      <sheetName val="New"/>
      <sheetName val="N Tyne"/>
      <sheetName val="Redbr"/>
      <sheetName val="Red Cl"/>
      <sheetName val="Rich"/>
      <sheetName val="Sedg"/>
      <sheetName val="Stock"/>
      <sheetName val="Sund"/>
      <sheetName val="Tees"/>
      <sheetName val="Tyne"/>
      <sheetName val="Wans"/>
      <sheetName val="Wav"/>
      <sheetName val="Wear"/>
      <sheetName val="Ya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Table 1_growth rates"/>
      <sheetName val="Table 2_Total NHS"/>
      <sheetName val="Table 3_revenue"/>
      <sheetName val="Table 4_capital"/>
      <sheetName val="Table 5_GDP"/>
      <sheetName val="Raw Data"/>
      <sheetName val="GMonk270411"/>
      <sheetName val="GDP Workings"/>
      <sheetName val="England Total NHS"/>
      <sheetName val="SGEE_091012"/>
      <sheetName val="PW REC_071112"/>
      <sheetName val="GDP Deflators Autumn Statement "/>
      <sheetName val="GDP from JS 0512"/>
      <sheetName val="GDP from HMT 211212"/>
      <sheetName val="Table 2_PriorPeriodAdjustment"/>
      <sheetName val="#REF"/>
    </sheetNames>
    <sheetDataSet>
      <sheetData sheetId="0"/>
      <sheetData sheetId="1"/>
      <sheetData sheetId="2">
        <row r="53">
          <cell r="C53">
            <v>104.18173450159</v>
          </cell>
        </row>
      </sheetData>
      <sheetData sheetId="3"/>
      <sheetData sheetId="4"/>
      <sheetData sheetId="5"/>
      <sheetData sheetId="6">
        <row r="52">
          <cell r="O52">
            <v>2.1335702832163905E-2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ITERIA1"/>
      <sheetName val="Journal Summary"/>
      <sheetName val="Cascade Schedule"/>
      <sheetName val="DHF Cascade Coding"/>
      <sheetName val="CODE"/>
      <sheetName val="Journal 1"/>
      <sheetName val="Net WP"/>
      <sheetName val="#REF"/>
      <sheetName val="Front"/>
      <sheetName val="Bubble Data"/>
      <sheetName val="Bubble Chart"/>
      <sheetName val="NAO Cost of Capital Calc"/>
      <sheetName val="List"/>
      <sheetName val="Event 12 with ERO changes"/>
    </sheetNames>
    <sheetDataSet>
      <sheetData sheetId="0"/>
      <sheetData sheetId="1"/>
      <sheetData sheetId="2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lmsford "/>
      <sheetName val="Suffolk "/>
      <sheetName val="WaveneyDC"/>
      <sheetName val="Yarmouth"/>
    </sheetNames>
    <sheetDataSet>
      <sheetData sheetId="0">
        <row r="28">
          <cell r="G28">
            <v>0</v>
          </cell>
        </row>
      </sheetData>
      <sheetData sheetId="1"/>
      <sheetData sheetId="2"/>
      <sheetData sheetId="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Documentation &gt;&gt;"/>
      <sheetName val="Map &amp; Key"/>
      <sheetName val="User guide"/>
      <sheetName val="Rulebook Contents"/>
      <sheetName val="Rulebook"/>
      <sheetName val="Inputs &amp; Assumptions &gt;&gt;"/>
      <sheetName val="F_Inputs"/>
      <sheetName val="InpOverride"/>
      <sheetName val="Sensi"/>
      <sheetName val="InpActive"/>
      <sheetName val="Outputs &gt;&gt;"/>
      <sheetName val="Dashboard"/>
      <sheetName val="Exec Summary"/>
      <sheetName val="RCV balance Summary"/>
      <sheetName val="F_Outputs"/>
      <sheetName val="Inputs_Summary"/>
      <sheetName val="Notionalisation_Inputs_Summary"/>
      <sheetName val="FinStat_Wholesale"/>
      <sheetName val="FinStat_Retail"/>
      <sheetName val="FinStat_Appointee"/>
      <sheetName val="Reports &gt;&gt;"/>
      <sheetName val="Price Limits_Retail"/>
      <sheetName val="Headroom Check"/>
      <sheetName val="Tax Reconciliation"/>
      <sheetName val="Global &gt;&gt;"/>
      <sheetName val="Time"/>
      <sheetName val="Index"/>
      <sheetName val="Wholesale &gt;&gt;"/>
      <sheetName val="Wholesale Global"/>
      <sheetName val="Water Resources"/>
      <sheetName val="Water Network"/>
      <sheetName val="Wastewater Network"/>
      <sheetName val="Bio Resources"/>
      <sheetName val="Dummy Control"/>
      <sheetName val="Analysis_Water Resources"/>
      <sheetName val="Analysis_Water Network"/>
      <sheetName val="Analysis_Wastewater"/>
      <sheetName val="Analysis_Bio Resources"/>
      <sheetName val="Analysis_Dummy Control"/>
      <sheetName val="Wholesale"/>
      <sheetName val="Analysis_Wholesale"/>
      <sheetName val="FinStat_Water Resources"/>
      <sheetName val="FinStat_Water Network"/>
      <sheetName val="FinStat_Wastewater Network"/>
      <sheetName val="FinStat_Bio Resources"/>
      <sheetName val="FinStat_Dummy control"/>
      <sheetName val="Retail &gt;&gt;"/>
      <sheetName val="Retail_Residential"/>
      <sheetName val="Retail_Business"/>
      <sheetName val="FinStat_Residential"/>
      <sheetName val="FinStat_Business"/>
      <sheetName val="Appointee &gt;&gt;"/>
      <sheetName val="Appointee"/>
      <sheetName val="Analysis_Appointee"/>
      <sheetName val="RoRE_Calc"/>
      <sheetName val="Summary_Calc"/>
      <sheetName val="Graph data"/>
      <sheetName val="Model Control &gt;&gt;"/>
      <sheetName val="Track"/>
      <sheetName val="Check"/>
    </sheetNames>
    <sheetDataSet>
      <sheetData sheetId="0"/>
      <sheetData sheetId="1" refreshError="1"/>
      <sheetData sheetId="2" refreshError="1"/>
      <sheetData sheetId="3">
        <row r="1">
          <cell r="A1" t="str">
            <v>User guide</v>
          </cell>
        </row>
      </sheetData>
      <sheetData sheetId="4">
        <row r="1">
          <cell r="A1" t="str">
            <v>Rulebook Contents</v>
          </cell>
        </row>
      </sheetData>
      <sheetData sheetId="5">
        <row r="1">
          <cell r="A1" t="str">
            <v>Rulebook</v>
          </cell>
        </row>
      </sheetData>
      <sheetData sheetId="6" refreshError="1"/>
      <sheetData sheetId="7">
        <row r="177">
          <cell r="H177" t="str">
            <v>Water resources RCV ~ 1 April 2020 + Water resources IFRS16 RCV adjustment</v>
          </cell>
        </row>
      </sheetData>
      <sheetData sheetId="8" refreshError="1"/>
      <sheetData sheetId="9" refreshError="1"/>
      <sheetData sheetId="10">
        <row r="1891">
          <cell r="F1891">
            <v>9.9999999999999995E-7</v>
          </cell>
        </row>
        <row r="1893">
          <cell r="F1893">
            <v>1E-4</v>
          </cell>
        </row>
        <row r="1895">
          <cell r="F1895">
            <v>9.9999999999999995E-7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>
        <row r="12">
          <cell r="E12" t="str">
            <v>Operating income - Wholesale - nominal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>
        <row r="406">
          <cell r="E406" t="str">
            <v>Water resources grants and contributions - real</v>
          </cell>
        </row>
      </sheetData>
      <sheetData sheetId="31" refreshError="1"/>
      <sheetData sheetId="32">
        <row r="28">
          <cell r="E28" t="str">
            <v>Bulk supplies ~ wastewater network plus</v>
          </cell>
        </row>
      </sheetData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>
        <row r="107">
          <cell r="F107">
            <v>0</v>
          </cell>
        </row>
      </sheetData>
      <sheetData sheetId="52" refreshError="1"/>
      <sheetData sheetId="53" refreshError="1"/>
      <sheetData sheetId="54">
        <row r="178">
          <cell r="E178" t="str">
            <v>Operating expenditure - Wholesale - nominal</v>
          </cell>
        </row>
      </sheetData>
      <sheetData sheetId="55">
        <row r="1383">
          <cell r="E1383" t="str">
            <v>Earnings after tax (EAT) - Retail - nominal</v>
          </cell>
        </row>
      </sheetData>
      <sheetData sheetId="56" refreshError="1"/>
      <sheetData sheetId="57" refreshError="1"/>
      <sheetData sheetId="58" refreshError="1"/>
      <sheetData sheetId="59" refreshError="1"/>
      <sheetData sheetId="60">
        <row r="10">
          <cell r="F10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All companies + industry"/>
      <sheetName val="Model-proposal comparison"/>
      <sheetName val="Retail dashboard"/>
    </sheetNames>
    <definedNames>
      <definedName name="interpretation"/>
      <definedName name="time"/>
    </definedNames>
    <sheetDataSet>
      <sheetData sheetId="0"/>
      <sheetData sheetId="1"/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Ofwat 2015">
  <a:themeElements>
    <a:clrScheme name="Ofwat 2015">
      <a:dk1>
        <a:sysClr val="windowText" lastClr="000000"/>
      </a:dk1>
      <a:lt1>
        <a:sysClr val="window" lastClr="FFFFFF"/>
      </a:lt1>
      <a:dk2>
        <a:srgbClr val="003479"/>
      </a:dk2>
      <a:lt2>
        <a:srgbClr val="FFFFFF"/>
      </a:lt2>
      <a:accent1>
        <a:srgbClr val="0078C9"/>
      </a:accent1>
      <a:accent2>
        <a:srgbClr val="857362"/>
      </a:accent2>
      <a:accent3>
        <a:srgbClr val="F4AA00"/>
      </a:accent3>
      <a:accent4>
        <a:srgbClr val="719500"/>
      </a:accent4>
      <a:accent5>
        <a:srgbClr val="CA0083"/>
      </a:accent5>
      <a:accent6>
        <a:srgbClr val="FE4819"/>
      </a:accent6>
      <a:hlink>
        <a:srgbClr val="0078C9"/>
      </a:hlink>
      <a:folHlink>
        <a:srgbClr val="CA0083"/>
      </a:folHlink>
    </a:clrScheme>
    <a:fontScheme name="Ofwat 2015">
      <a:majorFont>
        <a:latin typeface="Franklin Gothic Demi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wat 2015" id="{36769190-06E5-4B0D-BBEE-F7C9DCFB7CF9}" vid="{68BE51FB-F913-4D5C-B764-6C8B1472EBF8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V18"/>
  <sheetViews>
    <sheetView showGridLines="0" tabSelected="1" zoomScale="80" zoomScaleNormal="80" workbookViewId="0"/>
  </sheetViews>
  <sheetFormatPr defaultColWidth="8.625" defaultRowHeight="15" x14ac:dyDescent="0.25"/>
  <cols>
    <col min="1" max="1" width="4.125" style="3" customWidth="1"/>
    <col min="2" max="2" width="24" style="3" customWidth="1"/>
    <col min="3" max="21" width="8.625" style="3"/>
    <col min="22" max="22" width="17.375" style="3" customWidth="1"/>
    <col min="23" max="16384" width="8.625" style="3"/>
  </cols>
  <sheetData>
    <row r="1" spans="1:22" ht="18.75" x14ac:dyDescent="0.3">
      <c r="A1" s="2" t="s">
        <v>244</v>
      </c>
    </row>
    <row r="2" spans="1:22" s="4" customFormat="1" x14ac:dyDescent="0.25">
      <c r="A2" s="178" t="s">
        <v>329</v>
      </c>
    </row>
    <row r="3" spans="1:22" s="6" customFormat="1" x14ac:dyDescent="0.25">
      <c r="A3" s="5"/>
    </row>
    <row r="4" spans="1:22" x14ac:dyDescent="0.25">
      <c r="B4" s="182" t="s">
        <v>19</v>
      </c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4"/>
    </row>
    <row r="5" spans="1:22" x14ac:dyDescent="0.25">
      <c r="B5" s="185" t="s">
        <v>315</v>
      </c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186"/>
      <c r="S5" s="186"/>
      <c r="T5" s="186"/>
      <c r="U5" s="186"/>
      <c r="V5" s="187"/>
    </row>
    <row r="6" spans="1:22" x14ac:dyDescent="0.25">
      <c r="B6" s="185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7"/>
    </row>
    <row r="7" spans="1:22" x14ac:dyDescent="0.25">
      <c r="B7" s="188" t="s">
        <v>316</v>
      </c>
      <c r="C7" s="189"/>
      <c r="D7" s="186"/>
      <c r="E7" s="186"/>
      <c r="F7" s="186"/>
      <c r="G7" s="186"/>
      <c r="H7" s="186"/>
      <c r="I7" s="186"/>
      <c r="J7" s="186"/>
      <c r="K7" s="186"/>
      <c r="L7" s="186"/>
      <c r="M7" s="186"/>
      <c r="N7" s="186"/>
      <c r="O7" s="186"/>
      <c r="P7" s="186"/>
      <c r="Q7" s="186"/>
      <c r="R7" s="186"/>
      <c r="S7" s="186"/>
      <c r="T7" s="186"/>
      <c r="U7" s="186"/>
      <c r="V7" s="187"/>
    </row>
    <row r="8" spans="1:22" x14ac:dyDescent="0.25">
      <c r="B8" s="190" t="s">
        <v>317</v>
      </c>
      <c r="C8" s="191" t="s">
        <v>318</v>
      </c>
      <c r="D8" s="186"/>
      <c r="E8" s="186"/>
      <c r="F8" s="186"/>
      <c r="G8" s="186"/>
      <c r="H8" s="186"/>
      <c r="I8" s="186"/>
      <c r="J8" s="186"/>
      <c r="K8" s="186"/>
      <c r="L8" s="186"/>
      <c r="M8" s="186"/>
      <c r="N8" s="186"/>
      <c r="O8" s="186"/>
      <c r="P8" s="186"/>
      <c r="Q8" s="186"/>
      <c r="R8" s="186"/>
      <c r="S8" s="186"/>
      <c r="T8" s="186"/>
      <c r="U8" s="186"/>
      <c r="V8" s="187"/>
    </row>
    <row r="9" spans="1:22" x14ac:dyDescent="0.25">
      <c r="B9" s="185" t="s">
        <v>255</v>
      </c>
      <c r="C9" s="189" t="s">
        <v>325</v>
      </c>
      <c r="D9" s="186"/>
      <c r="E9" s="186"/>
      <c r="F9" s="186"/>
      <c r="G9" s="186"/>
      <c r="H9" s="186"/>
      <c r="I9" s="186"/>
      <c r="J9" s="186"/>
      <c r="K9" s="186"/>
      <c r="L9" s="186"/>
      <c r="M9" s="186"/>
      <c r="N9" s="186"/>
      <c r="O9" s="186"/>
      <c r="P9" s="186"/>
      <c r="Q9" s="186"/>
      <c r="R9" s="186"/>
      <c r="S9" s="186"/>
      <c r="T9" s="186"/>
      <c r="U9" s="186"/>
      <c r="V9" s="187"/>
    </row>
    <row r="10" spans="1:22" x14ac:dyDescent="0.25">
      <c r="B10" s="185" t="s">
        <v>326</v>
      </c>
      <c r="C10" s="189" t="s">
        <v>327</v>
      </c>
      <c r="D10" s="186"/>
      <c r="E10" s="186"/>
      <c r="F10" s="186"/>
      <c r="G10" s="186"/>
      <c r="H10" s="186"/>
      <c r="I10" s="186"/>
      <c r="J10" s="186"/>
      <c r="K10" s="186"/>
      <c r="L10" s="186"/>
      <c r="M10" s="186"/>
      <c r="N10" s="186"/>
      <c r="O10" s="186"/>
      <c r="P10" s="186"/>
      <c r="Q10" s="186"/>
      <c r="R10" s="186"/>
      <c r="S10" s="186"/>
      <c r="T10" s="186"/>
      <c r="U10" s="186"/>
      <c r="V10" s="187"/>
    </row>
    <row r="11" spans="1:22" x14ac:dyDescent="0.25">
      <c r="B11" s="185" t="s">
        <v>150</v>
      </c>
      <c r="C11" s="192" t="s">
        <v>328</v>
      </c>
      <c r="D11" s="186"/>
      <c r="E11" s="186"/>
      <c r="F11" s="186"/>
      <c r="G11" s="186"/>
      <c r="H11" s="186"/>
      <c r="I11" s="186"/>
      <c r="J11" s="186"/>
      <c r="K11" s="186"/>
      <c r="L11" s="186"/>
      <c r="M11" s="186"/>
      <c r="N11" s="186"/>
      <c r="O11" s="186"/>
      <c r="P11" s="186"/>
      <c r="Q11" s="186"/>
      <c r="R11" s="186"/>
      <c r="S11" s="186"/>
      <c r="T11" s="186"/>
      <c r="U11" s="186"/>
      <c r="V11" s="187"/>
    </row>
    <row r="12" spans="1:22" x14ac:dyDescent="0.25">
      <c r="B12" s="185"/>
      <c r="C12" s="186" t="s">
        <v>319</v>
      </c>
      <c r="D12" s="186"/>
      <c r="E12" s="186"/>
      <c r="F12" s="186"/>
      <c r="G12" s="186"/>
      <c r="H12" s="186"/>
      <c r="I12" s="186"/>
      <c r="J12" s="186"/>
      <c r="K12" s="186"/>
      <c r="L12" s="186"/>
      <c r="M12" s="186"/>
      <c r="N12" s="186"/>
      <c r="O12" s="186"/>
      <c r="P12" s="186"/>
      <c r="Q12" s="186"/>
      <c r="R12" s="186"/>
      <c r="S12" s="186"/>
      <c r="T12" s="186"/>
      <c r="U12" s="186"/>
      <c r="V12" s="187"/>
    </row>
    <row r="13" spans="1:22" x14ac:dyDescent="0.25">
      <c r="B13" s="185" t="s">
        <v>320</v>
      </c>
      <c r="C13" s="186" t="s">
        <v>321</v>
      </c>
      <c r="D13" s="186"/>
      <c r="E13" s="186"/>
      <c r="F13" s="186"/>
      <c r="G13" s="186"/>
      <c r="H13" s="186"/>
      <c r="I13" s="186"/>
      <c r="J13" s="186"/>
      <c r="K13" s="186"/>
      <c r="L13" s="186"/>
      <c r="M13" s="186"/>
      <c r="N13" s="186"/>
      <c r="O13" s="186"/>
      <c r="P13" s="186"/>
      <c r="Q13" s="186"/>
      <c r="R13" s="186"/>
      <c r="S13" s="186"/>
      <c r="T13" s="186"/>
      <c r="U13" s="186"/>
      <c r="V13" s="187"/>
    </row>
    <row r="14" spans="1:22" x14ac:dyDescent="0.25">
      <c r="B14" s="185"/>
      <c r="C14" s="193" t="s">
        <v>322</v>
      </c>
      <c r="D14" s="186"/>
      <c r="E14" s="186"/>
      <c r="F14" s="186"/>
      <c r="G14" s="186"/>
      <c r="H14" s="186"/>
      <c r="I14" s="186"/>
      <c r="J14" s="186"/>
      <c r="K14" s="186"/>
      <c r="L14" s="186"/>
      <c r="M14" s="186"/>
      <c r="N14" s="186"/>
      <c r="O14" s="186"/>
      <c r="P14" s="186"/>
      <c r="Q14" s="186"/>
      <c r="R14" s="186"/>
      <c r="S14" s="186"/>
      <c r="T14" s="186"/>
      <c r="U14" s="186"/>
      <c r="V14" s="187"/>
    </row>
    <row r="15" spans="1:22" x14ac:dyDescent="0.25">
      <c r="B15" s="185"/>
      <c r="C15" s="191" t="s">
        <v>323</v>
      </c>
      <c r="D15" s="186"/>
      <c r="E15" s="186"/>
      <c r="F15" s="186"/>
      <c r="G15" s="186"/>
      <c r="H15" s="186"/>
      <c r="I15" s="186"/>
      <c r="J15" s="186"/>
      <c r="K15" s="186"/>
      <c r="L15" s="186"/>
      <c r="M15" s="186"/>
      <c r="N15" s="186"/>
      <c r="O15" s="186"/>
      <c r="P15" s="186"/>
      <c r="Q15" s="186"/>
      <c r="R15" s="186"/>
      <c r="S15" s="186"/>
      <c r="T15" s="186"/>
      <c r="U15" s="186"/>
      <c r="V15" s="187"/>
    </row>
    <row r="16" spans="1:22" x14ac:dyDescent="0.25">
      <c r="B16" s="194"/>
      <c r="C16" s="195"/>
      <c r="D16" s="195"/>
      <c r="E16" s="195"/>
      <c r="F16" s="195"/>
      <c r="G16" s="195"/>
      <c r="H16" s="195"/>
      <c r="I16" s="195"/>
      <c r="J16" s="195"/>
      <c r="K16" s="195"/>
      <c r="L16" s="195"/>
      <c r="M16" s="195"/>
      <c r="N16" s="195"/>
      <c r="O16" s="195"/>
      <c r="P16" s="195"/>
      <c r="Q16" s="195"/>
      <c r="R16" s="195"/>
      <c r="S16" s="195"/>
      <c r="T16" s="195"/>
      <c r="U16" s="195"/>
      <c r="V16" s="196"/>
    </row>
    <row r="18" spans="2:2" x14ac:dyDescent="0.25">
      <c r="B18" s="68"/>
    </row>
  </sheetData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P97"/>
  <sheetViews>
    <sheetView showGridLines="0" zoomScale="85" zoomScaleNormal="85" workbookViewId="0"/>
  </sheetViews>
  <sheetFormatPr defaultRowHeight="14.25" x14ac:dyDescent="0.2"/>
  <cols>
    <col min="2" max="2" width="11" customWidth="1"/>
    <col min="3" max="3" width="9.875" customWidth="1"/>
    <col min="4" max="4" width="19.5" customWidth="1"/>
    <col min="5" max="5" width="21.375" customWidth="1"/>
    <col min="6" max="7" width="17.625" customWidth="1"/>
    <col min="8" max="8" width="1.875" style="17" customWidth="1"/>
    <col min="9" max="9" width="17" bestFit="1" customWidth="1"/>
    <col min="10" max="10" width="13.5" customWidth="1"/>
    <col min="11" max="11" width="11.125" customWidth="1"/>
    <col min="12" max="12" width="14.875" bestFit="1" customWidth="1"/>
  </cols>
  <sheetData>
    <row r="1" spans="1:16" x14ac:dyDescent="0.2">
      <c r="A1" s="77" t="s">
        <v>217</v>
      </c>
      <c r="B1" s="78">
        <f>COUNTA(A4:A88)</f>
        <v>85</v>
      </c>
      <c r="D1" s="198" t="s">
        <v>259</v>
      </c>
      <c r="E1" s="198"/>
      <c r="F1" s="198"/>
      <c r="G1" s="148"/>
      <c r="I1" s="197" t="s">
        <v>258</v>
      </c>
      <c r="J1" s="197"/>
      <c r="K1" s="197"/>
      <c r="L1" s="197"/>
      <c r="M1" s="197"/>
    </row>
    <row r="2" spans="1:16" ht="24.75" customHeight="1" x14ac:dyDescent="0.2">
      <c r="D2" s="48" t="s">
        <v>263</v>
      </c>
      <c r="E2" s="48" t="s">
        <v>261</v>
      </c>
      <c r="F2" s="48" t="s">
        <v>262</v>
      </c>
      <c r="G2" s="149" t="s">
        <v>276</v>
      </c>
      <c r="I2" s="128" t="s">
        <v>292</v>
      </c>
      <c r="J2" s="128" t="s">
        <v>280</v>
      </c>
      <c r="K2" s="128"/>
      <c r="L2" s="128" t="s">
        <v>282</v>
      </c>
      <c r="M2" s="48" t="s">
        <v>310</v>
      </c>
    </row>
    <row r="3" spans="1:16" ht="89.25" x14ac:dyDescent="0.2">
      <c r="A3" s="114" t="s">
        <v>254</v>
      </c>
      <c r="B3" s="114" t="s">
        <v>38</v>
      </c>
      <c r="C3" s="114" t="s">
        <v>231</v>
      </c>
      <c r="D3" s="48" t="s">
        <v>298</v>
      </c>
      <c r="E3" s="48" t="s">
        <v>299</v>
      </c>
      <c r="F3" s="48" t="s">
        <v>300</v>
      </c>
      <c r="G3" s="149" t="s">
        <v>301</v>
      </c>
      <c r="H3" s="11"/>
      <c r="I3" s="48" t="s">
        <v>302</v>
      </c>
      <c r="J3" s="48" t="s">
        <v>303</v>
      </c>
      <c r="K3" s="48" t="s">
        <v>305</v>
      </c>
      <c r="L3" s="48" t="s">
        <v>257</v>
      </c>
      <c r="M3" s="48" t="s">
        <v>310</v>
      </c>
      <c r="P3" s="129"/>
    </row>
    <row r="4" spans="1:16" x14ac:dyDescent="0.2">
      <c r="A4" s="116" t="s">
        <v>58</v>
      </c>
      <c r="B4" s="19" t="s">
        <v>20</v>
      </c>
      <c r="C4" s="19" t="s">
        <v>49</v>
      </c>
      <c r="D4" s="97">
        <f>(M4*1000)/L4</f>
        <v>27.448139778489168</v>
      </c>
      <c r="E4" s="97">
        <f>J4*K4</f>
        <v>2.1756310746867329</v>
      </c>
      <c r="F4" s="97">
        <f>I4</f>
        <v>0.78299791390601503</v>
      </c>
      <c r="G4" s="150">
        <v>0</v>
      </c>
      <c r="H4" s="12"/>
      <c r="I4" s="169">
        <v>0.78299791390601503</v>
      </c>
      <c r="J4" s="169">
        <v>2.6040541400203701</v>
      </c>
      <c r="K4" s="169">
        <f>Controls!$F$17</f>
        <v>0.83547843389681375</v>
      </c>
      <c r="L4" s="170">
        <f>INDEX(Drivers!$L$5:$L$104, MATCH('Financial model inputs'!$A4, Drivers!$C$5:$C$104, 0))</f>
        <v>2917.2750000000001</v>
      </c>
      <c r="M4" s="169">
        <f>INDEX('Final allowance'!$B$5:$G$23,MATCH('Financial model inputs'!$B4,'Final allowance'!$B$5:$B$23,0),MATCH('Financial model inputs'!$M$2,'Final allowance'!$B$5:$G$5,0))/5</f>
        <v>80.073771972291979</v>
      </c>
    </row>
    <row r="5" spans="1:16" x14ac:dyDescent="0.2">
      <c r="A5" s="116" t="s">
        <v>59</v>
      </c>
      <c r="B5" s="19" t="s">
        <v>20</v>
      </c>
      <c r="C5" s="19" t="s">
        <v>50</v>
      </c>
      <c r="D5" s="97">
        <f>(M5*1000)/L5</f>
        <v>27.034185973166949</v>
      </c>
      <c r="E5" s="97">
        <f t="shared" ref="E5:E68" si="0">J5*K5</f>
        <v>2.2067077879129586</v>
      </c>
      <c r="F5" s="97">
        <f t="shared" ref="F5:F68" si="1">I5</f>
        <v>0.78419304985538496</v>
      </c>
      <c r="G5" s="150">
        <v>0</v>
      </c>
      <c r="H5" s="15"/>
      <c r="I5" s="169">
        <v>0.78419304985538496</v>
      </c>
      <c r="J5" s="169">
        <v>2.6412504481061201</v>
      </c>
      <c r="K5" s="169">
        <f>Controls!$F$17</f>
        <v>0.83547843389681375</v>
      </c>
      <c r="L5" s="170">
        <f>INDEX(Drivers!$L$5:$L$104, MATCH('Financial model inputs'!$A5, Drivers!$C$5:$C$104, 0))</f>
        <v>2961.9450000000002</v>
      </c>
      <c r="M5" s="169">
        <f>INDEX('Final allowance'!$B$5:$G$23,MATCH('Financial model inputs'!$B5,'Final allowance'!$B$5:$B$23,0),MATCH('Financial model inputs'!$M$2,'Final allowance'!$B$5:$G$5,0))/5</f>
        <v>80.073771972291979</v>
      </c>
      <c r="P5" s="130"/>
    </row>
    <row r="6" spans="1:16" x14ac:dyDescent="0.2">
      <c r="A6" s="116" t="s">
        <v>60</v>
      </c>
      <c r="B6" s="19" t="s">
        <v>20</v>
      </c>
      <c r="C6" s="19" t="s">
        <v>51</v>
      </c>
      <c r="D6" s="97">
        <f t="shared" ref="D6:D68" si="2">(M6*1000)/L6</f>
        <v>26.667594278773965</v>
      </c>
      <c r="E6" s="97">
        <f t="shared" si="0"/>
        <v>1.897621406038863</v>
      </c>
      <c r="F6" s="97">
        <f t="shared" si="1"/>
        <v>0.78233635298079596</v>
      </c>
      <c r="G6" s="150">
        <v>0</v>
      </c>
      <c r="H6" s="15"/>
      <c r="I6" s="169">
        <v>0.78233635298079596</v>
      </c>
      <c r="J6" s="169">
        <v>2.2712990892990899</v>
      </c>
      <c r="K6" s="169">
        <f>Controls!$F$17</f>
        <v>0.83547843389681375</v>
      </c>
      <c r="L6" s="170">
        <f>INDEX(Drivers!$L$5:$L$104, MATCH('Financial model inputs'!$A6, Drivers!$C$5:$C$104, 0))</f>
        <v>3002.6619999999998</v>
      </c>
      <c r="M6" s="169">
        <f>INDEX('Final allowance'!$B$5:$G$23,MATCH('Financial model inputs'!$B6,'Final allowance'!$B$5:$B$23,0),MATCH('Financial model inputs'!$M$2,'Final allowance'!$B$5:$G$5,0))/5</f>
        <v>80.073771972291979</v>
      </c>
      <c r="P6" s="131"/>
    </row>
    <row r="7" spans="1:16" x14ac:dyDescent="0.2">
      <c r="A7" s="116" t="s">
        <v>61</v>
      </c>
      <c r="B7" s="19" t="s">
        <v>20</v>
      </c>
      <c r="C7" s="19" t="s">
        <v>52</v>
      </c>
      <c r="D7" s="97">
        <f t="shared" si="2"/>
        <v>26.327196080957815</v>
      </c>
      <c r="E7" s="97">
        <f t="shared" si="0"/>
        <v>1.4765183675994948</v>
      </c>
      <c r="F7" s="97">
        <f t="shared" si="1"/>
        <v>0.78201824386465302</v>
      </c>
      <c r="G7" s="150">
        <v>0</v>
      </c>
      <c r="H7" s="15"/>
      <c r="I7" s="169">
        <v>0.78201824386465302</v>
      </c>
      <c r="J7" s="169">
        <v>1.7672728674907401</v>
      </c>
      <c r="K7" s="169">
        <f>Controls!$F$17</f>
        <v>0.83547843389681375</v>
      </c>
      <c r="L7" s="170">
        <f>INDEX(Drivers!$L$5:$L$104, MATCH('Financial model inputs'!$A7, Drivers!$C$5:$C$104, 0))</f>
        <v>3041.4850000000001</v>
      </c>
      <c r="M7" s="169">
        <f>INDEX('Final allowance'!$B$5:$G$23,MATCH('Financial model inputs'!$B7,'Final allowance'!$B$5:$B$23,0),MATCH('Financial model inputs'!$M$2,'Final allowance'!$B$5:$G$5,0))/5</f>
        <v>80.073771972291979</v>
      </c>
      <c r="P7" s="131"/>
    </row>
    <row r="8" spans="1:16" x14ac:dyDescent="0.2">
      <c r="A8" s="116" t="s">
        <v>62</v>
      </c>
      <c r="B8" s="19" t="s">
        <v>20</v>
      </c>
      <c r="C8" s="19" t="s">
        <v>53</v>
      </c>
      <c r="D8" s="97">
        <f t="shared" si="2"/>
        <v>26.012284669650121</v>
      </c>
      <c r="E8" s="97">
        <f t="shared" si="0"/>
        <v>1.0371817748872931</v>
      </c>
      <c r="F8" s="97">
        <f t="shared" si="1"/>
        <v>0.78227813693340198</v>
      </c>
      <c r="G8" s="150">
        <v>0</v>
      </c>
      <c r="H8" s="15"/>
      <c r="I8" s="169">
        <v>0.78227813693340198</v>
      </c>
      <c r="J8" s="169">
        <v>1.2414225583893299</v>
      </c>
      <c r="K8" s="169">
        <f>Controls!$F$17</f>
        <v>0.83547843389681375</v>
      </c>
      <c r="L8" s="170">
        <f>INDEX(Drivers!$L$5:$L$104, MATCH('Financial model inputs'!$A8, Drivers!$C$5:$C$104, 0))</f>
        <v>3078.306</v>
      </c>
      <c r="M8" s="169">
        <f>INDEX('Final allowance'!$B$5:$G$23,MATCH('Financial model inputs'!$B8,'Final allowance'!$B$5:$B$23,0),MATCH('Financial model inputs'!$M$2,'Final allowance'!$B$5:$G$5,0))/5</f>
        <v>80.073771972291979</v>
      </c>
    </row>
    <row r="9" spans="1:16" x14ac:dyDescent="0.2">
      <c r="A9" s="116" t="s">
        <v>63</v>
      </c>
      <c r="B9" s="19" t="s">
        <v>21</v>
      </c>
      <c r="C9" s="19" t="s">
        <v>49</v>
      </c>
      <c r="D9" s="97">
        <f t="shared" si="2"/>
        <v>25.742910984685068</v>
      </c>
      <c r="E9" s="97">
        <f t="shared" si="0"/>
        <v>2.0445440499865275</v>
      </c>
      <c r="F9" s="97">
        <f t="shared" si="1"/>
        <v>2.00084701099233</v>
      </c>
      <c r="G9" s="150">
        <v>0</v>
      </c>
      <c r="H9" s="15"/>
      <c r="I9" s="169">
        <v>2.00084701099233</v>
      </c>
      <c r="J9" s="169">
        <v>2.4471535913266198</v>
      </c>
      <c r="K9" s="169">
        <f>Controls!$F$17</f>
        <v>0.83547843389681375</v>
      </c>
      <c r="L9" s="170">
        <f>INDEX(Drivers!$L$5:$L$104, MATCH('Financial model inputs'!$A9, Drivers!$C$5:$C$104, 0))</f>
        <v>1954.1489999999999</v>
      </c>
      <c r="M9" s="169">
        <f>INDEX('Final allowance'!$B$5:$G$23,MATCH('Financial model inputs'!$B9,'Final allowance'!$B$5:$B$23,0),MATCH('Financial model inputs'!$M$2,'Final allowance'!$B$5:$G$5,0))/5</f>
        <v>50.305483757811338</v>
      </c>
    </row>
    <row r="10" spans="1:16" x14ac:dyDescent="0.2">
      <c r="A10" s="116" t="s">
        <v>64</v>
      </c>
      <c r="B10" s="19" t="s">
        <v>21</v>
      </c>
      <c r="C10" s="19" t="s">
        <v>50</v>
      </c>
      <c r="D10" s="97">
        <f t="shared" si="2"/>
        <v>25.496511341320694</v>
      </c>
      <c r="E10" s="97">
        <f t="shared" si="0"/>
        <v>2.0556056865012424</v>
      </c>
      <c r="F10" s="97">
        <f t="shared" si="1"/>
        <v>1.9997044145873399</v>
      </c>
      <c r="G10" s="150">
        <v>0</v>
      </c>
      <c r="H10" s="15"/>
      <c r="I10" s="169">
        <v>1.9997044145873399</v>
      </c>
      <c r="J10" s="169">
        <v>2.4603934740883102</v>
      </c>
      <c r="K10" s="169">
        <f>Controls!$F$17</f>
        <v>0.83547843389681375</v>
      </c>
      <c r="L10" s="170">
        <f>INDEX(Drivers!$L$5:$L$104, MATCH('Financial model inputs'!$A10, Drivers!$C$5:$C$104, 0))</f>
        <v>1973.0340000000001</v>
      </c>
      <c r="M10" s="169">
        <f>INDEX('Final allowance'!$B$5:$G$23,MATCH('Financial model inputs'!$B10,'Final allowance'!$B$5:$B$23,0),MATCH('Financial model inputs'!$M$2,'Final allowance'!$B$5:$G$5,0))/5</f>
        <v>50.305483757811338</v>
      </c>
    </row>
    <row r="11" spans="1:16" x14ac:dyDescent="0.2">
      <c r="A11" s="116" t="s">
        <v>65</v>
      </c>
      <c r="B11" s="19" t="s">
        <v>21</v>
      </c>
      <c r="C11" s="19" t="s">
        <v>51</v>
      </c>
      <c r="D11" s="97">
        <f t="shared" si="2"/>
        <v>25.261961971489402</v>
      </c>
      <c r="E11" s="97">
        <f t="shared" si="0"/>
        <v>2.0680727427954562</v>
      </c>
      <c r="F11" s="97">
        <f t="shared" si="1"/>
        <v>2.0010686061658798</v>
      </c>
      <c r="G11" s="150">
        <v>0</v>
      </c>
      <c r="H11" s="15"/>
      <c r="I11" s="169">
        <v>2.0010686061658798</v>
      </c>
      <c r="J11" s="169">
        <v>2.4753155304675101</v>
      </c>
      <c r="K11" s="169">
        <f>Controls!$F$17</f>
        <v>0.83547843389681375</v>
      </c>
      <c r="L11" s="170">
        <f>INDEX(Drivers!$L$5:$L$104, MATCH('Financial model inputs'!$A11, Drivers!$C$5:$C$104, 0))</f>
        <v>1991.3530000000001</v>
      </c>
      <c r="M11" s="169">
        <f>INDEX('Final allowance'!$B$5:$G$23,MATCH('Financial model inputs'!$B11,'Final allowance'!$B$5:$B$23,0),MATCH('Financial model inputs'!$M$2,'Final allowance'!$B$5:$G$5,0))/5</f>
        <v>50.305483757811338</v>
      </c>
    </row>
    <row r="12" spans="1:16" x14ac:dyDescent="0.2">
      <c r="A12" s="116" t="s">
        <v>66</v>
      </c>
      <c r="B12" s="19" t="s">
        <v>21</v>
      </c>
      <c r="C12" s="19" t="s">
        <v>52</v>
      </c>
      <c r="D12" s="97">
        <f t="shared" si="2"/>
        <v>25.03967522542526</v>
      </c>
      <c r="E12" s="97">
        <f t="shared" si="0"/>
        <v>2.0809508072327416</v>
      </c>
      <c r="F12" s="97">
        <f t="shared" si="1"/>
        <v>1.99914985100043</v>
      </c>
      <c r="G12" s="150">
        <v>0</v>
      </c>
      <c r="H12" s="15"/>
      <c r="I12" s="169">
        <v>1.99914985100043</v>
      </c>
      <c r="J12" s="169">
        <v>2.4907295302965902</v>
      </c>
      <c r="K12" s="169">
        <f>Controls!$F$17</f>
        <v>0.83547843389681375</v>
      </c>
      <c r="L12" s="170">
        <f>INDEX(Drivers!$L$5:$L$104, MATCH('Financial model inputs'!$A12, Drivers!$C$5:$C$104, 0))</f>
        <v>2009.0309999999999</v>
      </c>
      <c r="M12" s="169">
        <f>INDEX('Final allowance'!$B$5:$G$23,MATCH('Financial model inputs'!$B12,'Final allowance'!$B$5:$B$23,0),MATCH('Financial model inputs'!$M$2,'Final allowance'!$B$5:$G$5,0))/5</f>
        <v>50.305483757811338</v>
      </c>
    </row>
    <row r="13" spans="1:16" x14ac:dyDescent="0.2">
      <c r="A13" s="116" t="s">
        <v>67</v>
      </c>
      <c r="B13" s="19" t="s">
        <v>21</v>
      </c>
      <c r="C13" s="19" t="s">
        <v>53</v>
      </c>
      <c r="D13" s="97">
        <f t="shared" si="2"/>
        <v>24.821903142865981</v>
      </c>
      <c r="E13" s="97">
        <f t="shared" si="0"/>
        <v>2.091588210407914</v>
      </c>
      <c r="F13" s="97">
        <f t="shared" si="1"/>
        <v>2.00068164429298</v>
      </c>
      <c r="G13" s="150">
        <v>0</v>
      </c>
      <c r="H13" s="15"/>
      <c r="I13" s="169">
        <v>2.00068164429298</v>
      </c>
      <c r="J13" s="169">
        <v>2.5034616401196499</v>
      </c>
      <c r="K13" s="169">
        <f>Controls!$F$17</f>
        <v>0.83547843389681375</v>
      </c>
      <c r="L13" s="170">
        <f>INDEX(Drivers!$L$5:$L$104, MATCH('Financial model inputs'!$A13, Drivers!$C$5:$C$104, 0))</f>
        <v>2026.6569999999999</v>
      </c>
      <c r="M13" s="169">
        <f>INDEX('Final allowance'!$B$5:$G$23,MATCH('Financial model inputs'!$B13,'Final allowance'!$B$5:$B$23,0),MATCH('Financial model inputs'!$M$2,'Final allowance'!$B$5:$G$5,0))/5</f>
        <v>50.305483757811338</v>
      </c>
    </row>
    <row r="14" spans="1:16" x14ac:dyDescent="0.2">
      <c r="A14" s="116" t="s">
        <v>68</v>
      </c>
      <c r="B14" s="19" t="s">
        <v>22</v>
      </c>
      <c r="C14" s="19" t="s">
        <v>49</v>
      </c>
      <c r="D14" s="97">
        <f t="shared" si="2"/>
        <v>31.345067877805548</v>
      </c>
      <c r="E14" s="97">
        <f t="shared" si="0"/>
        <v>4.9214571485465424</v>
      </c>
      <c r="F14" s="97">
        <f t="shared" si="1"/>
        <v>9.4730731041796794</v>
      </c>
      <c r="G14" s="150">
        <v>0</v>
      </c>
      <c r="H14" s="15"/>
      <c r="I14" s="169">
        <v>9.4730731041796794</v>
      </c>
      <c r="J14" s="169">
        <v>5.8905855003246801</v>
      </c>
      <c r="K14" s="169">
        <f>Controls!$F$17</f>
        <v>0.83547843389681375</v>
      </c>
      <c r="L14" s="170">
        <f>INDEX(Drivers!$L$5:$L$104, MATCH('Financial model inputs'!$A14, Drivers!$C$5:$C$104, 0))</f>
        <v>3042.2880536584098</v>
      </c>
      <c r="M14" s="169">
        <f>INDEX('Final allowance'!$B$5:$G$23,MATCH('Financial model inputs'!$B14,'Final allowance'!$B$5:$B$23,0),MATCH('Financial model inputs'!$M$2,'Final allowance'!$B$5:$G$5,0))/5</f>
        <v>95.360725545759777</v>
      </c>
    </row>
    <row r="15" spans="1:16" x14ac:dyDescent="0.2">
      <c r="A15" s="116" t="s">
        <v>69</v>
      </c>
      <c r="B15" s="19" t="s">
        <v>22</v>
      </c>
      <c r="C15" s="19" t="s">
        <v>50</v>
      </c>
      <c r="D15" s="97">
        <f t="shared" si="2"/>
        <v>31.112399853793242</v>
      </c>
      <c r="E15" s="97">
        <f t="shared" si="0"/>
        <v>5.1544526414484606</v>
      </c>
      <c r="F15" s="97">
        <f t="shared" si="1"/>
        <v>2.5147841103969402</v>
      </c>
      <c r="G15" s="150">
        <v>0</v>
      </c>
      <c r="H15" s="15"/>
      <c r="I15" s="169">
        <v>2.5147841103969402</v>
      </c>
      <c r="J15" s="169">
        <v>6.1694622294524297</v>
      </c>
      <c r="K15" s="169">
        <f>Controls!$F$17</f>
        <v>0.83547843389681375</v>
      </c>
      <c r="L15" s="170">
        <f>INDEX(Drivers!$L$5:$L$104, MATCH('Financial model inputs'!$A15, Drivers!$C$5:$C$104, 0))</f>
        <v>3065.0392124647801</v>
      </c>
      <c r="M15" s="169">
        <f>INDEX('Final allowance'!$B$5:$G$23,MATCH('Financial model inputs'!$B15,'Final allowance'!$B$5:$B$23,0),MATCH('Financial model inputs'!$M$2,'Final allowance'!$B$5:$G$5,0))/5</f>
        <v>95.360725545759777</v>
      </c>
    </row>
    <row r="16" spans="1:16" x14ac:dyDescent="0.2">
      <c r="A16" s="116" t="s">
        <v>70</v>
      </c>
      <c r="B16" s="19" t="s">
        <v>22</v>
      </c>
      <c r="C16" s="19" t="s">
        <v>51</v>
      </c>
      <c r="D16" s="97">
        <f t="shared" si="2"/>
        <v>30.872865076264727</v>
      </c>
      <c r="E16" s="97">
        <f t="shared" si="0"/>
        <v>5.1327658650445205</v>
      </c>
      <c r="F16" s="97">
        <f t="shared" si="1"/>
        <v>2.4672795042866</v>
      </c>
      <c r="G16" s="150">
        <v>0</v>
      </c>
      <c r="H16" s="15"/>
      <c r="I16" s="169">
        <v>2.4672795042866</v>
      </c>
      <c r="J16" s="169">
        <v>6.1435049150274601</v>
      </c>
      <c r="K16" s="169">
        <f>Controls!$F$17</f>
        <v>0.83547843389681375</v>
      </c>
      <c r="L16" s="170">
        <f>INDEX(Drivers!$L$5:$L$104, MATCH('Financial model inputs'!$A16, Drivers!$C$5:$C$104, 0))</f>
        <v>3088.8200790626902</v>
      </c>
      <c r="M16" s="169">
        <f>INDEX('Final allowance'!$B$5:$G$23,MATCH('Financial model inputs'!$B16,'Final allowance'!$B$5:$B$23,0),MATCH('Financial model inputs'!$M$2,'Final allowance'!$B$5:$G$5,0))/5</f>
        <v>95.360725545759777</v>
      </c>
    </row>
    <row r="17" spans="1:13" x14ac:dyDescent="0.2">
      <c r="A17" s="116" t="s">
        <v>71</v>
      </c>
      <c r="B17" s="19" t="s">
        <v>22</v>
      </c>
      <c r="C17" s="19" t="s">
        <v>52</v>
      </c>
      <c r="D17" s="97">
        <f t="shared" si="2"/>
        <v>30.626868785941408</v>
      </c>
      <c r="E17" s="97">
        <f t="shared" si="0"/>
        <v>5.0468314587581622</v>
      </c>
      <c r="F17" s="97">
        <f t="shared" si="1"/>
        <v>2.3826268001505402</v>
      </c>
      <c r="G17" s="150">
        <v>0</v>
      </c>
      <c r="H17" s="15"/>
      <c r="I17" s="169">
        <v>2.3826268001505402</v>
      </c>
      <c r="J17" s="169">
        <v>6.0406483925849299</v>
      </c>
      <c r="K17" s="169">
        <f>Controls!$F$17</f>
        <v>0.83547843389681375</v>
      </c>
      <c r="L17" s="170">
        <f>INDEX(Drivers!$L$5:$L$104, MATCH('Financial model inputs'!$A17, Drivers!$C$5:$C$104, 0))</f>
        <v>3113.62961105358</v>
      </c>
      <c r="M17" s="169">
        <f>INDEX('Final allowance'!$B$5:$G$23,MATCH('Financial model inputs'!$B17,'Final allowance'!$B$5:$B$23,0),MATCH('Financial model inputs'!$M$2,'Final allowance'!$B$5:$G$5,0))/5</f>
        <v>95.360725545759777</v>
      </c>
    </row>
    <row r="18" spans="1:13" x14ac:dyDescent="0.2">
      <c r="A18" s="116" t="s">
        <v>72</v>
      </c>
      <c r="B18" s="19" t="s">
        <v>22</v>
      </c>
      <c r="C18" s="19" t="s">
        <v>53</v>
      </c>
      <c r="D18" s="97">
        <f t="shared" si="2"/>
        <v>30.374820946582194</v>
      </c>
      <c r="E18" s="97">
        <f t="shared" si="0"/>
        <v>4.1048939212864992</v>
      </c>
      <c r="F18" s="97">
        <f t="shared" si="1"/>
        <v>1.86577774153901</v>
      </c>
      <c r="G18" s="150">
        <v>0</v>
      </c>
      <c r="H18" s="15"/>
      <c r="I18" s="169">
        <v>1.86577774153901</v>
      </c>
      <c r="J18" s="169">
        <v>4.9132254702740497</v>
      </c>
      <c r="K18" s="169">
        <f>Controls!$F$17</f>
        <v>0.83547843389681375</v>
      </c>
      <c r="L18" s="170">
        <f>INDEX(Drivers!$L$5:$L$104, MATCH('Financial model inputs'!$A18, Drivers!$C$5:$C$104, 0))</f>
        <v>3139.4662610016098</v>
      </c>
      <c r="M18" s="169">
        <f>INDEX('Final allowance'!$B$5:$G$23,MATCH('Financial model inputs'!$B18,'Final allowance'!$B$5:$B$23,0),MATCH('Financial model inputs'!$M$2,'Final allowance'!$B$5:$G$5,0))/5</f>
        <v>95.360725545759777</v>
      </c>
    </row>
    <row r="19" spans="1:13" x14ac:dyDescent="0.2">
      <c r="A19" s="116" t="s">
        <v>73</v>
      </c>
      <c r="B19" s="19" t="s">
        <v>23</v>
      </c>
      <c r="C19" s="19" t="s">
        <v>49</v>
      </c>
      <c r="D19" s="97">
        <f t="shared" si="2"/>
        <v>26.130840749972709</v>
      </c>
      <c r="E19" s="97">
        <f t="shared" si="0"/>
        <v>0.91749753485041174</v>
      </c>
      <c r="F19" s="97">
        <f t="shared" si="1"/>
        <v>1.8772140498348999</v>
      </c>
      <c r="G19" s="150">
        <v>0</v>
      </c>
      <c r="H19" s="15"/>
      <c r="I19" s="169">
        <v>1.8772140498348999</v>
      </c>
      <c r="J19" s="169">
        <v>1.09817021915341</v>
      </c>
      <c r="K19" s="169">
        <f>Controls!$F$17</f>
        <v>0.83547843389681375</v>
      </c>
      <c r="L19" s="170">
        <f>INDEX(Drivers!$L$5:$L$104, MATCH('Financial model inputs'!$A19, Drivers!$C$5:$C$104, 0))</f>
        <v>1971.9770000000001</v>
      </c>
      <c r="M19" s="169">
        <f>INDEX('Final allowance'!$B$5:$G$23,MATCH('Financial model inputs'!$B19,'Final allowance'!$B$5:$B$23,0),MATCH('Financial model inputs'!$M$2,'Final allowance'!$B$5:$G$5,0))/5</f>
        <v>51.529416949608937</v>
      </c>
    </row>
    <row r="20" spans="1:13" x14ac:dyDescent="0.2">
      <c r="A20" s="116" t="s">
        <v>74</v>
      </c>
      <c r="B20" s="19" t="s">
        <v>23</v>
      </c>
      <c r="C20" s="19" t="s">
        <v>50</v>
      </c>
      <c r="D20" s="97">
        <f t="shared" si="2"/>
        <v>25.794475299299862</v>
      </c>
      <c r="E20" s="97">
        <f t="shared" si="0"/>
        <v>1.0270905040985201</v>
      </c>
      <c r="F20" s="97">
        <f t="shared" si="1"/>
        <v>1.84033551615041</v>
      </c>
      <c r="G20" s="150">
        <v>0</v>
      </c>
      <c r="H20" s="15"/>
      <c r="I20" s="169">
        <v>1.84033551615041</v>
      </c>
      <c r="J20" s="169">
        <v>1.22934412478847</v>
      </c>
      <c r="K20" s="169">
        <f>Controls!$F$17</f>
        <v>0.83547843389681375</v>
      </c>
      <c r="L20" s="170">
        <f>INDEX(Drivers!$L$5:$L$104, MATCH('Financial model inputs'!$A20, Drivers!$C$5:$C$104, 0))</f>
        <v>1997.692</v>
      </c>
      <c r="M20" s="169">
        <f>INDEX('Final allowance'!$B$5:$G$23,MATCH('Financial model inputs'!$B20,'Final allowance'!$B$5:$B$23,0),MATCH('Financial model inputs'!$M$2,'Final allowance'!$B$5:$G$5,0))/5</f>
        <v>51.529416949608937</v>
      </c>
    </row>
    <row r="21" spans="1:13" x14ac:dyDescent="0.2">
      <c r="A21" s="116" t="s">
        <v>75</v>
      </c>
      <c r="B21" s="19" t="s">
        <v>23</v>
      </c>
      <c r="C21" s="19" t="s">
        <v>51</v>
      </c>
      <c r="D21" s="97">
        <f t="shared" si="2"/>
        <v>25.491326741168802</v>
      </c>
      <c r="E21" s="97">
        <f t="shared" si="0"/>
        <v>1.1659683420834659</v>
      </c>
      <c r="F21" s="97">
        <f t="shared" si="1"/>
        <v>1.80422707927578</v>
      </c>
      <c r="G21" s="150">
        <v>0</v>
      </c>
      <c r="H21" s="15"/>
      <c r="I21" s="169">
        <v>1.80422707927578</v>
      </c>
      <c r="J21" s="169">
        <v>1.3955696458198099</v>
      </c>
      <c r="K21" s="169">
        <f>Controls!$F$17</f>
        <v>0.83547843389681375</v>
      </c>
      <c r="L21" s="170">
        <f>INDEX(Drivers!$L$5:$L$104, MATCH('Financial model inputs'!$A21, Drivers!$C$5:$C$104, 0))</f>
        <v>2021.4490000000001</v>
      </c>
      <c r="M21" s="169">
        <f>INDEX('Final allowance'!$B$5:$G$23,MATCH('Financial model inputs'!$B21,'Final allowance'!$B$5:$B$23,0),MATCH('Financial model inputs'!$M$2,'Final allowance'!$B$5:$G$5,0))/5</f>
        <v>51.529416949608937</v>
      </c>
    </row>
    <row r="22" spans="1:13" x14ac:dyDescent="0.2">
      <c r="A22" s="116" t="s">
        <v>76</v>
      </c>
      <c r="B22" s="19" t="s">
        <v>23</v>
      </c>
      <c r="C22" s="19" t="s">
        <v>52</v>
      </c>
      <c r="D22" s="97">
        <f t="shared" si="2"/>
        <v>25.205191041470389</v>
      </c>
      <c r="E22" s="97">
        <f t="shared" si="0"/>
        <v>1.30495326433931</v>
      </c>
      <c r="F22" s="97">
        <f t="shared" si="1"/>
        <v>1.7688826025459801</v>
      </c>
      <c r="G22" s="150">
        <v>0</v>
      </c>
      <c r="H22" s="15"/>
      <c r="I22" s="169">
        <v>1.7688826025459801</v>
      </c>
      <c r="J22" s="169">
        <v>1.5619233380480999</v>
      </c>
      <c r="K22" s="169">
        <f>Controls!$F$17</f>
        <v>0.83547843389681375</v>
      </c>
      <c r="L22" s="170">
        <f>INDEX(Drivers!$L$5:$L$104, MATCH('Financial model inputs'!$A22, Drivers!$C$5:$C$104, 0))</f>
        <v>2044.3969999999999</v>
      </c>
      <c r="M22" s="169">
        <f>INDEX('Final allowance'!$B$5:$G$23,MATCH('Financial model inputs'!$B22,'Final allowance'!$B$5:$B$23,0),MATCH('Financial model inputs'!$M$2,'Final allowance'!$B$5:$G$5,0))/5</f>
        <v>51.529416949608937</v>
      </c>
    </row>
    <row r="23" spans="1:13" x14ac:dyDescent="0.2">
      <c r="A23" s="116" t="s">
        <v>77</v>
      </c>
      <c r="B23" s="19" t="s">
        <v>23</v>
      </c>
      <c r="C23" s="19" t="s">
        <v>53</v>
      </c>
      <c r="D23" s="97">
        <f t="shared" si="2"/>
        <v>24.941139575453214</v>
      </c>
      <c r="E23" s="97">
        <f t="shared" si="0"/>
        <v>1.4387234058452989</v>
      </c>
      <c r="F23" s="97">
        <f t="shared" si="1"/>
        <v>1.7341745822644401</v>
      </c>
      <c r="G23" s="150">
        <v>0</v>
      </c>
      <c r="H23" s="15"/>
      <c r="I23" s="169">
        <v>1.7341745822644401</v>
      </c>
      <c r="J23" s="169">
        <v>1.72203536018859</v>
      </c>
      <c r="K23" s="169">
        <f>Controls!$F$17</f>
        <v>0.83547843389681375</v>
      </c>
      <c r="L23" s="170">
        <f>INDEX(Drivers!$L$5:$L$104, MATCH('Financial model inputs'!$A23, Drivers!$C$5:$C$104, 0))</f>
        <v>2066.0410000000002</v>
      </c>
      <c r="M23" s="169">
        <f>INDEX('Final allowance'!$B$5:$G$23,MATCH('Financial model inputs'!$B23,'Final allowance'!$B$5:$B$23,0),MATCH('Financial model inputs'!$M$2,'Final allowance'!$B$5:$G$5,0))/5</f>
        <v>51.529416949608937</v>
      </c>
    </row>
    <row r="24" spans="1:13" x14ac:dyDescent="0.2">
      <c r="A24" s="116" t="s">
        <v>83</v>
      </c>
      <c r="B24" s="19" t="s">
        <v>35</v>
      </c>
      <c r="C24" s="19" t="s">
        <v>49</v>
      </c>
      <c r="D24" s="97">
        <f t="shared" si="2"/>
        <v>28.934205122220163</v>
      </c>
      <c r="E24" s="97">
        <f t="shared" si="0"/>
        <v>1.0092205480311942</v>
      </c>
      <c r="F24" s="97">
        <f t="shared" si="1"/>
        <v>0.69978744179059804</v>
      </c>
      <c r="G24" s="150">
        <v>0</v>
      </c>
      <c r="H24" s="15"/>
      <c r="I24" s="169">
        <v>0.69978744179059804</v>
      </c>
      <c r="J24" s="169">
        <v>1.20795523509089</v>
      </c>
      <c r="K24" s="169">
        <f>Controls!$F$17</f>
        <v>0.83547843389681375</v>
      </c>
      <c r="L24" s="170">
        <f>INDEX(Drivers!$L$5:$L$104, MATCH('Financial model inputs'!$A24, Drivers!$C$5:$C$104, 0))</f>
        <v>971.17899999999997</v>
      </c>
      <c r="M24" s="169">
        <f>INDEX('Final allowance'!$B$5:$G$23,MATCH('Financial model inputs'!$B24,'Final allowance'!$B$5:$B$23,0),MATCH('Financial model inputs'!$M$2,'Final allowance'!$B$5:$G$5,0))/5</f>
        <v>28.100292396392653</v>
      </c>
    </row>
    <row r="25" spans="1:13" x14ac:dyDescent="0.2">
      <c r="A25" s="116" t="s">
        <v>84</v>
      </c>
      <c r="B25" s="19" t="s">
        <v>35</v>
      </c>
      <c r="C25" s="19" t="s">
        <v>50</v>
      </c>
      <c r="D25" s="97">
        <f t="shared" si="2"/>
        <v>28.579019552923679</v>
      </c>
      <c r="E25" s="97">
        <f t="shared" si="0"/>
        <v>0.77490298625524945</v>
      </c>
      <c r="F25" s="97">
        <f t="shared" si="1"/>
        <v>0.86302268375313296</v>
      </c>
      <c r="G25" s="150">
        <v>0</v>
      </c>
      <c r="H25" s="15"/>
      <c r="I25" s="169">
        <v>0.86302268375313296</v>
      </c>
      <c r="J25" s="169">
        <v>0.92749609662689902</v>
      </c>
      <c r="K25" s="169">
        <f>Controls!$F$17</f>
        <v>0.83547843389681375</v>
      </c>
      <c r="L25" s="170">
        <f>INDEX(Drivers!$L$5:$L$104, MATCH('Financial model inputs'!$A25, Drivers!$C$5:$C$104, 0))</f>
        <v>983.24900000000002</v>
      </c>
      <c r="M25" s="169">
        <f>INDEX('Final allowance'!$B$5:$G$23,MATCH('Financial model inputs'!$B25,'Final allowance'!$B$5:$B$23,0),MATCH('Financial model inputs'!$M$2,'Final allowance'!$B$5:$G$5,0))/5</f>
        <v>28.100292396392653</v>
      </c>
    </row>
    <row r="26" spans="1:13" x14ac:dyDescent="0.2">
      <c r="A26" s="116" t="s">
        <v>85</v>
      </c>
      <c r="B26" s="19" t="s">
        <v>35</v>
      </c>
      <c r="C26" s="19" t="s">
        <v>51</v>
      </c>
      <c r="D26" s="97">
        <f t="shared" si="2"/>
        <v>28.325080233122719</v>
      </c>
      <c r="E26" s="97">
        <f t="shared" si="0"/>
        <v>0.68499869395210866</v>
      </c>
      <c r="F26" s="97">
        <f t="shared" si="1"/>
        <v>0.528231768953069</v>
      </c>
      <c r="G26" s="150">
        <v>0</v>
      </c>
      <c r="H26" s="15"/>
      <c r="I26" s="169">
        <v>0.528231768953069</v>
      </c>
      <c r="J26" s="169">
        <v>0.819887942238267</v>
      </c>
      <c r="K26" s="169">
        <f>Controls!$F$17</f>
        <v>0.83547843389681375</v>
      </c>
      <c r="L26" s="170">
        <f>INDEX(Drivers!$L$5:$L$104, MATCH('Financial model inputs'!$A26, Drivers!$C$5:$C$104, 0))</f>
        <v>992.06399999999996</v>
      </c>
      <c r="M26" s="169">
        <f>INDEX('Final allowance'!$B$5:$G$23,MATCH('Financial model inputs'!$B26,'Final allowance'!$B$5:$B$23,0),MATCH('Financial model inputs'!$M$2,'Final allowance'!$B$5:$G$5,0))/5</f>
        <v>28.100292396392653</v>
      </c>
    </row>
    <row r="27" spans="1:13" x14ac:dyDescent="0.2">
      <c r="A27" s="116" t="s">
        <v>86</v>
      </c>
      <c r="B27" s="19" t="s">
        <v>35</v>
      </c>
      <c r="C27" s="19" t="s">
        <v>52</v>
      </c>
      <c r="D27" s="97">
        <f t="shared" si="2"/>
        <v>28.071575174988642</v>
      </c>
      <c r="E27" s="97">
        <f t="shared" si="0"/>
        <v>0.53699604500011633</v>
      </c>
      <c r="F27" s="97">
        <f t="shared" si="1"/>
        <v>0.44708551606965902</v>
      </c>
      <c r="G27" s="150">
        <v>0</v>
      </c>
      <c r="H27" s="15"/>
      <c r="I27" s="169">
        <v>0.44708551606965902</v>
      </c>
      <c r="J27" s="169">
        <v>0.64274076171598504</v>
      </c>
      <c r="K27" s="169">
        <f>Controls!$F$17</f>
        <v>0.83547843389681375</v>
      </c>
      <c r="L27" s="170">
        <f>INDEX(Drivers!$L$5:$L$104, MATCH('Financial model inputs'!$A27, Drivers!$C$5:$C$104, 0))</f>
        <v>1001.023</v>
      </c>
      <c r="M27" s="169">
        <f>INDEX('Final allowance'!$B$5:$G$23,MATCH('Financial model inputs'!$B27,'Final allowance'!$B$5:$B$23,0),MATCH('Financial model inputs'!$M$2,'Final allowance'!$B$5:$G$5,0))/5</f>
        <v>28.100292396392653</v>
      </c>
    </row>
    <row r="28" spans="1:13" x14ac:dyDescent="0.2">
      <c r="A28" s="116" t="s">
        <v>87</v>
      </c>
      <c r="B28" s="19" t="s">
        <v>35</v>
      </c>
      <c r="C28" s="19" t="s">
        <v>53</v>
      </c>
      <c r="D28" s="97">
        <f t="shared" si="2"/>
        <v>27.828574197924123</v>
      </c>
      <c r="E28" s="97">
        <f t="shared" si="0"/>
        <v>0.48798306641728412</v>
      </c>
      <c r="F28" s="97">
        <f t="shared" si="1"/>
        <v>0.66044871616933098</v>
      </c>
      <c r="G28" s="150">
        <v>0</v>
      </c>
      <c r="H28" s="15"/>
      <c r="I28" s="169">
        <v>0.66044871616933098</v>
      </c>
      <c r="J28" s="169">
        <v>0.58407619708536096</v>
      </c>
      <c r="K28" s="169">
        <f>Controls!$F$17</f>
        <v>0.83547843389681375</v>
      </c>
      <c r="L28" s="170">
        <f>INDEX(Drivers!$L$5:$L$104, MATCH('Financial model inputs'!$A28, Drivers!$C$5:$C$104, 0))</f>
        <v>1009.764</v>
      </c>
      <c r="M28" s="169">
        <f>INDEX('Final allowance'!$B$5:$G$23,MATCH('Financial model inputs'!$B28,'Final allowance'!$B$5:$B$23,0),MATCH('Financial model inputs'!$M$2,'Final allowance'!$B$5:$G$5,0))/5</f>
        <v>28.100292396392653</v>
      </c>
    </row>
    <row r="29" spans="1:13" x14ac:dyDescent="0.2">
      <c r="A29" s="116" t="s">
        <v>88</v>
      </c>
      <c r="B29" s="19" t="s">
        <v>25</v>
      </c>
      <c r="C29" s="19" t="s">
        <v>49</v>
      </c>
      <c r="D29" s="97">
        <f t="shared" si="2"/>
        <v>27.040666138624957</v>
      </c>
      <c r="E29" s="97">
        <f t="shared" si="0"/>
        <v>16.56133959526791</v>
      </c>
      <c r="F29" s="97">
        <f t="shared" si="1"/>
        <v>15.257046328690601</v>
      </c>
      <c r="G29" s="150">
        <v>0</v>
      </c>
      <c r="H29" s="15"/>
      <c r="I29" s="169">
        <v>15.257046328690601</v>
      </c>
      <c r="J29" s="169">
        <v>19.822581796663499</v>
      </c>
      <c r="K29" s="169">
        <f>Controls!$F$17</f>
        <v>0.83547843389681375</v>
      </c>
      <c r="L29" s="170">
        <f>INDEX(Drivers!$L$5:$L$104, MATCH('Financial model inputs'!$A29, Drivers!$C$5:$C$104, 0))</f>
        <v>5573.0429999999997</v>
      </c>
      <c r="M29" s="169">
        <f>INDEX('Final allowance'!$B$5:$G$23,MATCH('Financial model inputs'!$B29,'Final allowance'!$B$5:$B$23,0),MATCH('Financial model inputs'!$M$2,'Final allowance'!$B$5:$G$5,0))/5</f>
        <v>150.69879513920083</v>
      </c>
    </row>
    <row r="30" spans="1:13" x14ac:dyDescent="0.2">
      <c r="A30" s="116" t="s">
        <v>89</v>
      </c>
      <c r="B30" s="19" t="s">
        <v>25</v>
      </c>
      <c r="C30" s="19" t="s">
        <v>50</v>
      </c>
      <c r="D30" s="97">
        <f t="shared" si="2"/>
        <v>26.690970664529157</v>
      </c>
      <c r="E30" s="97">
        <f t="shared" si="0"/>
        <v>17.691892323106522</v>
      </c>
      <c r="F30" s="97">
        <f t="shared" si="1"/>
        <v>15.436072090323901</v>
      </c>
      <c r="G30" s="150">
        <v>0</v>
      </c>
      <c r="H30" s="15"/>
      <c r="I30" s="169">
        <v>15.436072090323901</v>
      </c>
      <c r="J30" s="169">
        <v>21.1757618213896</v>
      </c>
      <c r="K30" s="169">
        <f>Controls!$F$17</f>
        <v>0.83547843389681375</v>
      </c>
      <c r="L30" s="170">
        <f>INDEX(Drivers!$L$5:$L$104, MATCH('Financial model inputs'!$A30, Drivers!$C$5:$C$104, 0))</f>
        <v>5646.0590000000002</v>
      </c>
      <c r="M30" s="169">
        <f>INDEX('Final allowance'!$B$5:$G$23,MATCH('Financial model inputs'!$B30,'Final allowance'!$B$5:$B$23,0),MATCH('Financial model inputs'!$M$2,'Final allowance'!$B$5:$G$5,0))/5</f>
        <v>150.69879513920083</v>
      </c>
    </row>
    <row r="31" spans="1:13" x14ac:dyDescent="0.2">
      <c r="A31" s="116" t="s">
        <v>90</v>
      </c>
      <c r="B31" s="19" t="s">
        <v>25</v>
      </c>
      <c r="C31" s="19" t="s">
        <v>51</v>
      </c>
      <c r="D31" s="97">
        <f t="shared" si="2"/>
        <v>26.372264755015248</v>
      </c>
      <c r="E31" s="97">
        <f t="shared" si="0"/>
        <v>19.025221590707794</v>
      </c>
      <c r="F31" s="97">
        <f t="shared" si="1"/>
        <v>26.891945071764098</v>
      </c>
      <c r="G31" s="150">
        <v>0</v>
      </c>
      <c r="H31" s="15"/>
      <c r="I31" s="169">
        <v>26.891945071764098</v>
      </c>
      <c r="J31" s="169">
        <v>22.7716489364913</v>
      </c>
      <c r="K31" s="169">
        <f>Controls!$F$17</f>
        <v>0.83547843389681375</v>
      </c>
      <c r="L31" s="170">
        <f>INDEX(Drivers!$L$5:$L$104, MATCH('Financial model inputs'!$A31, Drivers!$C$5:$C$104, 0))</f>
        <v>5714.2910000000002</v>
      </c>
      <c r="M31" s="169">
        <f>INDEX('Final allowance'!$B$5:$G$23,MATCH('Financial model inputs'!$B31,'Final allowance'!$B$5:$B$23,0),MATCH('Financial model inputs'!$M$2,'Final allowance'!$B$5:$G$5,0))/5</f>
        <v>150.69879513920083</v>
      </c>
    </row>
    <row r="32" spans="1:13" x14ac:dyDescent="0.2">
      <c r="A32" s="116" t="s">
        <v>91</v>
      </c>
      <c r="B32" s="19" t="s">
        <v>25</v>
      </c>
      <c r="C32" s="19" t="s">
        <v>52</v>
      </c>
      <c r="D32" s="97">
        <f t="shared" si="2"/>
        <v>26.055812643412001</v>
      </c>
      <c r="E32" s="97">
        <f t="shared" si="0"/>
        <v>20.089993300223448</v>
      </c>
      <c r="F32" s="97">
        <f t="shared" si="1"/>
        <v>5.2383962119304401</v>
      </c>
      <c r="G32" s="150">
        <v>0</v>
      </c>
      <c r="H32" s="15"/>
      <c r="I32" s="169">
        <v>5.2383962119304401</v>
      </c>
      <c r="J32" s="169">
        <v>24.046094411462299</v>
      </c>
      <c r="K32" s="169">
        <f>Controls!$F$17</f>
        <v>0.83547843389681375</v>
      </c>
      <c r="L32" s="170">
        <f>INDEX(Drivers!$L$5:$L$104, MATCH('Financial model inputs'!$A32, Drivers!$C$5:$C$104, 0))</f>
        <v>5783.692</v>
      </c>
      <c r="M32" s="169">
        <f>INDEX('Final allowance'!$B$5:$G$23,MATCH('Financial model inputs'!$B32,'Final allowance'!$B$5:$B$23,0),MATCH('Financial model inputs'!$M$2,'Final allowance'!$B$5:$G$5,0))/5</f>
        <v>150.69879513920083</v>
      </c>
    </row>
    <row r="33" spans="1:13" x14ac:dyDescent="0.2">
      <c r="A33" s="116" t="s">
        <v>92</v>
      </c>
      <c r="B33" s="19" t="s">
        <v>25</v>
      </c>
      <c r="C33" s="19" t="s">
        <v>53</v>
      </c>
      <c r="D33" s="97">
        <f t="shared" si="2"/>
        <v>25.795983658053927</v>
      </c>
      <c r="E33" s="97">
        <f t="shared" si="0"/>
        <v>17.81290086910797</v>
      </c>
      <c r="F33" s="97">
        <f t="shared" si="1"/>
        <v>2.9311281879187399</v>
      </c>
      <c r="G33" s="150">
        <v>0</v>
      </c>
      <c r="H33" s="15"/>
      <c r="I33" s="169">
        <v>2.9311281879187399</v>
      </c>
      <c r="J33" s="169">
        <v>21.320599247577899</v>
      </c>
      <c r="K33" s="169">
        <f>Controls!$F$17</f>
        <v>0.83547843389681375</v>
      </c>
      <c r="L33" s="170">
        <f>INDEX(Drivers!$L$5:$L$104, MATCH('Financial model inputs'!$A33, Drivers!$C$5:$C$104, 0))</f>
        <v>5841.9480000000003</v>
      </c>
      <c r="M33" s="169">
        <f>INDEX('Final allowance'!$B$5:$G$23,MATCH('Financial model inputs'!$B33,'Final allowance'!$B$5:$B$23,0),MATCH('Financial model inputs'!$M$2,'Final allowance'!$B$5:$G$5,0))/5</f>
        <v>150.69879513920083</v>
      </c>
    </row>
    <row r="34" spans="1:13" x14ac:dyDescent="0.2">
      <c r="A34" s="116" t="s">
        <v>93</v>
      </c>
      <c r="B34" s="19" t="s">
        <v>41</v>
      </c>
      <c r="C34" s="19" t="s">
        <v>49</v>
      </c>
      <c r="D34" s="97">
        <f t="shared" si="2"/>
        <v>29.045986762210315</v>
      </c>
      <c r="E34" s="97">
        <f t="shared" si="0"/>
        <v>3.4017199639036431</v>
      </c>
      <c r="F34" s="97">
        <f t="shared" si="1"/>
        <v>8.2262980802625503</v>
      </c>
      <c r="G34" s="150">
        <v>0</v>
      </c>
      <c r="H34" s="15"/>
      <c r="I34" s="169">
        <v>8.2262980802625503</v>
      </c>
      <c r="J34" s="169">
        <v>4.0715832101583302</v>
      </c>
      <c r="K34" s="169">
        <f>Controls!$F$17</f>
        <v>0.83547843389681375</v>
      </c>
      <c r="L34" s="170">
        <f>INDEX(Drivers!$L$5:$L$104, MATCH('Financial model inputs'!$A34, Drivers!$C$5:$C$104, 0))</f>
        <v>1425.0260000000001</v>
      </c>
      <c r="M34" s="169">
        <f>INDEX('Final allowance'!$B$5:$G$23,MATCH('Financial model inputs'!$B34,'Final allowance'!$B$5:$B$23,0),MATCH('Financial model inputs'!$M$2,'Final allowance'!$B$5:$G$5,0))/5</f>
        <v>41.391286331805517</v>
      </c>
    </row>
    <row r="35" spans="1:13" x14ac:dyDescent="0.2">
      <c r="A35" s="116" t="s">
        <v>94</v>
      </c>
      <c r="B35" s="19" t="s">
        <v>41</v>
      </c>
      <c r="C35" s="19" t="s">
        <v>50</v>
      </c>
      <c r="D35" s="97">
        <f t="shared" si="2"/>
        <v>28.818958185475473</v>
      </c>
      <c r="E35" s="97">
        <f t="shared" si="0"/>
        <v>3.5538390204924486</v>
      </c>
      <c r="F35" s="97">
        <f t="shared" si="1"/>
        <v>3.2646477116875001</v>
      </c>
      <c r="G35" s="150">
        <v>0</v>
      </c>
      <c r="H35" s="15"/>
      <c r="I35" s="169">
        <v>3.2646477116875001</v>
      </c>
      <c r="J35" s="169">
        <v>4.2536573971356004</v>
      </c>
      <c r="K35" s="169">
        <f>Controls!$F$17</f>
        <v>0.83547843389681375</v>
      </c>
      <c r="L35" s="170">
        <f>INDEX(Drivers!$L$5:$L$104, MATCH('Financial model inputs'!$A35, Drivers!$C$5:$C$104, 0))</f>
        <v>1436.252</v>
      </c>
      <c r="M35" s="169">
        <f>INDEX('Final allowance'!$B$5:$G$23,MATCH('Financial model inputs'!$B35,'Final allowance'!$B$5:$B$23,0),MATCH('Financial model inputs'!$M$2,'Final allowance'!$B$5:$G$5,0))/5</f>
        <v>41.391286331805517</v>
      </c>
    </row>
    <row r="36" spans="1:13" x14ac:dyDescent="0.2">
      <c r="A36" s="116" t="s">
        <v>95</v>
      </c>
      <c r="B36" s="19" t="s">
        <v>41</v>
      </c>
      <c r="C36" s="19" t="s">
        <v>51</v>
      </c>
      <c r="D36" s="97">
        <f t="shared" si="2"/>
        <v>28.591856051701033</v>
      </c>
      <c r="E36" s="97">
        <f t="shared" si="0"/>
        <v>3.6461725264673981</v>
      </c>
      <c r="F36" s="97">
        <f t="shared" si="1"/>
        <v>2.9833670622001498</v>
      </c>
      <c r="G36" s="150">
        <v>0</v>
      </c>
      <c r="H36" s="15"/>
      <c r="I36" s="169">
        <v>2.9833670622001498</v>
      </c>
      <c r="J36" s="169">
        <v>4.36417312348929</v>
      </c>
      <c r="K36" s="169">
        <f>Controls!$F$17</f>
        <v>0.83547843389681375</v>
      </c>
      <c r="L36" s="170">
        <f>INDEX(Drivers!$L$5:$L$104, MATCH('Financial model inputs'!$A36, Drivers!$C$5:$C$104, 0))</f>
        <v>1447.66</v>
      </c>
      <c r="M36" s="169">
        <f>INDEX('Final allowance'!$B$5:$G$23,MATCH('Financial model inputs'!$B36,'Final allowance'!$B$5:$B$23,0),MATCH('Financial model inputs'!$M$2,'Final allowance'!$B$5:$G$5,0))/5</f>
        <v>41.391286331805517</v>
      </c>
    </row>
    <row r="37" spans="1:13" x14ac:dyDescent="0.2">
      <c r="A37" s="116" t="s">
        <v>96</v>
      </c>
      <c r="B37" s="19" t="s">
        <v>41</v>
      </c>
      <c r="C37" s="19" t="s">
        <v>52</v>
      </c>
      <c r="D37" s="97">
        <f t="shared" si="2"/>
        <v>28.367022036225265</v>
      </c>
      <c r="E37" s="97">
        <f t="shared" si="0"/>
        <v>3.5268852978353502</v>
      </c>
      <c r="F37" s="97">
        <f t="shared" si="1"/>
        <v>2.7954865754334999</v>
      </c>
      <c r="G37" s="150">
        <v>0</v>
      </c>
      <c r="H37" s="15"/>
      <c r="I37" s="169">
        <v>2.7954865754334999</v>
      </c>
      <c r="J37" s="169">
        <v>4.22139597474151</v>
      </c>
      <c r="K37" s="169">
        <f>Controls!$F$17</f>
        <v>0.83547843389681375</v>
      </c>
      <c r="L37" s="170">
        <f>INDEX(Drivers!$L$5:$L$104, MATCH('Financial model inputs'!$A37, Drivers!$C$5:$C$104, 0))</f>
        <v>1459.134</v>
      </c>
      <c r="M37" s="169">
        <f>INDEX('Final allowance'!$B$5:$G$23,MATCH('Financial model inputs'!$B37,'Final allowance'!$B$5:$B$23,0),MATCH('Financial model inputs'!$M$2,'Final allowance'!$B$5:$G$5,0))/5</f>
        <v>41.391286331805517</v>
      </c>
    </row>
    <row r="38" spans="1:13" x14ac:dyDescent="0.2">
      <c r="A38" s="116" t="s">
        <v>97</v>
      </c>
      <c r="B38" s="19" t="s">
        <v>41</v>
      </c>
      <c r="C38" s="19" t="s">
        <v>53</v>
      </c>
      <c r="D38" s="97">
        <f t="shared" si="2"/>
        <v>28.144471596525612</v>
      </c>
      <c r="E38" s="97">
        <f t="shared" si="0"/>
        <v>3.6610406762503431</v>
      </c>
      <c r="F38" s="97">
        <f t="shared" si="1"/>
        <v>2.09174735810715</v>
      </c>
      <c r="G38" s="150">
        <v>0</v>
      </c>
      <c r="H38" s="15"/>
      <c r="I38" s="169">
        <v>2.09174735810715</v>
      </c>
      <c r="J38" s="169">
        <v>4.38196909425253</v>
      </c>
      <c r="K38" s="169">
        <f>Controls!$F$17</f>
        <v>0.83547843389681375</v>
      </c>
      <c r="L38" s="170">
        <f>INDEX(Drivers!$L$5:$L$104, MATCH('Financial model inputs'!$A38, Drivers!$C$5:$C$104, 0))</f>
        <v>1470.672</v>
      </c>
      <c r="M38" s="169">
        <f>INDEX('Final allowance'!$B$5:$G$23,MATCH('Financial model inputs'!$B38,'Final allowance'!$B$5:$B$23,0),MATCH('Financial model inputs'!$M$2,'Final allowance'!$B$5:$G$5,0))/5</f>
        <v>41.391286331805517</v>
      </c>
    </row>
    <row r="39" spans="1:13" x14ac:dyDescent="0.2">
      <c r="A39" s="116" t="s">
        <v>98</v>
      </c>
      <c r="B39" s="19" t="s">
        <v>26</v>
      </c>
      <c r="C39" s="19" t="s">
        <v>49</v>
      </c>
      <c r="D39" s="97">
        <f t="shared" si="2"/>
        <v>23.214178458234056</v>
      </c>
      <c r="E39" s="97">
        <f t="shared" si="0"/>
        <v>0.29743332986607868</v>
      </c>
      <c r="F39" s="97">
        <f t="shared" si="1"/>
        <v>1.2497798325029199</v>
      </c>
      <c r="G39" s="150">
        <v>0</v>
      </c>
      <c r="H39" s="15"/>
      <c r="I39" s="169">
        <v>1.2497798325029199</v>
      </c>
      <c r="J39" s="169">
        <v>0.35600359961273798</v>
      </c>
      <c r="K39" s="169">
        <f>Controls!$F$17</f>
        <v>0.83547843389681375</v>
      </c>
      <c r="L39" s="170">
        <f>INDEX(Drivers!$L$5:$L$104, MATCH('Financial model inputs'!$A39, Drivers!$C$5:$C$104, 0))</f>
        <v>1233.1279999999999</v>
      </c>
      <c r="M39" s="169">
        <f>INDEX('Final allowance'!$B$5:$G$23,MATCH('Financial model inputs'!$B39,'Final allowance'!$B$5:$B$23,0),MATCH('Financial model inputs'!$M$2,'Final allowance'!$B$5:$G$5,0))/5</f>
        <v>28.626053453845241</v>
      </c>
    </row>
    <row r="40" spans="1:13" x14ac:dyDescent="0.2">
      <c r="A40" s="116" t="s">
        <v>99</v>
      </c>
      <c r="B40" s="19" t="s">
        <v>26</v>
      </c>
      <c r="C40" s="19" t="s">
        <v>50</v>
      </c>
      <c r="D40" s="97">
        <f t="shared" si="2"/>
        <v>22.973678513435186</v>
      </c>
      <c r="E40" s="97">
        <f t="shared" si="0"/>
        <v>0.3972874906137322</v>
      </c>
      <c r="F40" s="97">
        <f t="shared" si="1"/>
        <v>1.2298910537508201</v>
      </c>
      <c r="G40" s="150">
        <v>0</v>
      </c>
      <c r="H40" s="15"/>
      <c r="I40" s="169">
        <v>1.2298910537508201</v>
      </c>
      <c r="J40" s="169">
        <v>0.47552094045170701</v>
      </c>
      <c r="K40" s="169">
        <f>Controls!$F$17</f>
        <v>0.83547843389681375</v>
      </c>
      <c r="L40" s="170">
        <f>INDEX(Drivers!$L$5:$L$104, MATCH('Financial model inputs'!$A40, Drivers!$C$5:$C$104, 0))</f>
        <v>1246.037</v>
      </c>
      <c r="M40" s="169">
        <f>INDEX('Final allowance'!$B$5:$G$23,MATCH('Financial model inputs'!$B40,'Final allowance'!$B$5:$B$23,0),MATCH('Financial model inputs'!$M$2,'Final allowance'!$B$5:$G$5,0))/5</f>
        <v>28.626053453845241</v>
      </c>
    </row>
    <row r="41" spans="1:13" x14ac:dyDescent="0.2">
      <c r="A41" s="116" t="s">
        <v>100</v>
      </c>
      <c r="B41" s="19" t="s">
        <v>26</v>
      </c>
      <c r="C41" s="19" t="s">
        <v>51</v>
      </c>
      <c r="D41" s="97">
        <f t="shared" si="2"/>
        <v>22.742428105862</v>
      </c>
      <c r="E41" s="97">
        <f t="shared" si="0"/>
        <v>0.51731323734969048</v>
      </c>
      <c r="F41" s="97">
        <f t="shared" si="1"/>
        <v>1.20396506910484</v>
      </c>
      <c r="G41" s="150">
        <v>0</v>
      </c>
      <c r="H41" s="15"/>
      <c r="I41" s="169">
        <v>1.20396506910484</v>
      </c>
      <c r="J41" s="169">
        <v>0.61918203553962903</v>
      </c>
      <c r="K41" s="169">
        <f>Controls!$F$17</f>
        <v>0.83547843389681375</v>
      </c>
      <c r="L41" s="170">
        <f>INDEX(Drivers!$L$5:$L$104, MATCH('Financial model inputs'!$A41, Drivers!$C$5:$C$104, 0))</f>
        <v>1258.7070000000001</v>
      </c>
      <c r="M41" s="169">
        <f>INDEX('Final allowance'!$B$5:$G$23,MATCH('Financial model inputs'!$B41,'Final allowance'!$B$5:$B$23,0),MATCH('Financial model inputs'!$M$2,'Final allowance'!$B$5:$G$5,0))/5</f>
        <v>28.626053453845241</v>
      </c>
    </row>
    <row r="42" spans="1:13" x14ac:dyDescent="0.2">
      <c r="A42" s="116" t="s">
        <v>101</v>
      </c>
      <c r="B42" s="19" t="s">
        <v>26</v>
      </c>
      <c r="C42" s="19" t="s">
        <v>52</v>
      </c>
      <c r="D42" s="97">
        <f t="shared" si="2"/>
        <v>22.52111868514962</v>
      </c>
      <c r="E42" s="97">
        <f t="shared" si="0"/>
        <v>0.64434296992443585</v>
      </c>
      <c r="F42" s="97">
        <f t="shared" si="1"/>
        <v>1.1803579108870901</v>
      </c>
      <c r="G42" s="150">
        <v>0</v>
      </c>
      <c r="H42" s="15"/>
      <c r="I42" s="169">
        <v>1.1803579108870901</v>
      </c>
      <c r="J42" s="169">
        <v>0.77122633425630205</v>
      </c>
      <c r="K42" s="169">
        <f>Controls!$F$17</f>
        <v>0.83547843389681375</v>
      </c>
      <c r="L42" s="170">
        <f>INDEX(Drivers!$L$5:$L$104, MATCH('Financial model inputs'!$A42, Drivers!$C$5:$C$104, 0))</f>
        <v>1271.076</v>
      </c>
      <c r="M42" s="169">
        <f>INDEX('Final allowance'!$B$5:$G$23,MATCH('Financial model inputs'!$B42,'Final allowance'!$B$5:$B$23,0),MATCH('Financial model inputs'!$M$2,'Final allowance'!$B$5:$G$5,0))/5</f>
        <v>28.626053453845241</v>
      </c>
    </row>
    <row r="43" spans="1:13" x14ac:dyDescent="0.2">
      <c r="A43" s="116" t="s">
        <v>102</v>
      </c>
      <c r="B43" s="19" t="s">
        <v>26</v>
      </c>
      <c r="C43" s="19" t="s">
        <v>53</v>
      </c>
      <c r="D43" s="97">
        <f t="shared" si="2"/>
        <v>22.314037139983753</v>
      </c>
      <c r="E43" s="97">
        <f t="shared" si="0"/>
        <v>0.76037675324461296</v>
      </c>
      <c r="F43" s="97">
        <f t="shared" si="1"/>
        <v>1.1572136381246001</v>
      </c>
      <c r="G43" s="150">
        <v>0</v>
      </c>
      <c r="H43" s="15"/>
      <c r="I43" s="169">
        <v>1.1572136381246001</v>
      </c>
      <c r="J43" s="169">
        <v>0.91010937254009805</v>
      </c>
      <c r="K43" s="169">
        <f>Controls!$F$17</f>
        <v>0.83547843389681375</v>
      </c>
      <c r="L43" s="170">
        <f>INDEX(Drivers!$L$5:$L$104, MATCH('Financial model inputs'!$A43, Drivers!$C$5:$C$104, 0))</f>
        <v>1282.8720000000001</v>
      </c>
      <c r="M43" s="169">
        <f>INDEX('Final allowance'!$B$5:$G$23,MATCH('Financial model inputs'!$B43,'Final allowance'!$B$5:$B$23,0),MATCH('Financial model inputs'!$M$2,'Final allowance'!$B$5:$G$5,0))/5</f>
        <v>28.626053453845241</v>
      </c>
    </row>
    <row r="44" spans="1:13" x14ac:dyDescent="0.2">
      <c r="A44" s="116" t="s">
        <v>103</v>
      </c>
      <c r="B44" s="19" t="s">
        <v>27</v>
      </c>
      <c r="C44" s="19" t="s">
        <v>49</v>
      </c>
      <c r="D44" s="97">
        <f t="shared" si="2"/>
        <v>29.273534222993401</v>
      </c>
      <c r="E44" s="97">
        <f t="shared" si="0"/>
        <v>1.9140845307550542</v>
      </c>
      <c r="F44" s="97">
        <f t="shared" si="1"/>
        <v>1.8221344009578799</v>
      </c>
      <c r="G44" s="150">
        <v>0</v>
      </c>
      <c r="H44" s="15"/>
      <c r="I44" s="169">
        <v>1.8221344009578799</v>
      </c>
      <c r="J44" s="169">
        <v>2.29100411584227</v>
      </c>
      <c r="K44" s="169">
        <f>Controls!$F$17</f>
        <v>0.83547843389681375</v>
      </c>
      <c r="L44" s="170">
        <f>INDEX(Drivers!$L$5:$L$104, MATCH('Financial model inputs'!$A44, Drivers!$C$5:$C$104, 0))</f>
        <v>2218.79</v>
      </c>
      <c r="M44" s="169">
        <f>INDEX('Final allowance'!$B$5:$G$23,MATCH('Financial model inputs'!$B44,'Final allowance'!$B$5:$B$23,0),MATCH('Financial model inputs'!$M$2,'Final allowance'!$B$5:$G$5,0))/5</f>
        <v>64.95182499863553</v>
      </c>
    </row>
    <row r="45" spans="1:13" x14ac:dyDescent="0.2">
      <c r="A45" s="116" t="s">
        <v>104</v>
      </c>
      <c r="B45" s="19" t="s">
        <v>27</v>
      </c>
      <c r="C45" s="19" t="s">
        <v>50</v>
      </c>
      <c r="D45" s="97">
        <f t="shared" si="2"/>
        <v>29.000053131174575</v>
      </c>
      <c r="E45" s="97">
        <f t="shared" si="0"/>
        <v>1.6582354534889066</v>
      </c>
      <c r="F45" s="97">
        <f t="shared" si="1"/>
        <v>1.78565382639959</v>
      </c>
      <c r="G45" s="150">
        <v>0</v>
      </c>
      <c r="H45" s="15"/>
      <c r="I45" s="169">
        <v>1.78565382639959</v>
      </c>
      <c r="J45" s="169">
        <v>1.9847734976887601</v>
      </c>
      <c r="K45" s="169">
        <f>Controls!$F$17</f>
        <v>0.83547843389681375</v>
      </c>
      <c r="L45" s="170">
        <f>INDEX(Drivers!$L$5:$L$104, MATCH('Financial model inputs'!$A45, Drivers!$C$5:$C$104, 0))</f>
        <v>2239.7139999999999</v>
      </c>
      <c r="M45" s="169">
        <f>INDEX('Final allowance'!$B$5:$G$23,MATCH('Financial model inputs'!$B45,'Final allowance'!$B$5:$B$23,0),MATCH('Financial model inputs'!$M$2,'Final allowance'!$B$5:$G$5,0))/5</f>
        <v>64.95182499863553</v>
      </c>
    </row>
    <row r="46" spans="1:13" x14ac:dyDescent="0.2">
      <c r="A46" s="116" t="s">
        <v>105</v>
      </c>
      <c r="B46" s="19" t="s">
        <v>27</v>
      </c>
      <c r="C46" s="19" t="s">
        <v>51</v>
      </c>
      <c r="D46" s="97">
        <f t="shared" si="2"/>
        <v>28.730351004090046</v>
      </c>
      <c r="E46" s="97">
        <f t="shared" si="0"/>
        <v>1.625788863793985</v>
      </c>
      <c r="F46" s="97">
        <f t="shared" si="1"/>
        <v>1.75251334436372</v>
      </c>
      <c r="G46" s="150">
        <v>0</v>
      </c>
      <c r="H46" s="15"/>
      <c r="I46" s="169">
        <v>1.75251334436372</v>
      </c>
      <c r="J46" s="169">
        <v>1.9459375584490299</v>
      </c>
      <c r="K46" s="169">
        <f>Controls!$F$17</f>
        <v>0.83547843389681375</v>
      </c>
      <c r="L46" s="170">
        <f>INDEX(Drivers!$L$5:$L$104, MATCH('Financial model inputs'!$A46, Drivers!$C$5:$C$104, 0))</f>
        <v>2260.739</v>
      </c>
      <c r="M46" s="169">
        <f>INDEX('Final allowance'!$B$5:$G$23,MATCH('Financial model inputs'!$B46,'Final allowance'!$B$5:$B$23,0),MATCH('Financial model inputs'!$M$2,'Final allowance'!$B$5:$G$5,0))/5</f>
        <v>64.95182499863553</v>
      </c>
    </row>
    <row r="47" spans="1:13" x14ac:dyDescent="0.2">
      <c r="A47" s="116" t="s">
        <v>106</v>
      </c>
      <c r="B47" s="19" t="s">
        <v>27</v>
      </c>
      <c r="C47" s="19" t="s">
        <v>52</v>
      </c>
      <c r="D47" s="97">
        <f t="shared" si="2"/>
        <v>28.466068259948393</v>
      </c>
      <c r="E47" s="97">
        <f t="shared" si="0"/>
        <v>1.0580379642221485</v>
      </c>
      <c r="F47" s="97">
        <f t="shared" si="1"/>
        <v>1.7170285593399699</v>
      </c>
      <c r="G47" s="150">
        <v>0</v>
      </c>
      <c r="H47" s="15"/>
      <c r="I47" s="169">
        <v>1.7170285593399699</v>
      </c>
      <c r="J47" s="169">
        <v>1.2663857273817101</v>
      </c>
      <c r="K47" s="169">
        <f>Controls!$F$17</f>
        <v>0.83547843389681375</v>
      </c>
      <c r="L47" s="170">
        <f>INDEX(Drivers!$L$5:$L$104, MATCH('Financial model inputs'!$A47, Drivers!$C$5:$C$104, 0))</f>
        <v>2281.7280000000001</v>
      </c>
      <c r="M47" s="169">
        <f>INDEX('Final allowance'!$B$5:$G$23,MATCH('Financial model inputs'!$B47,'Final allowance'!$B$5:$B$23,0),MATCH('Financial model inputs'!$M$2,'Final allowance'!$B$5:$G$5,0))/5</f>
        <v>64.95182499863553</v>
      </c>
    </row>
    <row r="48" spans="1:13" x14ac:dyDescent="0.2">
      <c r="A48" s="116" t="s">
        <v>107</v>
      </c>
      <c r="B48" s="19" t="s">
        <v>27</v>
      </c>
      <c r="C48" s="19" t="s">
        <v>53</v>
      </c>
      <c r="D48" s="97">
        <f t="shared" si="2"/>
        <v>28.206027625338734</v>
      </c>
      <c r="E48" s="97">
        <f t="shared" si="0"/>
        <v>0.70436845481267696</v>
      </c>
      <c r="F48" s="97">
        <f t="shared" si="1"/>
        <v>1.68354988591579</v>
      </c>
      <c r="G48" s="150">
        <v>0</v>
      </c>
      <c r="H48" s="15"/>
      <c r="I48" s="169">
        <v>1.68354988591579</v>
      </c>
      <c r="J48" s="169">
        <v>0.84307197676830803</v>
      </c>
      <c r="K48" s="169">
        <f>Controls!$F$17</f>
        <v>0.83547843389681375</v>
      </c>
      <c r="L48" s="170">
        <f>INDEX(Drivers!$L$5:$L$104, MATCH('Financial model inputs'!$A48, Drivers!$C$5:$C$104, 0))</f>
        <v>2302.7640000000001</v>
      </c>
      <c r="M48" s="169">
        <f>INDEX('Final allowance'!$B$5:$G$23,MATCH('Financial model inputs'!$B48,'Final allowance'!$B$5:$B$23,0),MATCH('Financial model inputs'!$M$2,'Final allowance'!$B$5:$G$5,0))/5</f>
        <v>64.95182499863553</v>
      </c>
    </row>
    <row r="49" spans="1:13" x14ac:dyDescent="0.2">
      <c r="A49" s="116" t="s">
        <v>218</v>
      </c>
      <c r="B49" s="19" t="s">
        <v>156</v>
      </c>
      <c r="C49" s="19" t="s">
        <v>49</v>
      </c>
      <c r="D49" s="97">
        <f t="shared" si="2"/>
        <v>23.760637152510316</v>
      </c>
      <c r="E49" s="97">
        <f t="shared" si="0"/>
        <v>5.4715150411020259</v>
      </c>
      <c r="F49" s="97">
        <f t="shared" si="1"/>
        <v>8.8674681796644101</v>
      </c>
      <c r="G49" s="150">
        <v>0</v>
      </c>
      <c r="H49" s="15"/>
      <c r="I49" s="169">
        <v>8.8674681796644101</v>
      </c>
      <c r="J49" s="169">
        <v>6.5489602353730998</v>
      </c>
      <c r="K49" s="169">
        <f>Controls!$F$17</f>
        <v>0.83547843389681375</v>
      </c>
      <c r="L49" s="170">
        <f>INDEX(Drivers!$L$5:$L$104, MATCH('Financial model inputs'!$A49, Drivers!$C$5:$C$104, 0))</f>
        <v>4112.9695451171301</v>
      </c>
      <c r="M49" s="169">
        <f>INDEX('Final allowance'!$B$5:$G$23,MATCH('Financial model inputs'!$B49,'Final allowance'!$B$5:$B$23,0),MATCH('Financial model inputs'!$M$2,'Final allowance'!$B$5:$G$5,0))/5</f>
        <v>97.726776980853543</v>
      </c>
    </row>
    <row r="50" spans="1:13" x14ac:dyDescent="0.2">
      <c r="A50" s="116" t="s">
        <v>219</v>
      </c>
      <c r="B50" s="19" t="s">
        <v>156</v>
      </c>
      <c r="C50" s="19" t="s">
        <v>50</v>
      </c>
      <c r="D50" s="97">
        <f t="shared" si="2"/>
        <v>23.623921348870827</v>
      </c>
      <c r="E50" s="97">
        <f t="shared" si="0"/>
        <v>6.4740499349884901</v>
      </c>
      <c r="F50" s="97">
        <f t="shared" si="1"/>
        <v>7.4883815713286701</v>
      </c>
      <c r="G50" s="150">
        <v>0</v>
      </c>
      <c r="H50" s="15"/>
      <c r="I50" s="169">
        <v>7.4883815713286701</v>
      </c>
      <c r="J50" s="169">
        <v>7.7489132840837298</v>
      </c>
      <c r="K50" s="169">
        <f>Controls!$F$17</f>
        <v>0.83547843389681375</v>
      </c>
      <c r="L50" s="170">
        <f>INDEX(Drivers!$L$5:$L$104, MATCH('Financial model inputs'!$A50, Drivers!$C$5:$C$104, 0))</f>
        <v>4136.7720260178003</v>
      </c>
      <c r="M50" s="169">
        <f>INDEX('Final allowance'!$B$5:$G$23,MATCH('Financial model inputs'!$B50,'Final allowance'!$B$5:$B$23,0),MATCH('Financial model inputs'!$M$2,'Final allowance'!$B$5:$G$5,0))/5</f>
        <v>97.726776980853543</v>
      </c>
    </row>
    <row r="51" spans="1:13" x14ac:dyDescent="0.2">
      <c r="A51" s="116" t="s">
        <v>220</v>
      </c>
      <c r="B51" s="19" t="s">
        <v>156</v>
      </c>
      <c r="C51" s="19" t="s">
        <v>51</v>
      </c>
      <c r="D51" s="97">
        <f t="shared" si="2"/>
        <v>23.480497168235335</v>
      </c>
      <c r="E51" s="97">
        <f t="shared" si="0"/>
        <v>7.3006134998628021</v>
      </c>
      <c r="F51" s="97">
        <f t="shared" si="1"/>
        <v>6.5473709106936004</v>
      </c>
      <c r="G51" s="150">
        <v>0</v>
      </c>
      <c r="H51" s="15"/>
      <c r="I51" s="169">
        <v>6.5473709106936004</v>
      </c>
      <c r="J51" s="169">
        <v>8.7382429080921895</v>
      </c>
      <c r="K51" s="169">
        <f>Controls!$F$17</f>
        <v>0.83547843389681375</v>
      </c>
      <c r="L51" s="170">
        <f>INDEX(Drivers!$L$5:$L$104, MATCH('Financial model inputs'!$A51, Drivers!$C$5:$C$104, 0))</f>
        <v>4162.0403639944798</v>
      </c>
      <c r="M51" s="169">
        <f>INDEX('Final allowance'!$B$5:$G$23,MATCH('Financial model inputs'!$B51,'Final allowance'!$B$5:$B$23,0),MATCH('Financial model inputs'!$M$2,'Final allowance'!$B$5:$G$5,0))/5</f>
        <v>97.726776980853543</v>
      </c>
    </row>
    <row r="52" spans="1:13" x14ac:dyDescent="0.2">
      <c r="A52" s="116" t="s">
        <v>221</v>
      </c>
      <c r="B52" s="19" t="s">
        <v>156</v>
      </c>
      <c r="C52" s="19" t="s">
        <v>52</v>
      </c>
      <c r="D52" s="97">
        <f t="shared" si="2"/>
        <v>23.336410591036866</v>
      </c>
      <c r="E52" s="97">
        <f t="shared" si="0"/>
        <v>5.7493721265788276</v>
      </c>
      <c r="F52" s="97">
        <f t="shared" si="1"/>
        <v>8.3183721271289404</v>
      </c>
      <c r="G52" s="150">
        <v>0</v>
      </c>
      <c r="H52" s="15"/>
      <c r="I52" s="169">
        <v>8.3183721271289404</v>
      </c>
      <c r="J52" s="169">
        <v>6.8815326563999699</v>
      </c>
      <c r="K52" s="169">
        <f>Controls!$F$17</f>
        <v>0.83547843389681375</v>
      </c>
      <c r="L52" s="170">
        <f>INDEX(Drivers!$L$5:$L$104, MATCH('Financial model inputs'!$A52, Drivers!$C$5:$C$104, 0))</f>
        <v>4187.7381527726802</v>
      </c>
      <c r="M52" s="169">
        <f>INDEX('Final allowance'!$B$5:$G$23,MATCH('Financial model inputs'!$B52,'Final allowance'!$B$5:$B$23,0),MATCH('Financial model inputs'!$M$2,'Final allowance'!$B$5:$G$5,0))/5</f>
        <v>97.726776980853543</v>
      </c>
    </row>
    <row r="53" spans="1:13" x14ac:dyDescent="0.2">
      <c r="A53" s="116" t="s">
        <v>222</v>
      </c>
      <c r="B53" s="19" t="s">
        <v>156</v>
      </c>
      <c r="C53" s="19" t="s">
        <v>53</v>
      </c>
      <c r="D53" s="97">
        <f t="shared" si="2"/>
        <v>23.19172556356942</v>
      </c>
      <c r="E53" s="97">
        <f t="shared" si="0"/>
        <v>5.5155582815062081</v>
      </c>
      <c r="F53" s="97">
        <f t="shared" si="1"/>
        <v>5.5389962380775</v>
      </c>
      <c r="G53" s="150">
        <v>0</v>
      </c>
      <c r="H53" s="15"/>
      <c r="I53" s="169">
        <v>5.5389962380775</v>
      </c>
      <c r="J53" s="169">
        <v>6.6016764260218004</v>
      </c>
      <c r="K53" s="169">
        <f>Controls!$F$17</f>
        <v>0.83547843389681375</v>
      </c>
      <c r="L53" s="170">
        <f>INDEX(Drivers!$L$5:$L$104, MATCH('Financial model inputs'!$A53, Drivers!$C$5:$C$104, 0))</f>
        <v>4213.8639797621199</v>
      </c>
      <c r="M53" s="169">
        <f>INDEX('Final allowance'!$B$5:$G$23,MATCH('Financial model inputs'!$B53,'Final allowance'!$B$5:$B$23,0),MATCH('Financial model inputs'!$M$2,'Final allowance'!$B$5:$G$5,0))/5</f>
        <v>97.726776980853543</v>
      </c>
    </row>
    <row r="54" spans="1:13" x14ac:dyDescent="0.2">
      <c r="A54" s="116" t="s">
        <v>223</v>
      </c>
      <c r="B54" s="19" t="s">
        <v>157</v>
      </c>
      <c r="C54" s="19" t="s">
        <v>49</v>
      </c>
      <c r="D54" s="97">
        <f t="shared" si="2"/>
        <v>30.167210832577048</v>
      </c>
      <c r="E54" s="97">
        <f t="shared" si="0"/>
        <v>0.63219511418719931</v>
      </c>
      <c r="F54" s="97">
        <f t="shared" si="1"/>
        <v>0.19857775039480199</v>
      </c>
      <c r="G54" s="150">
        <v>0</v>
      </c>
      <c r="H54" s="15"/>
      <c r="I54" s="169">
        <v>0.19857775039480199</v>
      </c>
      <c r="J54" s="169">
        <v>0.75668633508411898</v>
      </c>
      <c r="K54" s="169">
        <f>Controls!$F$17</f>
        <v>0.83547843389681375</v>
      </c>
      <c r="L54" s="170">
        <f>INDEX(Drivers!$L$5:$L$104, MATCH('Financial model inputs'!$A54, Drivers!$C$5:$C$104, 0))</f>
        <v>95.024000000000001</v>
      </c>
      <c r="M54" s="169">
        <f>INDEX('Final allowance'!$B$5:$G$23,MATCH('Financial model inputs'!$B54,'Final allowance'!$B$5:$B$23,0),MATCH('Financial model inputs'!$M$2,'Final allowance'!$B$5:$G$5,0))/5</f>
        <v>2.8666090421548014</v>
      </c>
    </row>
    <row r="55" spans="1:13" x14ac:dyDescent="0.2">
      <c r="A55" s="116" t="s">
        <v>224</v>
      </c>
      <c r="B55" s="19" t="s">
        <v>157</v>
      </c>
      <c r="C55" s="19" t="s">
        <v>50</v>
      </c>
      <c r="D55" s="97">
        <f t="shared" si="2"/>
        <v>30.01559141140477</v>
      </c>
      <c r="E55" s="97">
        <f t="shared" si="0"/>
        <v>0.61460884807585814</v>
      </c>
      <c r="F55" s="97">
        <f t="shared" si="1"/>
        <v>0.16769453652424801</v>
      </c>
      <c r="G55" s="150">
        <v>0</v>
      </c>
      <c r="H55" s="15"/>
      <c r="I55" s="169">
        <v>0.16769453652424801</v>
      </c>
      <c r="J55" s="169">
        <v>0.73563699928102</v>
      </c>
      <c r="K55" s="169">
        <f>Controls!$F$17</f>
        <v>0.83547843389681375</v>
      </c>
      <c r="L55" s="170">
        <f>INDEX(Drivers!$L$5:$L$104, MATCH('Financial model inputs'!$A55, Drivers!$C$5:$C$104, 0))</f>
        <v>95.504000000000005</v>
      </c>
      <c r="M55" s="169">
        <f>INDEX('Final allowance'!$B$5:$G$23,MATCH('Financial model inputs'!$B55,'Final allowance'!$B$5:$B$23,0),MATCH('Financial model inputs'!$M$2,'Final allowance'!$B$5:$G$5,0))/5</f>
        <v>2.8666090421548014</v>
      </c>
    </row>
    <row r="56" spans="1:13" x14ac:dyDescent="0.2">
      <c r="A56" s="116" t="s">
        <v>225</v>
      </c>
      <c r="B56" s="19" t="s">
        <v>157</v>
      </c>
      <c r="C56" s="19" t="s">
        <v>51</v>
      </c>
      <c r="D56" s="97">
        <f t="shared" si="2"/>
        <v>29.862377254357579</v>
      </c>
      <c r="E56" s="97">
        <f t="shared" si="0"/>
        <v>0.51846085354247218</v>
      </c>
      <c r="F56" s="97">
        <f t="shared" si="1"/>
        <v>0.16943602231951099</v>
      </c>
      <c r="G56" s="150">
        <v>0</v>
      </c>
      <c r="H56" s="15"/>
      <c r="I56" s="169">
        <v>0.16943602231951099</v>
      </c>
      <c r="J56" s="169">
        <v>0.62055563914951395</v>
      </c>
      <c r="K56" s="169">
        <f>Controls!$F$17</f>
        <v>0.83547843389681375</v>
      </c>
      <c r="L56" s="170">
        <f>INDEX(Drivers!$L$5:$L$104, MATCH('Financial model inputs'!$A56, Drivers!$C$5:$C$104, 0))</f>
        <v>95.994</v>
      </c>
      <c r="M56" s="169">
        <f>INDEX('Final allowance'!$B$5:$G$23,MATCH('Financial model inputs'!$B56,'Final allowance'!$B$5:$B$23,0),MATCH('Financial model inputs'!$M$2,'Final allowance'!$B$5:$G$5,0))/5</f>
        <v>2.8666090421548014</v>
      </c>
    </row>
    <row r="57" spans="1:13" x14ac:dyDescent="0.2">
      <c r="A57" s="116" t="s">
        <v>226</v>
      </c>
      <c r="B57" s="19" t="s">
        <v>157</v>
      </c>
      <c r="C57" s="19" t="s">
        <v>52</v>
      </c>
      <c r="D57" s="97">
        <f t="shared" si="2"/>
        <v>29.709795538827009</v>
      </c>
      <c r="E57" s="97">
        <f t="shared" si="0"/>
        <v>0.50118057216635381</v>
      </c>
      <c r="F57" s="97">
        <f t="shared" si="1"/>
        <v>0.18628131395387801</v>
      </c>
      <c r="G57" s="150">
        <v>0</v>
      </c>
      <c r="H57" s="15"/>
      <c r="I57" s="169">
        <v>0.18628131395387801</v>
      </c>
      <c r="J57" s="169">
        <v>0.59987254228545706</v>
      </c>
      <c r="K57" s="169">
        <f>Controls!$F$17</f>
        <v>0.83547843389681375</v>
      </c>
      <c r="L57" s="170">
        <f>INDEX(Drivers!$L$5:$L$104, MATCH('Financial model inputs'!$A57, Drivers!$C$5:$C$104, 0))</f>
        <v>96.486999999999995</v>
      </c>
      <c r="M57" s="169">
        <f>INDEX('Final allowance'!$B$5:$G$23,MATCH('Financial model inputs'!$B57,'Final allowance'!$B$5:$B$23,0),MATCH('Financial model inputs'!$M$2,'Final allowance'!$B$5:$G$5,0))/5</f>
        <v>2.8666090421548014</v>
      </c>
    </row>
    <row r="58" spans="1:13" x14ac:dyDescent="0.2">
      <c r="A58" s="116" t="s">
        <v>227</v>
      </c>
      <c r="B58" s="19" t="s">
        <v>157</v>
      </c>
      <c r="C58" s="19" t="s">
        <v>53</v>
      </c>
      <c r="D58" s="97">
        <f t="shared" si="2"/>
        <v>29.557546009185039</v>
      </c>
      <c r="E58" s="97">
        <f t="shared" si="0"/>
        <v>0.51151088600306005</v>
      </c>
      <c r="F58" s="97">
        <f t="shared" si="1"/>
        <v>0.124040074361375</v>
      </c>
      <c r="G58" s="150">
        <v>0</v>
      </c>
      <c r="H58" s="15"/>
      <c r="I58" s="169">
        <v>0.124040074361375</v>
      </c>
      <c r="J58" s="169">
        <v>0.61223709104888102</v>
      </c>
      <c r="K58" s="169">
        <f>Controls!$F$17</f>
        <v>0.83547843389681375</v>
      </c>
      <c r="L58" s="170">
        <f>INDEX(Drivers!$L$5:$L$104, MATCH('Financial model inputs'!$A58, Drivers!$C$5:$C$104, 0))</f>
        <v>96.983999999999995</v>
      </c>
      <c r="M58" s="169">
        <f>INDEX('Final allowance'!$B$5:$G$23,MATCH('Financial model inputs'!$B58,'Final allowance'!$B$5:$B$23,0),MATCH('Financial model inputs'!$M$2,'Final allowance'!$B$5:$G$5,0))/5</f>
        <v>2.8666090421548014</v>
      </c>
    </row>
    <row r="59" spans="1:13" x14ac:dyDescent="0.2">
      <c r="A59" s="116" t="s">
        <v>108</v>
      </c>
      <c r="B59" s="19" t="s">
        <v>28</v>
      </c>
      <c r="C59" s="19" t="s">
        <v>49</v>
      </c>
      <c r="D59" s="97">
        <f t="shared" si="2"/>
        <v>19.819387922711186</v>
      </c>
      <c r="E59" s="97">
        <f t="shared" si="0"/>
        <v>0.66707328992582882</v>
      </c>
      <c r="F59" s="97">
        <f t="shared" si="1"/>
        <v>0.76816035650546199</v>
      </c>
      <c r="G59" s="150">
        <v>0</v>
      </c>
      <c r="H59" s="15"/>
      <c r="I59" s="169">
        <v>0.76816035650546199</v>
      </c>
      <c r="J59" s="169">
        <v>0.79843268582587501</v>
      </c>
      <c r="K59" s="169">
        <f>Controls!$F$17</f>
        <v>0.83547843389681375</v>
      </c>
      <c r="L59" s="170">
        <f>INDEX(Drivers!$L$5:$L$104, MATCH('Financial model inputs'!$A59, Drivers!$C$5:$C$104, 0))</f>
        <v>1408.6079999999999</v>
      </c>
      <c r="M59" s="169">
        <f>INDEX('Final allowance'!$B$5:$G$23,MATCH('Financial model inputs'!$B59,'Final allowance'!$B$5:$B$23,0),MATCH('Financial model inputs'!$M$2,'Final allowance'!$B$5:$G$5,0))/5</f>
        <v>27.917748383034354</v>
      </c>
    </row>
    <row r="60" spans="1:13" x14ac:dyDescent="0.2">
      <c r="A60" s="116" t="s">
        <v>109</v>
      </c>
      <c r="B60" s="19" t="s">
        <v>28</v>
      </c>
      <c r="C60" s="19" t="s">
        <v>50</v>
      </c>
      <c r="D60" s="97">
        <f t="shared" si="2"/>
        <v>19.540870368929721</v>
      </c>
      <c r="E60" s="97">
        <f t="shared" si="0"/>
        <v>0.70525907303865232</v>
      </c>
      <c r="F60" s="97">
        <f t="shared" si="1"/>
        <v>0.33988393698067698</v>
      </c>
      <c r="G60" s="150">
        <v>0</v>
      </c>
      <c r="H60" s="15"/>
      <c r="I60" s="169">
        <v>0.33988393698067698</v>
      </c>
      <c r="J60" s="169">
        <v>0.84413797463233597</v>
      </c>
      <c r="K60" s="169">
        <f>Controls!$F$17</f>
        <v>0.83547843389681375</v>
      </c>
      <c r="L60" s="170">
        <f>INDEX(Drivers!$L$5:$L$104, MATCH('Financial model inputs'!$A60, Drivers!$C$5:$C$104, 0))</f>
        <v>1428.6849999999999</v>
      </c>
      <c r="M60" s="169">
        <f>INDEX('Final allowance'!$B$5:$G$23,MATCH('Financial model inputs'!$B60,'Final allowance'!$B$5:$B$23,0),MATCH('Financial model inputs'!$M$2,'Final allowance'!$B$5:$G$5,0))/5</f>
        <v>27.917748383034354</v>
      </c>
    </row>
    <row r="61" spans="1:13" x14ac:dyDescent="0.2">
      <c r="A61" s="116" t="s">
        <v>110</v>
      </c>
      <c r="B61" s="19" t="s">
        <v>28</v>
      </c>
      <c r="C61" s="19" t="s">
        <v>51</v>
      </c>
      <c r="D61" s="97">
        <f t="shared" si="2"/>
        <v>19.314787508464292</v>
      </c>
      <c r="E61" s="97">
        <f t="shared" si="0"/>
        <v>0.73877165956729673</v>
      </c>
      <c r="F61" s="97">
        <f t="shared" si="1"/>
        <v>0.33364477960211802</v>
      </c>
      <c r="G61" s="150">
        <v>0</v>
      </c>
      <c r="H61" s="15"/>
      <c r="I61" s="169">
        <v>0.33364477960211802</v>
      </c>
      <c r="J61" s="169">
        <v>0.88424982572146105</v>
      </c>
      <c r="K61" s="169">
        <f>Controls!$F$17</f>
        <v>0.83547843389681375</v>
      </c>
      <c r="L61" s="170">
        <f>INDEX(Drivers!$L$5:$L$104, MATCH('Financial model inputs'!$A61, Drivers!$C$5:$C$104, 0))</f>
        <v>1445.4079999999999</v>
      </c>
      <c r="M61" s="169">
        <f>INDEX('Final allowance'!$B$5:$G$23,MATCH('Financial model inputs'!$B61,'Final allowance'!$B$5:$B$23,0),MATCH('Financial model inputs'!$M$2,'Final allowance'!$B$5:$G$5,0))/5</f>
        <v>27.917748383034354</v>
      </c>
    </row>
    <row r="62" spans="1:13" x14ac:dyDescent="0.2">
      <c r="A62" s="116" t="s">
        <v>111</v>
      </c>
      <c r="B62" s="19" t="s">
        <v>28</v>
      </c>
      <c r="C62" s="19" t="s">
        <v>52</v>
      </c>
      <c r="D62" s="97">
        <f t="shared" si="2"/>
        <v>19.093863196369654</v>
      </c>
      <c r="E62" s="97">
        <f t="shared" si="0"/>
        <v>0.76034928059710116</v>
      </c>
      <c r="F62" s="97">
        <f t="shared" si="1"/>
        <v>0.32752015274577201</v>
      </c>
      <c r="G62" s="150">
        <v>0</v>
      </c>
      <c r="H62" s="15"/>
      <c r="I62" s="169">
        <v>0.32752015274577201</v>
      </c>
      <c r="J62" s="169">
        <v>0.910076490006693</v>
      </c>
      <c r="K62" s="169">
        <f>Controls!$F$17</f>
        <v>0.83547843389681375</v>
      </c>
      <c r="L62" s="170">
        <f>INDEX(Drivers!$L$5:$L$104, MATCH('Financial model inputs'!$A62, Drivers!$C$5:$C$104, 0))</f>
        <v>1462.1320000000001</v>
      </c>
      <c r="M62" s="169">
        <f>INDEX('Final allowance'!$B$5:$G$23,MATCH('Financial model inputs'!$B62,'Final allowance'!$B$5:$B$23,0),MATCH('Financial model inputs'!$M$2,'Final allowance'!$B$5:$G$5,0))/5</f>
        <v>27.917748383034354</v>
      </c>
    </row>
    <row r="63" spans="1:13" x14ac:dyDescent="0.2">
      <c r="A63" s="116" t="s">
        <v>112</v>
      </c>
      <c r="B63" s="19" t="s">
        <v>28</v>
      </c>
      <c r="C63" s="19" t="s">
        <v>53</v>
      </c>
      <c r="D63" s="97">
        <f t="shared" si="2"/>
        <v>18.877935636082455</v>
      </c>
      <c r="E63" s="97">
        <f t="shared" si="0"/>
        <v>0.31925311045276317</v>
      </c>
      <c r="F63" s="97">
        <f t="shared" si="1"/>
        <v>0.32150795400586202</v>
      </c>
      <c r="G63" s="150">
        <v>0</v>
      </c>
      <c r="H63" s="15"/>
      <c r="I63" s="169">
        <v>0.32150795400586202</v>
      </c>
      <c r="J63" s="169">
        <v>0.38212010926926299</v>
      </c>
      <c r="K63" s="169">
        <f>Controls!$F$17</f>
        <v>0.83547843389681375</v>
      </c>
      <c r="L63" s="170">
        <f>INDEX(Drivers!$L$5:$L$104, MATCH('Financial model inputs'!$A63, Drivers!$C$5:$C$104, 0))</f>
        <v>1478.856</v>
      </c>
      <c r="M63" s="169">
        <f>INDEX('Final allowance'!$B$5:$G$23,MATCH('Financial model inputs'!$B63,'Final allowance'!$B$5:$B$23,0),MATCH('Financial model inputs'!$M$2,'Final allowance'!$B$5:$G$5,0))/5</f>
        <v>27.917748383034354</v>
      </c>
    </row>
    <row r="64" spans="1:13" x14ac:dyDescent="0.2">
      <c r="A64" s="116" t="s">
        <v>113</v>
      </c>
      <c r="B64" s="19" t="s">
        <v>29</v>
      </c>
      <c r="C64" s="19" t="s">
        <v>49</v>
      </c>
      <c r="D64" s="97">
        <f t="shared" si="2"/>
        <v>19.806139429594449</v>
      </c>
      <c r="E64" s="97">
        <f t="shared" si="0"/>
        <v>0.37085458489990319</v>
      </c>
      <c r="F64" s="97">
        <f t="shared" si="1"/>
        <v>1.15541492087416</v>
      </c>
      <c r="G64" s="150">
        <v>0</v>
      </c>
      <c r="H64" s="15"/>
      <c r="I64" s="169">
        <v>1.15541492087416</v>
      </c>
      <c r="J64" s="169">
        <v>0.44388289374529299</v>
      </c>
      <c r="K64" s="169">
        <f>Controls!$F$17</f>
        <v>0.83547843389681375</v>
      </c>
      <c r="L64" s="170">
        <f>INDEX(Drivers!$L$5:$L$104, MATCH('Financial model inputs'!$A64, Drivers!$C$5:$C$104, 0))</f>
        <v>508.06900000000002</v>
      </c>
      <c r="M64" s="169">
        <f>INDEX('Final allowance'!$B$5:$G$23,MATCH('Financial model inputs'!$B64,'Final allowance'!$B$5:$B$23,0),MATCH('Financial model inputs'!$M$2,'Final allowance'!$B$5:$G$5,0))/5</f>
        <v>10.062885453854623</v>
      </c>
    </row>
    <row r="65" spans="1:13" x14ac:dyDescent="0.2">
      <c r="A65" s="116" t="s">
        <v>114</v>
      </c>
      <c r="B65" s="19" t="s">
        <v>29</v>
      </c>
      <c r="C65" s="19" t="s">
        <v>50</v>
      </c>
      <c r="D65" s="97">
        <f t="shared" si="2"/>
        <v>19.576836414642663</v>
      </c>
      <c r="E65" s="97">
        <f t="shared" si="0"/>
        <v>0.39364198715372262</v>
      </c>
      <c r="F65" s="97">
        <f t="shared" si="1"/>
        <v>0.19585373420994401</v>
      </c>
      <c r="G65" s="150">
        <v>0</v>
      </c>
      <c r="H65" s="15"/>
      <c r="I65" s="169">
        <v>0.19585373420994401</v>
      </c>
      <c r="J65" s="169">
        <v>0.47115756814656401</v>
      </c>
      <c r="K65" s="169">
        <f>Controls!$F$17</f>
        <v>0.83547843389681375</v>
      </c>
      <c r="L65" s="170">
        <f>INDEX(Drivers!$L$5:$L$104, MATCH('Financial model inputs'!$A65, Drivers!$C$5:$C$104, 0))</f>
        <v>514.02</v>
      </c>
      <c r="M65" s="169">
        <f>INDEX('Final allowance'!$B$5:$G$23,MATCH('Financial model inputs'!$B65,'Final allowance'!$B$5:$B$23,0),MATCH('Financial model inputs'!$M$2,'Final allowance'!$B$5:$G$5,0))/5</f>
        <v>10.062885453854623</v>
      </c>
    </row>
    <row r="66" spans="1:13" x14ac:dyDescent="0.2">
      <c r="A66" s="116" t="s">
        <v>115</v>
      </c>
      <c r="B66" s="19" t="s">
        <v>29</v>
      </c>
      <c r="C66" s="19" t="s">
        <v>51</v>
      </c>
      <c r="D66" s="97">
        <f t="shared" si="2"/>
        <v>19.370850136201209</v>
      </c>
      <c r="E66" s="97">
        <f t="shared" si="0"/>
        <v>0.40329110912224964</v>
      </c>
      <c r="F66" s="97">
        <f t="shared" si="1"/>
        <v>0.19380722717068599</v>
      </c>
      <c r="G66" s="150">
        <v>0</v>
      </c>
      <c r="H66" s="15"/>
      <c r="I66" s="169">
        <v>0.19380722717068599</v>
      </c>
      <c r="J66" s="169">
        <v>0.48270678542979401</v>
      </c>
      <c r="K66" s="169">
        <f>Controls!$F$17</f>
        <v>0.83547843389681375</v>
      </c>
      <c r="L66" s="170">
        <f>INDEX(Drivers!$L$5:$L$104, MATCH('Financial model inputs'!$A66, Drivers!$C$5:$C$104, 0))</f>
        <v>519.48599999999999</v>
      </c>
      <c r="M66" s="169">
        <f>INDEX('Final allowance'!$B$5:$G$23,MATCH('Financial model inputs'!$B66,'Final allowance'!$B$5:$B$23,0),MATCH('Financial model inputs'!$M$2,'Final allowance'!$B$5:$G$5,0))/5</f>
        <v>10.062885453854623</v>
      </c>
    </row>
    <row r="67" spans="1:13" x14ac:dyDescent="0.2">
      <c r="A67" s="116" t="s">
        <v>116</v>
      </c>
      <c r="B67" s="19" t="s">
        <v>29</v>
      </c>
      <c r="C67" s="19" t="s">
        <v>52</v>
      </c>
      <c r="D67" s="97">
        <f t="shared" si="2"/>
        <v>19.172513534760931</v>
      </c>
      <c r="E67" s="97">
        <f t="shared" si="0"/>
        <v>0.38645925076937376</v>
      </c>
      <c r="F67" s="97">
        <f t="shared" si="1"/>
        <v>0.189996024421412</v>
      </c>
      <c r="G67" s="150">
        <v>0</v>
      </c>
      <c r="H67" s="15"/>
      <c r="I67" s="169">
        <v>0.189996024421412</v>
      </c>
      <c r="J67" s="169">
        <v>0.46256041459605601</v>
      </c>
      <c r="K67" s="169">
        <f>Controls!$F$17</f>
        <v>0.83547843389681375</v>
      </c>
      <c r="L67" s="170">
        <f>INDEX(Drivers!$L$5:$L$104, MATCH('Financial model inputs'!$A67, Drivers!$C$5:$C$104, 0))</f>
        <v>524.86</v>
      </c>
      <c r="M67" s="169">
        <f>INDEX('Final allowance'!$B$5:$G$23,MATCH('Financial model inputs'!$B67,'Final allowance'!$B$5:$B$23,0),MATCH('Financial model inputs'!$M$2,'Final allowance'!$B$5:$G$5,0))/5</f>
        <v>10.062885453854623</v>
      </c>
    </row>
    <row r="68" spans="1:13" x14ac:dyDescent="0.2">
      <c r="A68" s="116" t="s">
        <v>117</v>
      </c>
      <c r="B68" s="19" t="s">
        <v>29</v>
      </c>
      <c r="C68" s="19" t="s">
        <v>53</v>
      </c>
      <c r="D68" s="97">
        <f t="shared" si="2"/>
        <v>18.982636535539079</v>
      </c>
      <c r="E68" s="97">
        <f t="shared" si="0"/>
        <v>0.35201661941025736</v>
      </c>
      <c r="F68" s="97">
        <f t="shared" si="1"/>
        <v>0.18716344145900099</v>
      </c>
      <c r="G68" s="150">
        <v>0</v>
      </c>
      <c r="H68" s="15"/>
      <c r="I68" s="169">
        <v>0.18716344145900099</v>
      </c>
      <c r="J68" s="169">
        <v>0.421335375191424</v>
      </c>
      <c r="K68" s="169">
        <f>Controls!$F$17</f>
        <v>0.83547843389681375</v>
      </c>
      <c r="L68" s="170">
        <f>INDEX(Drivers!$L$5:$L$104, MATCH('Financial model inputs'!$A68, Drivers!$C$5:$C$104, 0))</f>
        <v>530.11</v>
      </c>
      <c r="M68" s="169">
        <f>INDEX('Final allowance'!$B$5:$G$23,MATCH('Financial model inputs'!$B68,'Final allowance'!$B$5:$B$23,0),MATCH('Financial model inputs'!$M$2,'Final allowance'!$B$5:$G$5,0))/5</f>
        <v>10.062885453854623</v>
      </c>
    </row>
    <row r="69" spans="1:13" x14ac:dyDescent="0.2">
      <c r="A69" s="116" t="s">
        <v>123</v>
      </c>
      <c r="B69" s="19" t="s">
        <v>31</v>
      </c>
      <c r="C69" s="19" t="s">
        <v>49</v>
      </c>
      <c r="D69" s="97">
        <f t="shared" ref="D69:D88" si="3">(M69*1000)/L69</f>
        <v>14.600261225862047</v>
      </c>
      <c r="E69" s="97">
        <f t="shared" ref="E69:E88" si="4">J69*K69</f>
        <v>1.1022059836107023E-2</v>
      </c>
      <c r="F69" s="97">
        <f t="shared" ref="F69:F88" si="5">I69</f>
        <v>4.9943083730993501E-2</v>
      </c>
      <c r="G69" s="150">
        <v>0</v>
      </c>
      <c r="H69" s="15"/>
      <c r="I69" s="169">
        <v>4.9943083730993501E-2</v>
      </c>
      <c r="J69" s="169">
        <v>1.3192512683658701E-2</v>
      </c>
      <c r="K69" s="169">
        <f>Controls!$F$17</f>
        <v>0.83547843389681375</v>
      </c>
      <c r="L69" s="170">
        <f>INDEX(Drivers!$L$5:$L$104, MATCH('Financial model inputs'!$A69, Drivers!$C$5:$C$104, 0))</f>
        <v>300.21699999999998</v>
      </c>
      <c r="M69" s="169">
        <f>INDEX('Final allowance'!$B$5:$G$23,MATCH('Financial model inputs'!$B69,'Final allowance'!$B$5:$B$23,0),MATCH('Financial model inputs'!$M$2,'Final allowance'!$B$5:$G$5,0))/5</f>
        <v>4.3832466244446255</v>
      </c>
    </row>
    <row r="70" spans="1:13" x14ac:dyDescent="0.2">
      <c r="A70" s="116" t="s">
        <v>124</v>
      </c>
      <c r="B70" s="19" t="s">
        <v>31</v>
      </c>
      <c r="C70" s="19" t="s">
        <v>50</v>
      </c>
      <c r="D70" s="97">
        <f t="shared" si="3"/>
        <v>14.510362008509837</v>
      </c>
      <c r="E70" s="97">
        <f t="shared" si="4"/>
        <v>1.7752617383085496E-2</v>
      </c>
      <c r="F70" s="97">
        <f t="shared" si="5"/>
        <v>4.9887653005431902E-2</v>
      </c>
      <c r="G70" s="150">
        <v>0</v>
      </c>
      <c r="H70" s="15"/>
      <c r="I70" s="169">
        <v>4.9887653005431902E-2</v>
      </c>
      <c r="J70" s="169">
        <v>2.1248444798609899E-2</v>
      </c>
      <c r="K70" s="169">
        <f>Controls!$F$17</f>
        <v>0.83547843389681375</v>
      </c>
      <c r="L70" s="170">
        <f>INDEX(Drivers!$L$5:$L$104, MATCH('Financial model inputs'!$A70, Drivers!$C$5:$C$104, 0))</f>
        <v>302.077</v>
      </c>
      <c r="M70" s="169">
        <f>INDEX('Final allowance'!$B$5:$G$23,MATCH('Financial model inputs'!$B70,'Final allowance'!$B$5:$B$23,0),MATCH('Financial model inputs'!$M$2,'Final allowance'!$B$5:$G$5,0))/5</f>
        <v>4.3832466244446255</v>
      </c>
    </row>
    <row r="71" spans="1:13" x14ac:dyDescent="0.2">
      <c r="A71" s="116" t="s">
        <v>125</v>
      </c>
      <c r="B71" s="19" t="s">
        <v>31</v>
      </c>
      <c r="C71" s="19" t="s">
        <v>51</v>
      </c>
      <c r="D71" s="97">
        <f t="shared" si="3"/>
        <v>14.420946288681119</v>
      </c>
      <c r="E71" s="97">
        <f t="shared" si="4"/>
        <v>1.8917963963219857E-2</v>
      </c>
      <c r="F71" s="97">
        <f t="shared" si="5"/>
        <v>4.9815194540645501E-2</v>
      </c>
      <c r="G71" s="150">
        <v>0</v>
      </c>
      <c r="H71" s="15"/>
      <c r="I71" s="169">
        <v>4.9815194540645501E-2</v>
      </c>
      <c r="J71" s="169">
        <v>2.2643270245747998E-2</v>
      </c>
      <c r="K71" s="169">
        <f>Controls!$F$17</f>
        <v>0.83547843389681375</v>
      </c>
      <c r="L71" s="170">
        <f>INDEX(Drivers!$L$5:$L$104, MATCH('Financial model inputs'!$A71, Drivers!$C$5:$C$104, 0))</f>
        <v>303.95</v>
      </c>
      <c r="M71" s="169">
        <f>INDEX('Final allowance'!$B$5:$G$23,MATCH('Financial model inputs'!$B71,'Final allowance'!$B$5:$B$23,0),MATCH('Financial model inputs'!$M$2,'Final allowance'!$B$5:$G$5,0))/5</f>
        <v>4.3832466244446255</v>
      </c>
    </row>
    <row r="72" spans="1:13" x14ac:dyDescent="0.2">
      <c r="A72" s="116" t="s">
        <v>126</v>
      </c>
      <c r="B72" s="19" t="s">
        <v>31</v>
      </c>
      <c r="C72" s="19" t="s">
        <v>52</v>
      </c>
      <c r="D72" s="97">
        <f t="shared" si="3"/>
        <v>14.330891991252946</v>
      </c>
      <c r="E72" s="97">
        <f t="shared" si="4"/>
        <v>2.2998309131757495E-2</v>
      </c>
      <c r="F72" s="97">
        <f t="shared" si="5"/>
        <v>4.9726397402427E-2</v>
      </c>
      <c r="G72" s="150">
        <v>0</v>
      </c>
      <c r="H72" s="15"/>
      <c r="I72" s="169">
        <v>4.9726397402427E-2</v>
      </c>
      <c r="J72" s="169">
        <v>2.7527112847772098E-2</v>
      </c>
      <c r="K72" s="169">
        <f>Controls!$F$17</f>
        <v>0.83547843389681375</v>
      </c>
      <c r="L72" s="170">
        <f>INDEX(Drivers!$L$5:$L$104, MATCH('Financial model inputs'!$A72, Drivers!$C$5:$C$104, 0))</f>
        <v>305.86</v>
      </c>
      <c r="M72" s="169">
        <f>INDEX('Final allowance'!$B$5:$G$23,MATCH('Financial model inputs'!$B72,'Final allowance'!$B$5:$B$23,0),MATCH('Financial model inputs'!$M$2,'Final allowance'!$B$5:$G$5,0))/5</f>
        <v>4.3832466244446255</v>
      </c>
    </row>
    <row r="73" spans="1:13" x14ac:dyDescent="0.2">
      <c r="A73" s="116" t="s">
        <v>127</v>
      </c>
      <c r="B73" s="19" t="s">
        <v>31</v>
      </c>
      <c r="C73" s="19" t="s">
        <v>53</v>
      </c>
      <c r="D73" s="97">
        <f t="shared" si="3"/>
        <v>14.238994472490452</v>
      </c>
      <c r="E73" s="97">
        <f t="shared" si="4"/>
        <v>2.9093370185651529E-2</v>
      </c>
      <c r="F73" s="97">
        <f t="shared" si="5"/>
        <v>5.04924903596074E-2</v>
      </c>
      <c r="G73" s="150">
        <v>0</v>
      </c>
      <c r="H73" s="15"/>
      <c r="I73" s="169">
        <v>5.04924903596074E-2</v>
      </c>
      <c r="J73" s="169">
        <v>3.4822407144556797E-2</v>
      </c>
      <c r="K73" s="169">
        <f>Controls!$F$17</f>
        <v>0.83547843389681375</v>
      </c>
      <c r="L73" s="170">
        <f>INDEX(Drivers!$L$5:$L$104, MATCH('Financial model inputs'!$A73, Drivers!$C$5:$C$104, 0))</f>
        <v>307.834</v>
      </c>
      <c r="M73" s="169">
        <f>INDEX('Final allowance'!$B$5:$G$23,MATCH('Financial model inputs'!$B73,'Final allowance'!$B$5:$B$23,0),MATCH('Financial model inputs'!$M$2,'Final allowance'!$B$5:$G$5,0))/5</f>
        <v>4.3832466244446255</v>
      </c>
    </row>
    <row r="74" spans="1:13" x14ac:dyDescent="0.2">
      <c r="A74" s="116" t="s">
        <v>128</v>
      </c>
      <c r="B74" s="19" t="s">
        <v>32</v>
      </c>
      <c r="C74" s="19" t="s">
        <v>49</v>
      </c>
      <c r="D74" s="97">
        <f t="shared" si="3"/>
        <v>19.332056754488907</v>
      </c>
      <c r="E74" s="97">
        <f t="shared" si="4"/>
        <v>0.31217628790157032</v>
      </c>
      <c r="F74" s="97">
        <f t="shared" si="5"/>
        <v>0.16147676600855901</v>
      </c>
      <c r="G74" s="150">
        <v>0</v>
      </c>
      <c r="H74" s="15"/>
      <c r="I74" s="169">
        <v>0.16147676600855901</v>
      </c>
      <c r="J74" s="169">
        <v>0.373649725996549</v>
      </c>
      <c r="K74" s="169">
        <f>Controls!$F$17</f>
        <v>0.83547843389681375</v>
      </c>
      <c r="L74" s="170">
        <f>INDEX(Drivers!$L$5:$L$104, MATCH('Financial model inputs'!$A74, Drivers!$C$5:$C$104, 0))</f>
        <v>276.642</v>
      </c>
      <c r="M74" s="169">
        <f>INDEX('Final allowance'!$B$5:$G$23,MATCH('Financial model inputs'!$B74,'Final allowance'!$B$5:$B$23,0),MATCH('Financial model inputs'!$M$2,'Final allowance'!$B$5:$G$5,0))/5</f>
        <v>5.3480588446753199</v>
      </c>
    </row>
    <row r="75" spans="1:13" x14ac:dyDescent="0.2">
      <c r="A75" s="116" t="s">
        <v>129</v>
      </c>
      <c r="B75" s="19" t="s">
        <v>32</v>
      </c>
      <c r="C75" s="19" t="s">
        <v>50</v>
      </c>
      <c r="D75" s="97">
        <f t="shared" si="3"/>
        <v>19.162419585996396</v>
      </c>
      <c r="E75" s="97">
        <f t="shared" si="4"/>
        <v>0.32610682052182366</v>
      </c>
      <c r="F75" s="97">
        <f t="shared" si="5"/>
        <v>0.160179904306221</v>
      </c>
      <c r="G75" s="150">
        <v>0</v>
      </c>
      <c r="H75" s="15"/>
      <c r="I75" s="169">
        <v>0.160179904306221</v>
      </c>
      <c r="J75" s="169">
        <v>0.39032344497607901</v>
      </c>
      <c r="K75" s="169">
        <f>Controls!$F$17</f>
        <v>0.83547843389681375</v>
      </c>
      <c r="L75" s="170">
        <f>INDEX(Drivers!$L$5:$L$104, MATCH('Financial model inputs'!$A75, Drivers!$C$5:$C$104, 0))</f>
        <v>279.09100000000001</v>
      </c>
      <c r="M75" s="169">
        <f>INDEX('Final allowance'!$B$5:$G$23,MATCH('Financial model inputs'!$B75,'Final allowance'!$B$5:$B$23,0),MATCH('Financial model inputs'!$M$2,'Final allowance'!$B$5:$G$5,0))/5</f>
        <v>5.3480588446753199</v>
      </c>
    </row>
    <row r="76" spans="1:13" x14ac:dyDescent="0.2">
      <c r="A76" s="116" t="s">
        <v>130</v>
      </c>
      <c r="B76" s="19" t="s">
        <v>32</v>
      </c>
      <c r="C76" s="19" t="s">
        <v>51</v>
      </c>
      <c r="D76" s="97">
        <f t="shared" si="3"/>
        <v>18.989595764228088</v>
      </c>
      <c r="E76" s="97">
        <f t="shared" si="4"/>
        <v>0.33775344511526589</v>
      </c>
      <c r="F76" s="97">
        <f t="shared" si="5"/>
        <v>0.15972018183130099</v>
      </c>
      <c r="G76" s="150">
        <v>0</v>
      </c>
      <c r="H76" s="15"/>
      <c r="I76" s="169">
        <v>0.15972018183130099</v>
      </c>
      <c r="J76" s="169">
        <v>0.40426351107583502</v>
      </c>
      <c r="K76" s="169">
        <f>Controls!$F$17</f>
        <v>0.83547843389681375</v>
      </c>
      <c r="L76" s="170">
        <f>INDEX(Drivers!$L$5:$L$104, MATCH('Financial model inputs'!$A76, Drivers!$C$5:$C$104, 0))</f>
        <v>281.63099999999997</v>
      </c>
      <c r="M76" s="169">
        <f>INDEX('Final allowance'!$B$5:$G$23,MATCH('Financial model inputs'!$B76,'Final allowance'!$B$5:$B$23,0),MATCH('Financial model inputs'!$M$2,'Final allowance'!$B$5:$G$5,0))/5</f>
        <v>5.3480588446753199</v>
      </c>
    </row>
    <row r="77" spans="1:13" x14ac:dyDescent="0.2">
      <c r="A77" s="116" t="s">
        <v>131</v>
      </c>
      <c r="B77" s="19" t="s">
        <v>32</v>
      </c>
      <c r="C77" s="19" t="s">
        <v>52</v>
      </c>
      <c r="D77" s="97">
        <f t="shared" si="3"/>
        <v>18.81456474972936</v>
      </c>
      <c r="E77" s="97">
        <f t="shared" si="4"/>
        <v>0.34668152494043597</v>
      </c>
      <c r="F77" s="97">
        <f t="shared" si="5"/>
        <v>0.11324853201273399</v>
      </c>
      <c r="G77" s="150">
        <v>0</v>
      </c>
      <c r="H77" s="15"/>
      <c r="I77" s="169">
        <v>0.11324853201273399</v>
      </c>
      <c r="J77" s="169">
        <v>0.41494969932790998</v>
      </c>
      <c r="K77" s="169">
        <f>Controls!$F$17</f>
        <v>0.83547843389681375</v>
      </c>
      <c r="L77" s="170">
        <f>INDEX(Drivers!$L$5:$L$104, MATCH('Financial model inputs'!$A77, Drivers!$C$5:$C$104, 0))</f>
        <v>284.25099999999998</v>
      </c>
      <c r="M77" s="169">
        <f>INDEX('Final allowance'!$B$5:$G$23,MATCH('Financial model inputs'!$B77,'Final allowance'!$B$5:$B$23,0),MATCH('Financial model inputs'!$M$2,'Final allowance'!$B$5:$G$5,0))/5</f>
        <v>5.3480588446753199</v>
      </c>
    </row>
    <row r="78" spans="1:13" x14ac:dyDescent="0.2">
      <c r="A78" s="116" t="s">
        <v>132</v>
      </c>
      <c r="B78" s="19" t="s">
        <v>32</v>
      </c>
      <c r="C78" s="19" t="s">
        <v>53</v>
      </c>
      <c r="D78" s="97">
        <f t="shared" si="3"/>
        <v>18.64331575696788</v>
      </c>
      <c r="E78" s="97">
        <f t="shared" si="4"/>
        <v>0.35362124472051065</v>
      </c>
      <c r="F78" s="97">
        <f t="shared" si="5"/>
        <v>0.110150634579375</v>
      </c>
      <c r="G78" s="150">
        <v>0</v>
      </c>
      <c r="H78" s="15"/>
      <c r="I78" s="169">
        <v>0.110150634579375</v>
      </c>
      <c r="J78" s="169">
        <v>0.42325598169082701</v>
      </c>
      <c r="K78" s="169">
        <f>Controls!$F$17</f>
        <v>0.83547843389681375</v>
      </c>
      <c r="L78" s="170">
        <f>INDEX(Drivers!$L$5:$L$104, MATCH('Financial model inputs'!$A78, Drivers!$C$5:$C$104, 0))</f>
        <v>286.86200000000002</v>
      </c>
      <c r="M78" s="169">
        <f>INDEX('Final allowance'!$B$5:$G$23,MATCH('Financial model inputs'!$B78,'Final allowance'!$B$5:$B$23,0),MATCH('Financial model inputs'!$M$2,'Final allowance'!$B$5:$G$5,0))/5</f>
        <v>5.3480588446753199</v>
      </c>
    </row>
    <row r="79" spans="1:13" x14ac:dyDescent="0.2">
      <c r="A79" s="116" t="s">
        <v>133</v>
      </c>
      <c r="B79" s="19" t="s">
        <v>33</v>
      </c>
      <c r="C79" s="19" t="s">
        <v>49</v>
      </c>
      <c r="D79" s="97">
        <f t="shared" si="3"/>
        <v>19.83988267972958</v>
      </c>
      <c r="E79" s="97">
        <f t="shared" si="4"/>
        <v>9.1049233071612098E-2</v>
      </c>
      <c r="F79" s="97">
        <f t="shared" si="5"/>
        <v>0.51267303174964196</v>
      </c>
      <c r="G79" s="150">
        <v>0</v>
      </c>
      <c r="H79" s="15"/>
      <c r="I79" s="169">
        <v>0.51267303174964196</v>
      </c>
      <c r="J79" s="169">
        <v>0.10897855573236399</v>
      </c>
      <c r="K79" s="169">
        <f>Controls!$F$17</f>
        <v>0.83547843389681375</v>
      </c>
      <c r="L79" s="170">
        <f>INDEX(Drivers!$L$5:$L$104, MATCH('Financial model inputs'!$A79, Drivers!$C$5:$C$104, 0))</f>
        <v>879.05399999999997</v>
      </c>
      <c r="M79" s="169">
        <f>INDEX('Final allowance'!$B$5:$G$23,MATCH('Financial model inputs'!$B79,'Final allowance'!$B$5:$B$23,0),MATCH('Financial model inputs'!$M$2,'Final allowance'!$B$5:$G$5,0))/5</f>
        <v>17.440328229147006</v>
      </c>
    </row>
    <row r="80" spans="1:13" x14ac:dyDescent="0.2">
      <c r="A80" s="116" t="s">
        <v>134</v>
      </c>
      <c r="B80" s="19" t="s">
        <v>33</v>
      </c>
      <c r="C80" s="19" t="s">
        <v>50</v>
      </c>
      <c r="D80" s="97">
        <f t="shared" si="3"/>
        <v>19.647952527144426</v>
      </c>
      <c r="E80" s="97">
        <f t="shared" si="4"/>
        <v>9.3234621900478001E-2</v>
      </c>
      <c r="F80" s="97">
        <f t="shared" si="5"/>
        <v>0.49380472932778102</v>
      </c>
      <c r="G80" s="150">
        <v>0</v>
      </c>
      <c r="H80" s="15"/>
      <c r="I80" s="169">
        <v>0.49380472932778102</v>
      </c>
      <c r="J80" s="169">
        <v>0.111594289113623</v>
      </c>
      <c r="K80" s="169">
        <f>Controls!$F$17</f>
        <v>0.83547843389681375</v>
      </c>
      <c r="L80" s="170">
        <f>INDEX(Drivers!$L$5:$L$104, MATCH('Financial model inputs'!$A80, Drivers!$C$5:$C$104, 0))</f>
        <v>887.64099999999996</v>
      </c>
      <c r="M80" s="169">
        <f>INDEX('Final allowance'!$B$5:$G$23,MATCH('Financial model inputs'!$B80,'Final allowance'!$B$5:$B$23,0),MATCH('Financial model inputs'!$M$2,'Final allowance'!$B$5:$G$5,0))/5</f>
        <v>17.440328229147006</v>
      </c>
    </row>
    <row r="81" spans="1:13" x14ac:dyDescent="0.2">
      <c r="A81" s="116" t="s">
        <v>135</v>
      </c>
      <c r="B81" s="19" t="s">
        <v>33</v>
      </c>
      <c r="C81" s="19" t="s">
        <v>51</v>
      </c>
      <c r="D81" s="97">
        <f t="shared" si="3"/>
        <v>19.456899682991271</v>
      </c>
      <c r="E81" s="97">
        <f t="shared" si="4"/>
        <v>9.2262109655691635E-2</v>
      </c>
      <c r="F81" s="97">
        <f t="shared" si="5"/>
        <v>0.50286842297307199</v>
      </c>
      <c r="G81" s="150">
        <v>0</v>
      </c>
      <c r="H81" s="15"/>
      <c r="I81" s="169">
        <v>0.50286842297307199</v>
      </c>
      <c r="J81" s="169">
        <v>0.110430270743633</v>
      </c>
      <c r="K81" s="169">
        <f>Controls!$F$17</f>
        <v>0.83547843389681375</v>
      </c>
      <c r="L81" s="170">
        <f>INDEX(Drivers!$L$5:$L$104, MATCH('Financial model inputs'!$A81, Drivers!$C$5:$C$104, 0))</f>
        <v>896.35699999999997</v>
      </c>
      <c r="M81" s="169">
        <f>INDEX('Final allowance'!$B$5:$G$23,MATCH('Financial model inputs'!$B81,'Final allowance'!$B$5:$B$23,0),MATCH('Financial model inputs'!$M$2,'Final allowance'!$B$5:$G$5,0))/5</f>
        <v>17.440328229147006</v>
      </c>
    </row>
    <row r="82" spans="1:13" x14ac:dyDescent="0.2">
      <c r="A82" s="116" t="s">
        <v>136</v>
      </c>
      <c r="B82" s="19" t="s">
        <v>33</v>
      </c>
      <c r="C82" s="19" t="s">
        <v>52</v>
      </c>
      <c r="D82" s="97">
        <f t="shared" si="3"/>
        <v>19.266780485623105</v>
      </c>
      <c r="E82" s="97">
        <f t="shared" si="4"/>
        <v>9.3470383009317773E-2</v>
      </c>
      <c r="F82" s="97">
        <f t="shared" si="5"/>
        <v>0.45824604594575302</v>
      </c>
      <c r="G82" s="150">
        <v>0</v>
      </c>
      <c r="H82" s="15"/>
      <c r="I82" s="169">
        <v>0.45824604594575302</v>
      </c>
      <c r="J82" s="169">
        <v>0.11187647606097501</v>
      </c>
      <c r="K82" s="169">
        <f>Controls!$F$17</f>
        <v>0.83547843389681375</v>
      </c>
      <c r="L82" s="170">
        <f>INDEX(Drivers!$L$5:$L$104, MATCH('Financial model inputs'!$A82, Drivers!$C$5:$C$104, 0))</f>
        <v>905.202</v>
      </c>
      <c r="M82" s="169">
        <f>INDEX('Final allowance'!$B$5:$G$23,MATCH('Financial model inputs'!$B82,'Final allowance'!$B$5:$B$23,0),MATCH('Financial model inputs'!$M$2,'Final allowance'!$B$5:$G$5,0))/5</f>
        <v>17.440328229147006</v>
      </c>
    </row>
    <row r="83" spans="1:13" x14ac:dyDescent="0.2">
      <c r="A83" s="116" t="s">
        <v>137</v>
      </c>
      <c r="B83" s="19" t="s">
        <v>33</v>
      </c>
      <c r="C83" s="19" t="s">
        <v>53</v>
      </c>
      <c r="D83" s="97">
        <f t="shared" si="3"/>
        <v>19.077523107157006</v>
      </c>
      <c r="E83" s="97">
        <f t="shared" si="4"/>
        <v>9.3119905149321322E-2</v>
      </c>
      <c r="F83" s="97">
        <f t="shared" si="5"/>
        <v>0.44056224561403701</v>
      </c>
      <c r="G83" s="150">
        <v>0</v>
      </c>
      <c r="H83" s="15"/>
      <c r="I83" s="169">
        <v>0.44056224561403701</v>
      </c>
      <c r="J83" s="169">
        <v>0.111456982456141</v>
      </c>
      <c r="K83" s="169">
        <f>Controls!$F$17</f>
        <v>0.83547843389681375</v>
      </c>
      <c r="L83" s="170">
        <f>INDEX(Drivers!$L$5:$L$104, MATCH('Financial model inputs'!$A83, Drivers!$C$5:$C$104, 0))</f>
        <v>914.18200000000002</v>
      </c>
      <c r="M83" s="169">
        <f>INDEX('Final allowance'!$B$5:$G$23,MATCH('Financial model inputs'!$B83,'Final allowance'!$B$5:$B$23,0),MATCH('Financial model inputs'!$M$2,'Final allowance'!$B$5:$G$5,0))/5</f>
        <v>17.440328229147006</v>
      </c>
    </row>
    <row r="84" spans="1:13" x14ac:dyDescent="0.2">
      <c r="A84" s="116" t="s">
        <v>138</v>
      </c>
      <c r="B84" s="19" t="s">
        <v>34</v>
      </c>
      <c r="C84" s="19" t="s">
        <v>49</v>
      </c>
      <c r="D84" s="97">
        <f t="shared" si="3"/>
        <v>17.870127448822505</v>
      </c>
      <c r="E84" s="97">
        <f t="shared" si="4"/>
        <v>0.6183494465472551</v>
      </c>
      <c r="F84" s="97">
        <f t="shared" si="5"/>
        <v>0.38893801180414</v>
      </c>
      <c r="G84" s="150">
        <v>2.76120668E-6</v>
      </c>
      <c r="H84" s="15"/>
      <c r="I84" s="169">
        <v>0.38893801180414</v>
      </c>
      <c r="J84" s="169">
        <v>0.74011419261077505</v>
      </c>
      <c r="K84" s="169">
        <f>Controls!$F$17</f>
        <v>0.83547843389681375</v>
      </c>
      <c r="L84" s="170">
        <f>INDEX(Drivers!$L$5:$L$104, MATCH('Financial model inputs'!$A84, Drivers!$C$5:$C$104, 0))</f>
        <v>697.763939836845</v>
      </c>
      <c r="M84" s="169">
        <f>INDEX('Final allowance'!$B$5:$G$23,MATCH('Financial model inputs'!$B84,'Final allowance'!$B$5:$B$23,0),MATCH('Financial model inputs'!$M$2,'Final allowance'!$B$5:$G$5,0))/5</f>
        <v>12.469130534076939</v>
      </c>
    </row>
    <row r="85" spans="1:13" x14ac:dyDescent="0.2">
      <c r="A85" s="116" t="s">
        <v>139</v>
      </c>
      <c r="B85" s="19" t="s">
        <v>34</v>
      </c>
      <c r="C85" s="19" t="s">
        <v>50</v>
      </c>
      <c r="D85" s="97">
        <f t="shared" si="3"/>
        <v>17.650368020215833</v>
      </c>
      <c r="E85" s="97">
        <f t="shared" si="4"/>
        <v>0.60509946719660179</v>
      </c>
      <c r="F85" s="97">
        <f t="shared" si="5"/>
        <v>0.412354371393026</v>
      </c>
      <c r="G85" s="150">
        <v>2.8176263236765898E-6</v>
      </c>
      <c r="H85" s="15"/>
      <c r="I85" s="169">
        <v>0.412354371393026</v>
      </c>
      <c r="J85" s="169">
        <v>0.72425504076067504</v>
      </c>
      <c r="K85" s="169">
        <f>Controls!$F$17</f>
        <v>0.83547843389681375</v>
      </c>
      <c r="L85" s="170">
        <f>INDEX(Drivers!$L$5:$L$104, MATCH('Financial model inputs'!$A85, Drivers!$C$5:$C$104, 0))</f>
        <v>706.45158898644104</v>
      </c>
      <c r="M85" s="169">
        <f>INDEX('Final allowance'!$B$5:$G$23,MATCH('Financial model inputs'!$B85,'Final allowance'!$B$5:$B$23,0),MATCH('Financial model inputs'!$M$2,'Final allowance'!$B$5:$G$5,0))/5</f>
        <v>12.469130534076939</v>
      </c>
    </row>
    <row r="86" spans="1:13" x14ac:dyDescent="0.2">
      <c r="A86" s="116" t="s">
        <v>140</v>
      </c>
      <c r="B86" s="19" t="s">
        <v>34</v>
      </c>
      <c r="C86" s="19" t="s">
        <v>51</v>
      </c>
      <c r="D86" s="97">
        <f t="shared" si="3"/>
        <v>17.444877083652262</v>
      </c>
      <c r="E86" s="97">
        <f t="shared" si="4"/>
        <v>0.44776359930544296</v>
      </c>
      <c r="F86" s="97">
        <f t="shared" si="5"/>
        <v>0.41964892263169201</v>
      </c>
      <c r="G86" s="150">
        <v>2.84327254931547E-6</v>
      </c>
      <c r="H86" s="15"/>
      <c r="I86" s="169">
        <v>0.41964892263169201</v>
      </c>
      <c r="J86" s="169">
        <v>0.535936753288768</v>
      </c>
      <c r="K86" s="169">
        <f>Controls!$F$17</f>
        <v>0.83547843389681375</v>
      </c>
      <c r="L86" s="170">
        <f>INDEX(Drivers!$L$5:$L$104, MATCH('Financial model inputs'!$A86, Drivers!$C$5:$C$104, 0))</f>
        <v>714.77319526440601</v>
      </c>
      <c r="M86" s="169">
        <f>INDEX('Final allowance'!$B$5:$G$23,MATCH('Financial model inputs'!$B86,'Final allowance'!$B$5:$B$23,0),MATCH('Financial model inputs'!$M$2,'Final allowance'!$B$5:$G$5,0))/5</f>
        <v>12.469130534076939</v>
      </c>
    </row>
    <row r="87" spans="1:13" x14ac:dyDescent="0.2">
      <c r="A87" s="116" t="s">
        <v>141</v>
      </c>
      <c r="B87" s="19" t="s">
        <v>34</v>
      </c>
      <c r="C87" s="19" t="s">
        <v>52</v>
      </c>
      <c r="D87" s="97">
        <f t="shared" si="3"/>
        <v>17.232050605712068</v>
      </c>
      <c r="E87" s="97">
        <f t="shared" si="4"/>
        <v>0.46500082607045501</v>
      </c>
      <c r="F87" s="97">
        <f t="shared" si="5"/>
        <v>0.44530068586643901</v>
      </c>
      <c r="G87" s="150">
        <v>2.8678880431185601E-6</v>
      </c>
      <c r="H87" s="15"/>
      <c r="I87" s="169">
        <v>0.44530068586643901</v>
      </c>
      <c r="J87" s="169">
        <v>0.55656831727135303</v>
      </c>
      <c r="K87" s="169">
        <f>Controls!$F$17</f>
        <v>0.83547843389681375</v>
      </c>
      <c r="L87" s="170">
        <f>INDEX(Drivers!$L$5:$L$104, MATCH('Financial model inputs'!$A87, Drivers!$C$5:$C$104, 0))</f>
        <v>723.60108610310601</v>
      </c>
      <c r="M87" s="169">
        <f>INDEX('Final allowance'!$B$5:$G$23,MATCH('Financial model inputs'!$B87,'Final allowance'!$B$5:$B$23,0),MATCH('Financial model inputs'!$M$2,'Final allowance'!$B$5:$G$5,0))/5</f>
        <v>12.469130534076939</v>
      </c>
    </row>
    <row r="88" spans="1:13" x14ac:dyDescent="0.2">
      <c r="A88" s="116" t="s">
        <v>142</v>
      </c>
      <c r="B88" s="19" t="s">
        <v>34</v>
      </c>
      <c r="C88" s="19" t="s">
        <v>53</v>
      </c>
      <c r="D88" s="97">
        <f t="shared" si="3"/>
        <v>17.02848611148789</v>
      </c>
      <c r="E88" s="97">
        <f t="shared" si="4"/>
        <v>0.4161580579566091</v>
      </c>
      <c r="F88" s="97">
        <f t="shared" si="5"/>
        <v>0.47463215765016098</v>
      </c>
      <c r="G88" s="150">
        <v>2.8961479915836301E-6</v>
      </c>
      <c r="H88" s="15"/>
      <c r="I88" s="169">
        <v>0.47463215765016098</v>
      </c>
      <c r="J88" s="169">
        <v>0.49810748078269002</v>
      </c>
      <c r="K88" s="169">
        <f>Controls!$F$17</f>
        <v>0.83547843389681375</v>
      </c>
      <c r="L88" s="170">
        <f>INDEX(Drivers!$L$5:$L$104, MATCH('Financial model inputs'!$A88, Drivers!$C$5:$C$104, 0))</f>
        <v>732.25126722597599</v>
      </c>
      <c r="M88" s="169">
        <f>INDEX('Final allowance'!$B$5:$G$23,MATCH('Financial model inputs'!$B88,'Final allowance'!$B$5:$B$23,0),MATCH('Financial model inputs'!$M$2,'Final allowance'!$B$5:$G$5,0))/5</f>
        <v>12.469130534076939</v>
      </c>
    </row>
    <row r="89" spans="1:13" x14ac:dyDescent="0.2">
      <c r="H89" s="15"/>
    </row>
    <row r="90" spans="1:13" x14ac:dyDescent="0.2">
      <c r="G90" s="151"/>
      <c r="H90" s="15"/>
      <c r="J90" s="153"/>
      <c r="L90" s="153"/>
    </row>
    <row r="91" spans="1:13" x14ac:dyDescent="0.2">
      <c r="H91" s="15"/>
    </row>
    <row r="92" spans="1:13" x14ac:dyDescent="0.2">
      <c r="H92" s="15"/>
    </row>
    <row r="93" spans="1:13" x14ac:dyDescent="0.2">
      <c r="H93" s="15"/>
    </row>
    <row r="94" spans="1:13" x14ac:dyDescent="0.2">
      <c r="H94" s="15"/>
    </row>
    <row r="95" spans="1:13" x14ac:dyDescent="0.2">
      <c r="H95" s="15"/>
    </row>
    <row r="96" spans="1:13" x14ac:dyDescent="0.2">
      <c r="H96" s="15"/>
    </row>
    <row r="97" spans="8:8" x14ac:dyDescent="0.2">
      <c r="H97" s="15"/>
    </row>
  </sheetData>
  <mergeCells count="2">
    <mergeCell ref="I1:M1"/>
    <mergeCell ref="D1:F1"/>
  </mergeCells>
  <conditionalFormatting sqref="B1">
    <cfRule type="expression" dxfId="8" priority="1">
      <formula>B1="error"</formula>
    </cfRule>
    <cfRule type="expression" dxfId="7" priority="2">
      <formula>B1="OK"</formula>
    </cfRule>
  </conditionalFormatting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M483"/>
  <sheetViews>
    <sheetView zoomScale="80" zoomScaleNormal="80" workbookViewId="0">
      <pane xSplit="3" ySplit="2" topLeftCell="D3" activePane="bottomRight" state="frozen"/>
      <selection pane="topRight" activeCell="E1" sqref="E1"/>
      <selection pane="bottomLeft" activeCell="A2" sqref="A2"/>
      <selection pane="bottomRight"/>
    </sheetView>
  </sheetViews>
  <sheetFormatPr defaultColWidth="8.625" defaultRowHeight="15" x14ac:dyDescent="0.25"/>
  <cols>
    <col min="1" max="1" width="8.625" style="10"/>
    <col min="2" max="2" width="32.5" style="8" bestFit="1" customWidth="1"/>
    <col min="3" max="3" width="5" style="8" customWidth="1"/>
    <col min="4" max="4" width="15" style="8" bestFit="1" customWidth="1"/>
    <col min="5" max="5" width="14.375" style="8" customWidth="1"/>
    <col min="6" max="6" width="14.125" style="8" customWidth="1"/>
    <col min="7" max="7" width="12.5" style="8" customWidth="1"/>
    <col min="8" max="8" width="13" style="8" customWidth="1"/>
    <col min="9" max="9" width="13.375" style="8" customWidth="1"/>
    <col min="10" max="10" width="20.125" style="8" bestFit="1" customWidth="1"/>
    <col min="11" max="11" width="25.625" style="8" customWidth="1"/>
    <col min="12" max="12" width="8.875" style="8" bestFit="1" customWidth="1"/>
    <col min="13" max="16384" width="8.625" style="8"/>
  </cols>
  <sheetData>
    <row r="1" spans="1:13" x14ac:dyDescent="0.25">
      <c r="B1" s="9" t="s">
        <v>155</v>
      </c>
    </row>
    <row r="2" spans="1:13" x14ac:dyDescent="0.25">
      <c r="A2" s="7" t="s">
        <v>54</v>
      </c>
      <c r="B2" s="7" t="s">
        <v>56</v>
      </c>
      <c r="C2" s="7" t="s">
        <v>57</v>
      </c>
      <c r="D2" s="7" t="s">
        <v>40</v>
      </c>
      <c r="E2" s="7" t="s">
        <v>49</v>
      </c>
      <c r="F2" s="7" t="s">
        <v>50</v>
      </c>
      <c r="G2" s="7" t="s">
        <v>51</v>
      </c>
      <c r="H2" s="7" t="s">
        <v>52</v>
      </c>
      <c r="I2" s="7" t="s">
        <v>53</v>
      </c>
      <c r="J2" s="7" t="s">
        <v>55</v>
      </c>
      <c r="K2" s="7" t="s">
        <v>242</v>
      </c>
      <c r="L2" s="105"/>
      <c r="M2" s="105"/>
    </row>
    <row r="4" spans="1:13" x14ac:dyDescent="0.25">
      <c r="A4" s="120" t="s">
        <v>20</v>
      </c>
      <c r="B4" s="21" t="s">
        <v>159</v>
      </c>
      <c r="C4" s="20" t="s">
        <v>15</v>
      </c>
      <c r="D4" s="21" t="s">
        <v>152</v>
      </c>
      <c r="E4" s="20">
        <f>_xlfn.IFNA(INDEX('Final allowance'!$B$5:$G$22,MATCH(F_interface!$A4,'Final allowance'!$B$5:$B$22,0),MATCH(F_interface!$J4,'Final allowance'!$B$5:$G$5,0)),0)/5</f>
        <v>80.073771972291979</v>
      </c>
      <c r="F4" s="20">
        <f>_xlfn.IFNA(INDEX('Final allowance'!$B$5:$G$22,MATCH(F_interface!$A4,'Final allowance'!$B$5:$B$22,0),MATCH(F_interface!$J4,'Final allowance'!$B$5:$G$5,0)),0)/5</f>
        <v>80.073771972291979</v>
      </c>
      <c r="G4" s="20">
        <f>_xlfn.IFNA(INDEX('Final allowance'!$B$5:$G$22,MATCH(F_interface!$A4,'Final allowance'!$B$5:$B$22,0),MATCH(F_interface!$J4,'Final allowance'!$B$5:$G$5,0)),0)/5</f>
        <v>80.073771972291979</v>
      </c>
      <c r="H4" s="20">
        <f>_xlfn.IFNA(INDEX('Final allowance'!$B$5:$G$22,MATCH(F_interface!$A4,'Final allowance'!$B$5:$B$22,0),MATCH(F_interface!$J4,'Final allowance'!$B$5:$G$5,0)),0)/5</f>
        <v>80.073771972291979</v>
      </c>
      <c r="I4" s="20">
        <f>_xlfn.IFNA(INDEX('Final allowance'!$B$5:$G$22,MATCH(F_interface!$A4,'Final allowance'!$B$5:$B$22,0),MATCH(F_interface!$J4,'Final allowance'!$B$5:$G$5,0)),0)/5</f>
        <v>80.073771972291979</v>
      </c>
      <c r="J4" s="20" t="s">
        <v>310</v>
      </c>
      <c r="K4" s="20" t="str">
        <f>A4&amp;B4</f>
        <v>ANHC_RRTOTEX_PR19CA012</v>
      </c>
      <c r="L4" s="23"/>
      <c r="M4" s="23"/>
    </row>
    <row r="5" spans="1:13" x14ac:dyDescent="0.25">
      <c r="A5" s="120" t="s">
        <v>157</v>
      </c>
      <c r="B5" s="21" t="s">
        <v>159</v>
      </c>
      <c r="C5" s="20" t="s">
        <v>15</v>
      </c>
      <c r="D5" s="21" t="s">
        <v>152</v>
      </c>
      <c r="E5" s="20">
        <f>_xlfn.IFNA(INDEX('Final allowance'!$B$5:$G$22,MATCH(F_interface!$A5,'Final allowance'!$B$5:$B$22,0),MATCH(F_interface!$J5,'Final allowance'!$B$5:$G$5,0)),0)/5</f>
        <v>2.8666090421548014</v>
      </c>
      <c r="F5" s="20">
        <f>_xlfn.IFNA(INDEX('Final allowance'!$B$5:$G$22,MATCH(F_interface!$A5,'Final allowance'!$B$5:$B$22,0),MATCH(F_interface!$J5,'Final allowance'!$B$5:$G$5,0)),0)/5</f>
        <v>2.8666090421548014</v>
      </c>
      <c r="G5" s="20">
        <f>_xlfn.IFNA(INDEX('Final allowance'!$B$5:$G$22,MATCH(F_interface!$A5,'Final allowance'!$B$5:$B$22,0),MATCH(F_interface!$J5,'Final allowance'!$B$5:$G$5,0)),0)/5</f>
        <v>2.8666090421548014</v>
      </c>
      <c r="H5" s="20">
        <f>_xlfn.IFNA(INDEX('Final allowance'!$B$5:$G$22,MATCH(F_interface!$A5,'Final allowance'!$B$5:$B$22,0),MATCH(F_interface!$J5,'Final allowance'!$B$5:$G$5,0)),0)/5</f>
        <v>2.8666090421548014</v>
      </c>
      <c r="I5" s="20">
        <f>_xlfn.IFNA(INDEX('Final allowance'!$B$5:$G$22,MATCH(F_interface!$A5,'Final allowance'!$B$5:$B$22,0),MATCH(F_interface!$J5,'Final allowance'!$B$5:$G$5,0)),0)/5</f>
        <v>2.8666090421548014</v>
      </c>
      <c r="J5" s="20" t="s">
        <v>310</v>
      </c>
      <c r="K5" s="20" t="str">
        <f t="shared" ref="K5:K80" si="0">A5&amp;B5</f>
        <v>HDDC_RRTOTEX_PR19CA012</v>
      </c>
      <c r="L5" s="23"/>
      <c r="M5" s="23"/>
    </row>
    <row r="6" spans="1:13" x14ac:dyDescent="0.25">
      <c r="A6" s="120" t="s">
        <v>21</v>
      </c>
      <c r="B6" s="21" t="s">
        <v>159</v>
      </c>
      <c r="C6" s="20" t="s">
        <v>15</v>
      </c>
      <c r="D6" s="21" t="s">
        <v>152</v>
      </c>
      <c r="E6" s="20">
        <f>_xlfn.IFNA(INDEX('Final allowance'!$B$5:$G$22,MATCH(F_interface!$A6,'Final allowance'!$B$5:$B$22,0),MATCH(F_interface!$J6,'Final allowance'!$B$5:$G$5,0)),0)/5</f>
        <v>50.305483757811338</v>
      </c>
      <c r="F6" s="20">
        <f>_xlfn.IFNA(INDEX('Final allowance'!$B$5:$G$22,MATCH(F_interface!$A6,'Final allowance'!$B$5:$B$22,0),MATCH(F_interface!$J6,'Final allowance'!$B$5:$G$5,0)),0)/5</f>
        <v>50.305483757811338</v>
      </c>
      <c r="G6" s="20">
        <f>_xlfn.IFNA(INDEX('Final allowance'!$B$5:$G$22,MATCH(F_interface!$A6,'Final allowance'!$B$5:$B$22,0),MATCH(F_interface!$J6,'Final allowance'!$B$5:$G$5,0)),0)/5</f>
        <v>50.305483757811338</v>
      </c>
      <c r="H6" s="20">
        <f>_xlfn.IFNA(INDEX('Final allowance'!$B$5:$G$22,MATCH(F_interface!$A6,'Final allowance'!$B$5:$B$22,0),MATCH(F_interface!$J6,'Final allowance'!$B$5:$G$5,0)),0)/5</f>
        <v>50.305483757811338</v>
      </c>
      <c r="I6" s="20">
        <f>_xlfn.IFNA(INDEX('Final allowance'!$B$5:$G$22,MATCH(F_interface!$A6,'Final allowance'!$B$5:$B$22,0),MATCH(F_interface!$J6,'Final allowance'!$B$5:$G$5,0)),0)/5</f>
        <v>50.305483757811338</v>
      </c>
      <c r="J6" s="20" t="s">
        <v>310</v>
      </c>
      <c r="K6" s="20" t="str">
        <f t="shared" si="0"/>
        <v>NESC_RRTOTEX_PR19CA012</v>
      </c>
      <c r="L6" s="23"/>
      <c r="M6" s="23"/>
    </row>
    <row r="7" spans="1:13" x14ac:dyDescent="0.25">
      <c r="A7" s="120" t="s">
        <v>22</v>
      </c>
      <c r="B7" s="21" t="s">
        <v>159</v>
      </c>
      <c r="C7" s="20" t="s">
        <v>15</v>
      </c>
      <c r="D7" s="21" t="s">
        <v>152</v>
      </c>
      <c r="E7" s="20">
        <f>_xlfn.IFNA(INDEX('Final allowance'!$B$5:$G$22,MATCH(F_interface!$A7,'Final allowance'!$B$5:$B$22,0),MATCH(F_interface!$J7,'Final allowance'!$B$5:$G$5,0)),0)/5</f>
        <v>95.360725545759777</v>
      </c>
      <c r="F7" s="20">
        <f>_xlfn.IFNA(INDEX('Final allowance'!$B$5:$G$22,MATCH(F_interface!$A7,'Final allowance'!$B$5:$B$22,0),MATCH(F_interface!$J7,'Final allowance'!$B$5:$G$5,0)),0)/5</f>
        <v>95.360725545759777</v>
      </c>
      <c r="G7" s="20">
        <f>_xlfn.IFNA(INDEX('Final allowance'!$B$5:$G$22,MATCH(F_interface!$A7,'Final allowance'!$B$5:$B$22,0),MATCH(F_interface!$J7,'Final allowance'!$B$5:$G$5,0)),0)/5</f>
        <v>95.360725545759777</v>
      </c>
      <c r="H7" s="20">
        <f>_xlfn.IFNA(INDEX('Final allowance'!$B$5:$G$22,MATCH(F_interface!$A7,'Final allowance'!$B$5:$B$22,0),MATCH(F_interface!$J7,'Final allowance'!$B$5:$G$5,0)),0)/5</f>
        <v>95.360725545759777</v>
      </c>
      <c r="I7" s="20">
        <f>_xlfn.IFNA(INDEX('Final allowance'!$B$5:$G$22,MATCH(F_interface!$A7,'Final allowance'!$B$5:$B$22,0),MATCH(F_interface!$J7,'Final allowance'!$B$5:$G$5,0)),0)/5</f>
        <v>95.360725545759777</v>
      </c>
      <c r="J7" s="20" t="s">
        <v>310</v>
      </c>
      <c r="K7" s="20" t="str">
        <f t="shared" si="0"/>
        <v>NWTC_RRTOTEX_PR19CA012</v>
      </c>
      <c r="L7" s="23"/>
      <c r="M7" s="23"/>
    </row>
    <row r="8" spans="1:13" x14ac:dyDescent="0.25">
      <c r="A8" s="120" t="s">
        <v>23</v>
      </c>
      <c r="B8" s="21" t="s">
        <v>159</v>
      </c>
      <c r="C8" s="20" t="s">
        <v>15</v>
      </c>
      <c r="D8" s="21" t="s">
        <v>152</v>
      </c>
      <c r="E8" s="20">
        <f>_xlfn.IFNA(INDEX('Final allowance'!$B$5:$G$22,MATCH(F_interface!$A8,'Final allowance'!$B$5:$B$22,0),MATCH(F_interface!$J8,'Final allowance'!$B$5:$G$5,0)),0)/5</f>
        <v>51.529416949608937</v>
      </c>
      <c r="F8" s="20">
        <f>_xlfn.IFNA(INDEX('Final allowance'!$B$5:$G$22,MATCH(F_interface!$A8,'Final allowance'!$B$5:$B$22,0),MATCH(F_interface!$J8,'Final allowance'!$B$5:$G$5,0)),0)/5</f>
        <v>51.529416949608937</v>
      </c>
      <c r="G8" s="20">
        <f>_xlfn.IFNA(INDEX('Final allowance'!$B$5:$G$22,MATCH(F_interface!$A8,'Final allowance'!$B$5:$B$22,0),MATCH(F_interface!$J8,'Final allowance'!$B$5:$G$5,0)),0)/5</f>
        <v>51.529416949608937</v>
      </c>
      <c r="H8" s="20">
        <f>_xlfn.IFNA(INDEX('Final allowance'!$B$5:$G$22,MATCH(F_interface!$A8,'Final allowance'!$B$5:$B$22,0),MATCH(F_interface!$J8,'Final allowance'!$B$5:$G$5,0)),0)/5</f>
        <v>51.529416949608937</v>
      </c>
      <c r="I8" s="20">
        <f>_xlfn.IFNA(INDEX('Final allowance'!$B$5:$G$22,MATCH(F_interface!$A8,'Final allowance'!$B$5:$B$22,0),MATCH(F_interface!$J8,'Final allowance'!$B$5:$G$5,0)),0)/5</f>
        <v>51.529416949608937</v>
      </c>
      <c r="J8" s="20" t="s">
        <v>310</v>
      </c>
      <c r="K8" s="20" t="str">
        <f t="shared" si="0"/>
        <v>SRNC_RRTOTEX_PR19CA012</v>
      </c>
      <c r="L8" s="23"/>
      <c r="M8" s="23"/>
    </row>
    <row r="9" spans="1:13" x14ac:dyDescent="0.25">
      <c r="A9" s="120" t="s">
        <v>156</v>
      </c>
      <c r="B9" s="21" t="s">
        <v>159</v>
      </c>
      <c r="C9" s="20" t="s">
        <v>15</v>
      </c>
      <c r="D9" s="21" t="s">
        <v>152</v>
      </c>
      <c r="E9" s="20">
        <f>_xlfn.IFNA(INDEX('Final allowance'!$B$5:$G$22,MATCH(F_interface!$A9,'Final allowance'!$B$5:$B$22,0),MATCH(F_interface!$J9,'Final allowance'!$B$5:$G$5,0)),0)/5</f>
        <v>97.726776980853543</v>
      </c>
      <c r="F9" s="20">
        <f>_xlfn.IFNA(INDEX('Final allowance'!$B$5:$G$22,MATCH(F_interface!$A9,'Final allowance'!$B$5:$B$22,0),MATCH(F_interface!$J9,'Final allowance'!$B$5:$G$5,0)),0)/5</f>
        <v>97.726776980853543</v>
      </c>
      <c r="G9" s="20">
        <f>_xlfn.IFNA(INDEX('Final allowance'!$B$5:$G$22,MATCH(F_interface!$A9,'Final allowance'!$B$5:$B$22,0),MATCH(F_interface!$J9,'Final allowance'!$B$5:$G$5,0)),0)/5</f>
        <v>97.726776980853543</v>
      </c>
      <c r="H9" s="20">
        <f>_xlfn.IFNA(INDEX('Final allowance'!$B$5:$G$22,MATCH(F_interface!$A9,'Final allowance'!$B$5:$B$22,0),MATCH(F_interface!$J9,'Final allowance'!$B$5:$G$5,0)),0)/5</f>
        <v>97.726776980853543</v>
      </c>
      <c r="I9" s="20">
        <f>_xlfn.IFNA(INDEX('Final allowance'!$B$5:$G$22,MATCH(F_interface!$A9,'Final allowance'!$B$5:$B$22,0),MATCH(F_interface!$J9,'Final allowance'!$B$5:$G$5,0)),0)/5</f>
        <v>97.726776980853543</v>
      </c>
      <c r="J9" s="20" t="s">
        <v>310</v>
      </c>
      <c r="K9" s="20" t="str">
        <f t="shared" si="0"/>
        <v>SVEC_RRTOTEX_PR19CA012</v>
      </c>
      <c r="L9" s="23"/>
      <c r="M9" s="23"/>
    </row>
    <row r="10" spans="1:13" x14ac:dyDescent="0.25">
      <c r="A10" s="120" t="s">
        <v>232</v>
      </c>
      <c r="B10" s="21" t="s">
        <v>159</v>
      </c>
      <c r="C10" s="20" t="s">
        <v>15</v>
      </c>
      <c r="D10" s="21" t="s">
        <v>152</v>
      </c>
      <c r="E10" s="20">
        <f>_xlfn.IFNA(INDEX('Final allowance'!$B$5:$G$22,MATCH(F_interface!$A10,'Final allowance'!$B$5:$B$22,0),MATCH(F_interface!$J10,'Final allowance'!$B$5:$G$5,0)),0)/5</f>
        <v>0</v>
      </c>
      <c r="F10" s="20">
        <f>_xlfn.IFNA(INDEX('Final allowance'!$B$5:$G$22,MATCH(F_interface!$A10,'Final allowance'!$B$5:$B$22,0),MATCH(F_interface!$J10,'Final allowance'!$B$5:$G$5,0)),0)/5</f>
        <v>0</v>
      </c>
      <c r="G10" s="20">
        <f>_xlfn.IFNA(INDEX('Final allowance'!$B$5:$G$22,MATCH(F_interface!$A10,'Final allowance'!$B$5:$B$22,0),MATCH(F_interface!$J10,'Final allowance'!$B$5:$G$5,0)),0)/5</f>
        <v>0</v>
      </c>
      <c r="H10" s="20">
        <f>_xlfn.IFNA(INDEX('Final allowance'!$B$5:$G$22,MATCH(F_interface!$A10,'Final allowance'!$B$5:$B$22,0),MATCH(F_interface!$J10,'Final allowance'!$B$5:$G$5,0)),0)/5</f>
        <v>0</v>
      </c>
      <c r="I10" s="20">
        <f>_xlfn.IFNA(INDEX('Final allowance'!$B$5:$G$22,MATCH(F_interface!$A10,'Final allowance'!$B$5:$B$22,0),MATCH(F_interface!$J10,'Final allowance'!$B$5:$G$5,0)),0)/5</f>
        <v>0</v>
      </c>
      <c r="J10" s="20" t="s">
        <v>310</v>
      </c>
      <c r="K10" s="20" t="str">
        <f t="shared" si="0"/>
        <v>SVHC_RRTOTEX_PR19CA012</v>
      </c>
      <c r="L10" s="23"/>
      <c r="M10" s="23"/>
    </row>
    <row r="11" spans="1:13" x14ac:dyDescent="0.25">
      <c r="A11" s="120" t="s">
        <v>24</v>
      </c>
      <c r="B11" s="21" t="s">
        <v>159</v>
      </c>
      <c r="C11" s="20" t="s">
        <v>15</v>
      </c>
      <c r="D11" s="21" t="s">
        <v>152</v>
      </c>
      <c r="E11" s="20">
        <f>_xlfn.IFNA(INDEX('Final allowance'!$B$5:$G$22,MATCH(F_interface!$A11,'Final allowance'!$B$5:$B$22,0),MATCH(F_interface!$J11,'Final allowance'!$B$5:$G$5,0)),0)/5</f>
        <v>0</v>
      </c>
      <c r="F11" s="20">
        <f>_xlfn.IFNA(INDEX('Final allowance'!$B$5:$G$22,MATCH(F_interface!$A11,'Final allowance'!$B$5:$B$22,0),MATCH(F_interface!$J11,'Final allowance'!$B$5:$G$5,0)),0)/5</f>
        <v>0</v>
      </c>
      <c r="G11" s="20">
        <f>_xlfn.IFNA(INDEX('Final allowance'!$B$5:$G$22,MATCH(F_interface!$A11,'Final allowance'!$B$5:$B$22,0),MATCH(F_interface!$J11,'Final allowance'!$B$5:$G$5,0)),0)/5</f>
        <v>0</v>
      </c>
      <c r="H11" s="20">
        <f>_xlfn.IFNA(INDEX('Final allowance'!$B$5:$G$22,MATCH(F_interface!$A11,'Final allowance'!$B$5:$B$22,0),MATCH(F_interface!$J11,'Final allowance'!$B$5:$G$5,0)),0)/5</f>
        <v>0</v>
      </c>
      <c r="I11" s="20">
        <f>_xlfn.IFNA(INDEX('Final allowance'!$B$5:$G$22,MATCH(F_interface!$A11,'Final allowance'!$B$5:$B$22,0),MATCH(F_interface!$J11,'Final allowance'!$B$5:$G$5,0)),0)/5</f>
        <v>0</v>
      </c>
      <c r="J11" s="20" t="s">
        <v>310</v>
      </c>
      <c r="K11" s="20" t="str">
        <f t="shared" si="0"/>
        <v>SVTC_RRTOTEX_PR19CA012</v>
      </c>
      <c r="L11" s="23"/>
      <c r="M11" s="23"/>
    </row>
    <row r="12" spans="1:13" x14ac:dyDescent="0.25">
      <c r="A12" s="21" t="s">
        <v>35</v>
      </c>
      <c r="B12" s="21" t="s">
        <v>159</v>
      </c>
      <c r="C12" s="20" t="s">
        <v>15</v>
      </c>
      <c r="D12" s="21" t="s">
        <v>152</v>
      </c>
      <c r="E12" s="20">
        <f>_xlfn.IFNA(INDEX('Final allowance'!$B$5:$G$22,MATCH(F_interface!$A12,'Final allowance'!$B$5:$B$22,0),MATCH(F_interface!$J12,'Final allowance'!$B$5:$G$5,0)),0)/5</f>
        <v>28.100292396392653</v>
      </c>
      <c r="F12" s="20">
        <f>_xlfn.IFNA(INDEX('Final allowance'!$B$5:$G$22,MATCH(F_interface!$A12,'Final allowance'!$B$5:$B$22,0),MATCH(F_interface!$J12,'Final allowance'!$B$5:$G$5,0)),0)/5</f>
        <v>28.100292396392653</v>
      </c>
      <c r="G12" s="20">
        <f>_xlfn.IFNA(INDEX('Final allowance'!$B$5:$G$22,MATCH(F_interface!$A12,'Final allowance'!$B$5:$B$22,0),MATCH(F_interface!$J12,'Final allowance'!$B$5:$G$5,0)),0)/5</f>
        <v>28.100292396392653</v>
      </c>
      <c r="H12" s="20">
        <f>_xlfn.IFNA(INDEX('Final allowance'!$B$5:$G$22,MATCH(F_interface!$A12,'Final allowance'!$B$5:$B$22,0),MATCH(F_interface!$J12,'Final allowance'!$B$5:$G$5,0)),0)/5</f>
        <v>28.100292396392653</v>
      </c>
      <c r="I12" s="20">
        <f>_xlfn.IFNA(INDEX('Final allowance'!$B$5:$G$22,MATCH(F_interface!$A12,'Final allowance'!$B$5:$B$22,0),MATCH(F_interface!$J12,'Final allowance'!$B$5:$G$5,0)),0)/5</f>
        <v>28.100292396392653</v>
      </c>
      <c r="J12" s="20" t="s">
        <v>310</v>
      </c>
      <c r="K12" s="20" t="str">
        <f t="shared" si="0"/>
        <v>SWBC_RRTOTEX_PR19CA012</v>
      </c>
      <c r="L12" s="23"/>
      <c r="M12" s="23"/>
    </row>
    <row r="13" spans="1:13" x14ac:dyDescent="0.25">
      <c r="A13" s="21" t="s">
        <v>25</v>
      </c>
      <c r="B13" s="21" t="s">
        <v>159</v>
      </c>
      <c r="C13" s="20" t="s">
        <v>15</v>
      </c>
      <c r="D13" s="21" t="s">
        <v>152</v>
      </c>
      <c r="E13" s="20">
        <f>_xlfn.IFNA(INDEX('Final allowance'!$B$5:$G$22,MATCH(F_interface!$A13,'Final allowance'!$B$5:$B$22,0),MATCH(F_interface!$J13,'Final allowance'!$B$5:$G$5,0)),0)/5</f>
        <v>150.69879513920083</v>
      </c>
      <c r="F13" s="20">
        <f>_xlfn.IFNA(INDEX('Final allowance'!$B$5:$G$22,MATCH(F_interface!$A13,'Final allowance'!$B$5:$B$22,0),MATCH(F_interface!$J13,'Final allowance'!$B$5:$G$5,0)),0)/5</f>
        <v>150.69879513920083</v>
      </c>
      <c r="G13" s="20">
        <f>_xlfn.IFNA(INDEX('Final allowance'!$B$5:$G$22,MATCH(F_interface!$A13,'Final allowance'!$B$5:$B$22,0),MATCH(F_interface!$J13,'Final allowance'!$B$5:$G$5,0)),0)/5</f>
        <v>150.69879513920083</v>
      </c>
      <c r="H13" s="20">
        <f>_xlfn.IFNA(INDEX('Final allowance'!$B$5:$G$22,MATCH(F_interface!$A13,'Final allowance'!$B$5:$B$22,0),MATCH(F_interface!$J13,'Final allowance'!$B$5:$G$5,0)),0)/5</f>
        <v>150.69879513920083</v>
      </c>
      <c r="I13" s="20">
        <f>_xlfn.IFNA(INDEX('Final allowance'!$B$5:$G$22,MATCH(F_interface!$A13,'Final allowance'!$B$5:$B$22,0),MATCH(F_interface!$J13,'Final allowance'!$B$5:$G$5,0)),0)/5</f>
        <v>150.69879513920083</v>
      </c>
      <c r="J13" s="20" t="s">
        <v>310</v>
      </c>
      <c r="K13" s="20" t="str">
        <f t="shared" si="0"/>
        <v>TMSC_RRTOTEX_PR19CA012</v>
      </c>
      <c r="L13" s="23"/>
      <c r="M13" s="23"/>
    </row>
    <row r="14" spans="1:13" x14ac:dyDescent="0.25">
      <c r="A14" s="21" t="s">
        <v>41</v>
      </c>
      <c r="B14" s="21" t="s">
        <v>159</v>
      </c>
      <c r="C14" s="20" t="s">
        <v>15</v>
      </c>
      <c r="D14" s="21" t="s">
        <v>152</v>
      </c>
      <c r="E14" s="20">
        <f>_xlfn.IFNA(INDEX('Final allowance'!$B$5:$G$22,MATCH(F_interface!$A14,'Final allowance'!$B$5:$B$22,0),MATCH(F_interface!$J14,'Final allowance'!$B$5:$G$5,0)),0)/5</f>
        <v>41.391286331805517</v>
      </c>
      <c r="F14" s="20">
        <f>_xlfn.IFNA(INDEX('Final allowance'!$B$5:$G$22,MATCH(F_interface!$A14,'Final allowance'!$B$5:$B$22,0),MATCH(F_interface!$J14,'Final allowance'!$B$5:$G$5,0)),0)/5</f>
        <v>41.391286331805517</v>
      </c>
      <c r="G14" s="20">
        <f>_xlfn.IFNA(INDEX('Final allowance'!$B$5:$G$22,MATCH(F_interface!$A14,'Final allowance'!$B$5:$B$22,0),MATCH(F_interface!$J14,'Final allowance'!$B$5:$G$5,0)),0)/5</f>
        <v>41.391286331805517</v>
      </c>
      <c r="H14" s="20">
        <f>_xlfn.IFNA(INDEX('Final allowance'!$B$5:$G$22,MATCH(F_interface!$A14,'Final allowance'!$B$5:$B$22,0),MATCH(F_interface!$J14,'Final allowance'!$B$5:$G$5,0)),0)/5</f>
        <v>41.391286331805517</v>
      </c>
      <c r="I14" s="20">
        <f>_xlfn.IFNA(INDEX('Final allowance'!$B$5:$G$22,MATCH(F_interface!$A14,'Final allowance'!$B$5:$B$22,0),MATCH(F_interface!$J14,'Final allowance'!$B$5:$G$5,0)),0)/5</f>
        <v>41.391286331805517</v>
      </c>
      <c r="J14" s="20" t="s">
        <v>310</v>
      </c>
      <c r="K14" s="20" t="str">
        <f t="shared" si="0"/>
        <v>WSHC_RRTOTEX_PR19CA012</v>
      </c>
      <c r="L14" s="23"/>
      <c r="M14" s="23"/>
    </row>
    <row r="15" spans="1:13" x14ac:dyDescent="0.25">
      <c r="A15" s="21" t="s">
        <v>26</v>
      </c>
      <c r="B15" s="21" t="s">
        <v>159</v>
      </c>
      <c r="C15" s="20" t="s">
        <v>15</v>
      </c>
      <c r="D15" s="21" t="s">
        <v>152</v>
      </c>
      <c r="E15" s="20">
        <f>_xlfn.IFNA(INDEX('Final allowance'!$B$5:$G$22,MATCH(F_interface!$A15,'Final allowance'!$B$5:$B$22,0),MATCH(F_interface!$J15,'Final allowance'!$B$5:$G$5,0)),0)/5</f>
        <v>28.626053453845241</v>
      </c>
      <c r="F15" s="20">
        <f>_xlfn.IFNA(INDEX('Final allowance'!$B$5:$G$22,MATCH(F_interface!$A15,'Final allowance'!$B$5:$B$22,0),MATCH(F_interface!$J15,'Final allowance'!$B$5:$G$5,0)),0)/5</f>
        <v>28.626053453845241</v>
      </c>
      <c r="G15" s="20">
        <f>_xlfn.IFNA(INDEX('Final allowance'!$B$5:$G$22,MATCH(F_interface!$A15,'Final allowance'!$B$5:$B$22,0),MATCH(F_interface!$J15,'Final allowance'!$B$5:$G$5,0)),0)/5</f>
        <v>28.626053453845241</v>
      </c>
      <c r="H15" s="20">
        <f>_xlfn.IFNA(INDEX('Final allowance'!$B$5:$G$22,MATCH(F_interface!$A15,'Final allowance'!$B$5:$B$22,0),MATCH(F_interface!$J15,'Final allowance'!$B$5:$G$5,0)),0)/5</f>
        <v>28.626053453845241</v>
      </c>
      <c r="I15" s="20">
        <f>_xlfn.IFNA(INDEX('Final allowance'!$B$5:$G$22,MATCH(F_interface!$A15,'Final allowance'!$B$5:$B$22,0),MATCH(F_interface!$J15,'Final allowance'!$B$5:$G$5,0)),0)/5</f>
        <v>28.626053453845241</v>
      </c>
      <c r="J15" s="20" t="s">
        <v>310</v>
      </c>
      <c r="K15" s="20" t="str">
        <f t="shared" si="0"/>
        <v>WSXC_RRTOTEX_PR19CA012</v>
      </c>
      <c r="L15" s="23"/>
      <c r="M15" s="23"/>
    </row>
    <row r="16" spans="1:13" x14ac:dyDescent="0.25">
      <c r="A16" s="21" t="s">
        <v>27</v>
      </c>
      <c r="B16" s="21" t="s">
        <v>159</v>
      </c>
      <c r="C16" s="20" t="s">
        <v>15</v>
      </c>
      <c r="D16" s="21" t="s">
        <v>152</v>
      </c>
      <c r="E16" s="20">
        <f>_xlfn.IFNA(INDEX('Final allowance'!$B$5:$G$22,MATCH(F_interface!$A16,'Final allowance'!$B$5:$B$22,0),MATCH(F_interface!$J16,'Final allowance'!$B$5:$G$5,0)),0)/5</f>
        <v>64.95182499863553</v>
      </c>
      <c r="F16" s="20">
        <f>_xlfn.IFNA(INDEX('Final allowance'!$B$5:$G$22,MATCH(F_interface!$A16,'Final allowance'!$B$5:$B$22,0),MATCH(F_interface!$J16,'Final allowance'!$B$5:$G$5,0)),0)/5</f>
        <v>64.95182499863553</v>
      </c>
      <c r="G16" s="20">
        <f>_xlfn.IFNA(INDEX('Final allowance'!$B$5:$G$22,MATCH(F_interface!$A16,'Final allowance'!$B$5:$B$22,0),MATCH(F_interface!$J16,'Final allowance'!$B$5:$G$5,0)),0)/5</f>
        <v>64.95182499863553</v>
      </c>
      <c r="H16" s="20">
        <f>_xlfn.IFNA(INDEX('Final allowance'!$B$5:$G$22,MATCH(F_interface!$A16,'Final allowance'!$B$5:$B$22,0),MATCH(F_interface!$J16,'Final allowance'!$B$5:$G$5,0)),0)/5</f>
        <v>64.95182499863553</v>
      </c>
      <c r="I16" s="20">
        <f>_xlfn.IFNA(INDEX('Final allowance'!$B$5:$G$22,MATCH(F_interface!$A16,'Final allowance'!$B$5:$B$22,0),MATCH(F_interface!$J16,'Final allowance'!$B$5:$G$5,0)),0)/5</f>
        <v>64.95182499863553</v>
      </c>
      <c r="J16" s="20" t="s">
        <v>310</v>
      </c>
      <c r="K16" s="20" t="str">
        <f t="shared" si="0"/>
        <v>YKYC_RRTOTEX_PR19CA012</v>
      </c>
      <c r="L16" s="23"/>
      <c r="M16" s="23"/>
    </row>
    <row r="17" spans="1:13" x14ac:dyDescent="0.25">
      <c r="A17" s="21" t="s">
        <v>28</v>
      </c>
      <c r="B17" s="21" t="s">
        <v>159</v>
      </c>
      <c r="C17" s="20" t="s">
        <v>15</v>
      </c>
      <c r="D17" s="21" t="s">
        <v>152</v>
      </c>
      <c r="E17" s="20">
        <f>_xlfn.IFNA(INDEX('Final allowance'!$B$5:$G$22,MATCH(F_interface!$A17,'Final allowance'!$B$5:$B$22,0),MATCH(F_interface!$J17,'Final allowance'!$B$5:$G$5,0)),0)/5</f>
        <v>27.917748383034354</v>
      </c>
      <c r="F17" s="20">
        <f>_xlfn.IFNA(INDEX('Final allowance'!$B$5:$G$22,MATCH(F_interface!$A17,'Final allowance'!$B$5:$B$22,0),MATCH(F_interface!$J17,'Final allowance'!$B$5:$G$5,0)),0)/5</f>
        <v>27.917748383034354</v>
      </c>
      <c r="G17" s="20">
        <f>_xlfn.IFNA(INDEX('Final allowance'!$B$5:$G$22,MATCH(F_interface!$A17,'Final allowance'!$B$5:$B$22,0),MATCH(F_interface!$J17,'Final allowance'!$B$5:$G$5,0)),0)/5</f>
        <v>27.917748383034354</v>
      </c>
      <c r="H17" s="20">
        <f>_xlfn.IFNA(INDEX('Final allowance'!$B$5:$G$22,MATCH(F_interface!$A17,'Final allowance'!$B$5:$B$22,0),MATCH(F_interface!$J17,'Final allowance'!$B$5:$G$5,0)),0)/5</f>
        <v>27.917748383034354</v>
      </c>
      <c r="I17" s="20">
        <f>_xlfn.IFNA(INDEX('Final allowance'!$B$5:$G$22,MATCH(F_interface!$A17,'Final allowance'!$B$5:$B$22,0),MATCH(F_interface!$J17,'Final allowance'!$B$5:$G$5,0)),0)/5</f>
        <v>27.917748383034354</v>
      </c>
      <c r="J17" s="20" t="s">
        <v>310</v>
      </c>
      <c r="K17" s="20" t="str">
        <f t="shared" si="0"/>
        <v>AFWC_RRTOTEX_PR19CA012</v>
      </c>
      <c r="L17" s="23"/>
      <c r="M17" s="23"/>
    </row>
    <row r="18" spans="1:13" x14ac:dyDescent="0.25">
      <c r="A18" s="21" t="s">
        <v>29</v>
      </c>
      <c r="B18" s="21" t="s">
        <v>159</v>
      </c>
      <c r="C18" s="20" t="s">
        <v>15</v>
      </c>
      <c r="D18" s="21" t="s">
        <v>152</v>
      </c>
      <c r="E18" s="20">
        <f>_xlfn.IFNA(INDEX('Final allowance'!$B$5:$G$22,MATCH(F_interface!$A18,'Final allowance'!$B$5:$B$22,0),MATCH(F_interface!$J18,'Final allowance'!$B$5:$G$5,0)),0)/5</f>
        <v>10.062885453854623</v>
      </c>
      <c r="F18" s="20">
        <f>_xlfn.IFNA(INDEX('Final allowance'!$B$5:$G$22,MATCH(F_interface!$A18,'Final allowance'!$B$5:$B$22,0),MATCH(F_interface!$J18,'Final allowance'!$B$5:$G$5,0)),0)/5</f>
        <v>10.062885453854623</v>
      </c>
      <c r="G18" s="20">
        <f>_xlfn.IFNA(INDEX('Final allowance'!$B$5:$G$22,MATCH(F_interface!$A18,'Final allowance'!$B$5:$B$22,0),MATCH(F_interface!$J18,'Final allowance'!$B$5:$G$5,0)),0)/5</f>
        <v>10.062885453854623</v>
      </c>
      <c r="H18" s="20">
        <f>_xlfn.IFNA(INDEX('Final allowance'!$B$5:$G$22,MATCH(F_interface!$A18,'Final allowance'!$B$5:$B$22,0),MATCH(F_interface!$J18,'Final allowance'!$B$5:$G$5,0)),0)/5</f>
        <v>10.062885453854623</v>
      </c>
      <c r="I18" s="20">
        <f>_xlfn.IFNA(INDEX('Final allowance'!$B$5:$G$22,MATCH(F_interface!$A18,'Final allowance'!$B$5:$B$22,0),MATCH(F_interface!$J18,'Final allowance'!$B$5:$G$5,0)),0)/5</f>
        <v>10.062885453854623</v>
      </c>
      <c r="J18" s="20" t="s">
        <v>310</v>
      </c>
      <c r="K18" s="20" t="str">
        <f t="shared" si="0"/>
        <v>BRLC_RRTOTEX_PR19CA012</v>
      </c>
      <c r="L18" s="23"/>
      <c r="M18" s="23"/>
    </row>
    <row r="19" spans="1:13" x14ac:dyDescent="0.25">
      <c r="A19" s="21" t="s">
        <v>30</v>
      </c>
      <c r="B19" s="21" t="s">
        <v>159</v>
      </c>
      <c r="C19" s="20" t="s">
        <v>15</v>
      </c>
      <c r="D19" s="21" t="s">
        <v>152</v>
      </c>
      <c r="E19" s="20">
        <f>_xlfn.IFNA(INDEX('Final allowance'!$B$5:$G$22,MATCH(F_interface!$A19,'Final allowance'!$B$5:$B$22,0),MATCH(F_interface!$J19,'Final allowance'!$B$5:$G$5,0)),0)/5</f>
        <v>0</v>
      </c>
      <c r="F19" s="20">
        <f>_xlfn.IFNA(INDEX('Final allowance'!$B$5:$G$22,MATCH(F_interface!$A19,'Final allowance'!$B$5:$B$22,0),MATCH(F_interface!$J19,'Final allowance'!$B$5:$G$5,0)),0)/5</f>
        <v>0</v>
      </c>
      <c r="G19" s="20">
        <f>_xlfn.IFNA(INDEX('Final allowance'!$B$5:$G$22,MATCH(F_interface!$A19,'Final allowance'!$B$5:$B$22,0),MATCH(F_interface!$J19,'Final allowance'!$B$5:$G$5,0)),0)/5</f>
        <v>0</v>
      </c>
      <c r="H19" s="20">
        <f>_xlfn.IFNA(INDEX('Final allowance'!$B$5:$G$22,MATCH(F_interface!$A19,'Final allowance'!$B$5:$B$22,0),MATCH(F_interface!$J19,'Final allowance'!$B$5:$G$5,0)),0)/5</f>
        <v>0</v>
      </c>
      <c r="I19" s="20">
        <f>_xlfn.IFNA(INDEX('Final allowance'!$B$5:$G$22,MATCH(F_interface!$A19,'Final allowance'!$B$5:$B$22,0),MATCH(F_interface!$J19,'Final allowance'!$B$5:$G$5,0)),0)/5</f>
        <v>0</v>
      </c>
      <c r="J19" s="20" t="s">
        <v>310</v>
      </c>
      <c r="K19" s="20" t="str">
        <f t="shared" si="0"/>
        <v>DVWC_RRTOTEX_PR19CA012</v>
      </c>
      <c r="L19" s="23"/>
      <c r="M19" s="23"/>
    </row>
    <row r="20" spans="1:13" x14ac:dyDescent="0.25">
      <c r="A20" s="21" t="s">
        <v>31</v>
      </c>
      <c r="B20" s="21" t="s">
        <v>159</v>
      </c>
      <c r="C20" s="20" t="s">
        <v>15</v>
      </c>
      <c r="D20" s="21" t="s">
        <v>152</v>
      </c>
      <c r="E20" s="20">
        <f>_xlfn.IFNA(INDEX('Final allowance'!$B$5:$G$22,MATCH(F_interface!$A20,'Final allowance'!$B$5:$B$22,0),MATCH(F_interface!$J20,'Final allowance'!$B$5:$G$5,0)),0)/5</f>
        <v>4.3832466244446255</v>
      </c>
      <c r="F20" s="20">
        <f>_xlfn.IFNA(INDEX('Final allowance'!$B$5:$G$22,MATCH(F_interface!$A20,'Final allowance'!$B$5:$B$22,0),MATCH(F_interface!$J20,'Final allowance'!$B$5:$G$5,0)),0)/5</f>
        <v>4.3832466244446255</v>
      </c>
      <c r="G20" s="20">
        <f>_xlfn.IFNA(INDEX('Final allowance'!$B$5:$G$22,MATCH(F_interface!$A20,'Final allowance'!$B$5:$B$22,0),MATCH(F_interface!$J20,'Final allowance'!$B$5:$G$5,0)),0)/5</f>
        <v>4.3832466244446255</v>
      </c>
      <c r="H20" s="20">
        <f>_xlfn.IFNA(INDEX('Final allowance'!$B$5:$G$22,MATCH(F_interface!$A20,'Final allowance'!$B$5:$B$22,0),MATCH(F_interface!$J20,'Final allowance'!$B$5:$G$5,0)),0)/5</f>
        <v>4.3832466244446255</v>
      </c>
      <c r="I20" s="20">
        <f>_xlfn.IFNA(INDEX('Final allowance'!$B$5:$G$22,MATCH(F_interface!$A20,'Final allowance'!$B$5:$B$22,0),MATCH(F_interface!$J20,'Final allowance'!$B$5:$G$5,0)),0)/5</f>
        <v>4.3832466244446255</v>
      </c>
      <c r="J20" s="20" t="s">
        <v>310</v>
      </c>
      <c r="K20" s="20" t="str">
        <f t="shared" si="0"/>
        <v>PRTC_RRTOTEX_PR19CA012</v>
      </c>
      <c r="L20" s="23"/>
      <c r="M20" s="23"/>
    </row>
    <row r="21" spans="1:13" x14ac:dyDescent="0.25">
      <c r="A21" s="21" t="s">
        <v>32</v>
      </c>
      <c r="B21" s="21" t="s">
        <v>159</v>
      </c>
      <c r="C21" s="20" t="s">
        <v>15</v>
      </c>
      <c r="D21" s="21" t="s">
        <v>152</v>
      </c>
      <c r="E21" s="20">
        <f>_xlfn.IFNA(INDEX('Final allowance'!$B$5:$G$22,MATCH(F_interface!$A21,'Final allowance'!$B$5:$B$22,0),MATCH(F_interface!$J21,'Final allowance'!$B$5:$G$5,0)),0)/5</f>
        <v>5.3480588446753199</v>
      </c>
      <c r="F21" s="20">
        <f>_xlfn.IFNA(INDEX('Final allowance'!$B$5:$G$22,MATCH(F_interface!$A21,'Final allowance'!$B$5:$B$22,0),MATCH(F_interface!$J21,'Final allowance'!$B$5:$G$5,0)),0)/5</f>
        <v>5.3480588446753199</v>
      </c>
      <c r="G21" s="20">
        <f>_xlfn.IFNA(INDEX('Final allowance'!$B$5:$G$22,MATCH(F_interface!$A21,'Final allowance'!$B$5:$B$22,0),MATCH(F_interface!$J21,'Final allowance'!$B$5:$G$5,0)),0)/5</f>
        <v>5.3480588446753199</v>
      </c>
      <c r="H21" s="20">
        <f>_xlfn.IFNA(INDEX('Final allowance'!$B$5:$G$22,MATCH(F_interface!$A21,'Final allowance'!$B$5:$B$22,0),MATCH(F_interface!$J21,'Final allowance'!$B$5:$G$5,0)),0)/5</f>
        <v>5.3480588446753199</v>
      </c>
      <c r="I21" s="20">
        <f>_xlfn.IFNA(INDEX('Final allowance'!$B$5:$G$22,MATCH(F_interface!$A21,'Final allowance'!$B$5:$B$22,0),MATCH(F_interface!$J21,'Final allowance'!$B$5:$G$5,0)),0)/5</f>
        <v>5.3480588446753199</v>
      </c>
      <c r="J21" s="20" t="s">
        <v>310</v>
      </c>
      <c r="K21" s="20" t="str">
        <f t="shared" si="0"/>
        <v>SESC_RRTOTEX_PR19CA012</v>
      </c>
      <c r="L21" s="23"/>
      <c r="M21" s="23"/>
    </row>
    <row r="22" spans="1:13" x14ac:dyDescent="0.25">
      <c r="A22" s="21" t="s">
        <v>33</v>
      </c>
      <c r="B22" s="21" t="s">
        <v>159</v>
      </c>
      <c r="C22" s="20" t="s">
        <v>15</v>
      </c>
      <c r="D22" s="21" t="s">
        <v>152</v>
      </c>
      <c r="E22" s="20">
        <f>_xlfn.IFNA(INDEX('Final allowance'!$B$5:$G$22,MATCH(F_interface!$A22,'Final allowance'!$B$5:$B$22,0),MATCH(F_interface!$J22,'Final allowance'!$B$5:$G$5,0)),0)/5</f>
        <v>17.440328229147006</v>
      </c>
      <c r="F22" s="20">
        <f>_xlfn.IFNA(INDEX('Final allowance'!$B$5:$G$22,MATCH(F_interface!$A22,'Final allowance'!$B$5:$B$22,0),MATCH(F_interface!$J22,'Final allowance'!$B$5:$G$5,0)),0)/5</f>
        <v>17.440328229147006</v>
      </c>
      <c r="G22" s="20">
        <f>_xlfn.IFNA(INDEX('Final allowance'!$B$5:$G$22,MATCH(F_interface!$A22,'Final allowance'!$B$5:$B$22,0),MATCH(F_interface!$J22,'Final allowance'!$B$5:$G$5,0)),0)/5</f>
        <v>17.440328229147006</v>
      </c>
      <c r="H22" s="20">
        <f>_xlfn.IFNA(INDEX('Final allowance'!$B$5:$G$22,MATCH(F_interface!$A22,'Final allowance'!$B$5:$B$22,0),MATCH(F_interface!$J22,'Final allowance'!$B$5:$G$5,0)),0)/5</f>
        <v>17.440328229147006</v>
      </c>
      <c r="I22" s="20">
        <f>_xlfn.IFNA(INDEX('Final allowance'!$B$5:$G$22,MATCH(F_interface!$A22,'Final allowance'!$B$5:$B$22,0),MATCH(F_interface!$J22,'Final allowance'!$B$5:$G$5,0)),0)/5</f>
        <v>17.440328229147006</v>
      </c>
      <c r="J22" s="20" t="s">
        <v>310</v>
      </c>
      <c r="K22" s="20" t="str">
        <f t="shared" si="0"/>
        <v>SEWC_RRTOTEX_PR19CA012</v>
      </c>
      <c r="L22" s="23"/>
      <c r="M22" s="23"/>
    </row>
    <row r="23" spans="1:13" x14ac:dyDescent="0.25">
      <c r="A23" s="21" t="s">
        <v>34</v>
      </c>
      <c r="B23" s="21" t="s">
        <v>159</v>
      </c>
      <c r="C23" s="20" t="s">
        <v>15</v>
      </c>
      <c r="D23" s="21" t="s">
        <v>152</v>
      </c>
      <c r="E23" s="20">
        <f>_xlfn.IFNA(INDEX('Final allowance'!$B$5:$G$22,MATCH(F_interface!$A23,'Final allowance'!$B$5:$B$22,0),MATCH(F_interface!$J23,'Final allowance'!$B$5:$G$5,0)),0)/5</f>
        <v>12.469130534076939</v>
      </c>
      <c r="F23" s="20">
        <f>_xlfn.IFNA(INDEX('Final allowance'!$B$5:$G$22,MATCH(F_interface!$A23,'Final allowance'!$B$5:$B$22,0),MATCH(F_interface!$J23,'Final allowance'!$B$5:$G$5,0)),0)/5</f>
        <v>12.469130534076939</v>
      </c>
      <c r="G23" s="20">
        <f>_xlfn.IFNA(INDEX('Final allowance'!$B$5:$G$22,MATCH(F_interface!$A23,'Final allowance'!$B$5:$B$22,0),MATCH(F_interface!$J23,'Final allowance'!$B$5:$G$5,0)),0)/5</f>
        <v>12.469130534076939</v>
      </c>
      <c r="H23" s="20">
        <f>_xlfn.IFNA(INDEX('Final allowance'!$B$5:$G$22,MATCH(F_interface!$A23,'Final allowance'!$B$5:$B$22,0),MATCH(F_interface!$J23,'Final allowance'!$B$5:$G$5,0)),0)/5</f>
        <v>12.469130534076939</v>
      </c>
      <c r="I23" s="20">
        <f>_xlfn.IFNA(INDEX('Final allowance'!$B$5:$G$22,MATCH(F_interface!$A23,'Final allowance'!$B$5:$B$22,0),MATCH(F_interface!$J23,'Final allowance'!$B$5:$G$5,0)),0)/5</f>
        <v>12.469130534076939</v>
      </c>
      <c r="J23" s="20" t="s">
        <v>310</v>
      </c>
      <c r="K23" s="20" t="str">
        <f t="shared" si="0"/>
        <v>SSCC_RRTOTEX_PR19CA012</v>
      </c>
      <c r="L23" s="23"/>
      <c r="M23" s="23"/>
    </row>
    <row r="24" spans="1:13" x14ac:dyDescent="0.25">
      <c r="A24" s="120" t="s">
        <v>20</v>
      </c>
      <c r="B24" s="21" t="s">
        <v>160</v>
      </c>
      <c r="C24" s="21" t="s">
        <v>12</v>
      </c>
      <c r="D24" s="21" t="s">
        <v>152</v>
      </c>
      <c r="E24" s="121">
        <f xml:space="preserve"> _xlfn.IFNA(INDEX(Drivers!$L$2:$R$104, MATCH(F_interface!$A24&amp;RIGHT(F_interface!E$2, 2), Drivers!$C$2:$C$94, 0), MATCH(F_interface!$J24, Drivers!$L$2:$R$2, 0)),0)</f>
        <v>2917.2750000000001</v>
      </c>
      <c r="F24" s="121">
        <f xml:space="preserve"> _xlfn.IFNA(INDEX(Drivers!$L$2:$R$104, MATCH(F_interface!$A24&amp;RIGHT(F_interface!F$2, 2), Drivers!$C$2:$C$94, 0), MATCH(F_interface!$J24, Drivers!$L$2:$R$2, 0)),0)</f>
        <v>2961.9450000000002</v>
      </c>
      <c r="G24" s="121">
        <f xml:space="preserve"> _xlfn.IFNA(INDEX(Drivers!$L$2:$R$104, MATCH(F_interface!$A24&amp;RIGHT(F_interface!G$2, 2), Drivers!$C$2:$C$94, 0), MATCH(F_interface!$J24, Drivers!$L$2:$R$2, 0)),0)</f>
        <v>3002.6619999999998</v>
      </c>
      <c r="H24" s="121">
        <f xml:space="preserve"> _xlfn.IFNA(INDEX(Drivers!$L$2:$R$104, MATCH(F_interface!$A24&amp;RIGHT(F_interface!H$2, 2), Drivers!$C$2:$C$94, 0), MATCH(F_interface!$J24, Drivers!$L$2:$R$2, 0)),0)</f>
        <v>3041.4850000000001</v>
      </c>
      <c r="I24" s="121">
        <f xml:space="preserve"> _xlfn.IFNA(INDEX(Drivers!$L$2:$R$104, MATCH(F_interface!$A24&amp;RIGHT(F_interface!I$2, 2), Drivers!$C$2:$C$94, 0), MATCH(F_interface!$J24, Drivers!$L$2:$R$2, 0)),0)</f>
        <v>3078.306</v>
      </c>
      <c r="J24" s="122" t="s">
        <v>8</v>
      </c>
      <c r="K24" s="20" t="str">
        <f t="shared" si="0"/>
        <v>ANHC_R3100TOT_PR19CA012</v>
      </c>
      <c r="L24" s="23"/>
      <c r="M24" s="23"/>
    </row>
    <row r="25" spans="1:13" x14ac:dyDescent="0.25">
      <c r="A25" s="120" t="s">
        <v>157</v>
      </c>
      <c r="B25" s="21" t="s">
        <v>160</v>
      </c>
      <c r="C25" s="21" t="s">
        <v>12</v>
      </c>
      <c r="D25" s="21" t="s">
        <v>152</v>
      </c>
      <c r="E25" s="121">
        <f xml:space="preserve"> _xlfn.IFNA(INDEX(Drivers!$L$2:$R$104, MATCH(F_interface!$A25&amp;RIGHT(F_interface!E$2, 2), Drivers!$C$2:$C$94, 0), MATCH(F_interface!$J25, Drivers!$L$2:$R$2, 0)),0)</f>
        <v>0</v>
      </c>
      <c r="F25" s="121">
        <f xml:space="preserve"> _xlfn.IFNA(INDEX(Drivers!$L$2:$R$104, MATCH(F_interface!$A25&amp;RIGHT(F_interface!F$2, 2), Drivers!$C$2:$C$94, 0), MATCH(F_interface!$J25, Drivers!$L$2:$R$2, 0)),0)</f>
        <v>0</v>
      </c>
      <c r="G25" s="121">
        <f xml:space="preserve"> _xlfn.IFNA(INDEX(Drivers!$L$2:$R$104, MATCH(F_interface!$A25&amp;RIGHT(F_interface!G$2, 2), Drivers!$C$2:$C$94, 0), MATCH(F_interface!$J25, Drivers!$L$2:$R$2, 0)),0)</f>
        <v>0</v>
      </c>
      <c r="H25" s="121">
        <f xml:space="preserve"> _xlfn.IFNA(INDEX(Drivers!$L$2:$R$104, MATCH(F_interface!$A25&amp;RIGHT(F_interface!H$2, 2), Drivers!$C$2:$C$94, 0), MATCH(F_interface!$J25, Drivers!$L$2:$R$2, 0)),0)</f>
        <v>0</v>
      </c>
      <c r="I25" s="121">
        <f xml:space="preserve"> _xlfn.IFNA(INDEX(Drivers!$L$2:$R$104, MATCH(F_interface!$A25&amp;RIGHT(F_interface!I$2, 2), Drivers!$C$2:$C$94, 0), MATCH(F_interface!$J25, Drivers!$L$2:$R$2, 0)),0)</f>
        <v>0</v>
      </c>
      <c r="J25" s="122" t="s">
        <v>8</v>
      </c>
      <c r="K25" s="20" t="str">
        <f t="shared" si="0"/>
        <v>HDDC_R3100TOT_PR19CA012</v>
      </c>
      <c r="L25" s="23"/>
      <c r="M25" s="23"/>
    </row>
    <row r="26" spans="1:13" x14ac:dyDescent="0.25">
      <c r="A26" s="120" t="s">
        <v>21</v>
      </c>
      <c r="B26" s="21" t="s">
        <v>160</v>
      </c>
      <c r="C26" s="21" t="s">
        <v>12</v>
      </c>
      <c r="D26" s="21" t="s">
        <v>152</v>
      </c>
      <c r="E26" s="121">
        <f xml:space="preserve"> _xlfn.IFNA(INDEX(Drivers!$L$2:$R$104, MATCH(F_interface!$A26&amp;RIGHT(F_interface!E$2, 2), Drivers!$C$2:$C$94, 0), MATCH(F_interface!$J26, Drivers!$L$2:$R$2, 0)),0)</f>
        <v>1954.1489999999999</v>
      </c>
      <c r="F26" s="121">
        <f xml:space="preserve"> _xlfn.IFNA(INDEX(Drivers!$L$2:$R$104, MATCH(F_interface!$A26&amp;RIGHT(F_interface!F$2, 2), Drivers!$C$2:$C$94, 0), MATCH(F_interface!$J26, Drivers!$L$2:$R$2, 0)),0)</f>
        <v>1973.0340000000001</v>
      </c>
      <c r="G26" s="121">
        <f xml:space="preserve"> _xlfn.IFNA(INDEX(Drivers!$L$2:$R$104, MATCH(F_interface!$A26&amp;RIGHT(F_interface!G$2, 2), Drivers!$C$2:$C$94, 0), MATCH(F_interface!$J26, Drivers!$L$2:$R$2, 0)),0)</f>
        <v>1991.3530000000001</v>
      </c>
      <c r="H26" s="121">
        <f xml:space="preserve"> _xlfn.IFNA(INDEX(Drivers!$L$2:$R$104, MATCH(F_interface!$A26&amp;RIGHT(F_interface!H$2, 2), Drivers!$C$2:$C$94, 0), MATCH(F_interface!$J26, Drivers!$L$2:$R$2, 0)),0)</f>
        <v>2009.0309999999999</v>
      </c>
      <c r="I26" s="121">
        <f xml:space="preserve"> _xlfn.IFNA(INDEX(Drivers!$L$2:$R$104, MATCH(F_interface!$A26&amp;RIGHT(F_interface!I$2, 2), Drivers!$C$2:$C$94, 0), MATCH(F_interface!$J26, Drivers!$L$2:$R$2, 0)),0)</f>
        <v>2026.6569999999999</v>
      </c>
      <c r="J26" s="122" t="s">
        <v>8</v>
      </c>
      <c r="K26" s="20" t="str">
        <f t="shared" si="0"/>
        <v>NESC_R3100TOT_PR19CA012</v>
      </c>
      <c r="L26" s="23"/>
      <c r="M26" s="23"/>
    </row>
    <row r="27" spans="1:13" x14ac:dyDescent="0.25">
      <c r="A27" s="120" t="s">
        <v>22</v>
      </c>
      <c r="B27" s="21" t="s">
        <v>160</v>
      </c>
      <c r="C27" s="21" t="s">
        <v>12</v>
      </c>
      <c r="D27" s="21" t="s">
        <v>152</v>
      </c>
      <c r="E27" s="121">
        <f xml:space="preserve"> _xlfn.IFNA(INDEX(Drivers!$L$2:$R$104, MATCH(F_interface!$A27&amp;RIGHT(F_interface!E$2, 2), Drivers!$C$2:$C$94, 0), MATCH(F_interface!$J27, Drivers!$L$2:$R$2, 0)),0)</f>
        <v>3042.2880536584098</v>
      </c>
      <c r="F27" s="121">
        <f xml:space="preserve"> _xlfn.IFNA(INDEX(Drivers!$L$2:$R$104, MATCH(F_interface!$A27&amp;RIGHT(F_interface!F$2, 2), Drivers!$C$2:$C$94, 0), MATCH(F_interface!$J27, Drivers!$L$2:$R$2, 0)),0)</f>
        <v>3065.0392124647801</v>
      </c>
      <c r="G27" s="121">
        <f xml:space="preserve"> _xlfn.IFNA(INDEX(Drivers!$L$2:$R$104, MATCH(F_interface!$A27&amp;RIGHT(F_interface!G$2, 2), Drivers!$C$2:$C$94, 0), MATCH(F_interface!$J27, Drivers!$L$2:$R$2, 0)),0)</f>
        <v>3088.8200790626902</v>
      </c>
      <c r="H27" s="121">
        <f xml:space="preserve"> _xlfn.IFNA(INDEX(Drivers!$L$2:$R$104, MATCH(F_interface!$A27&amp;RIGHT(F_interface!H$2, 2), Drivers!$C$2:$C$94, 0), MATCH(F_interface!$J27, Drivers!$L$2:$R$2, 0)),0)</f>
        <v>3113.62961105358</v>
      </c>
      <c r="I27" s="121">
        <f xml:space="preserve"> _xlfn.IFNA(INDEX(Drivers!$L$2:$R$104, MATCH(F_interface!$A27&amp;RIGHT(F_interface!I$2, 2), Drivers!$C$2:$C$94, 0), MATCH(F_interface!$J27, Drivers!$L$2:$R$2, 0)),0)</f>
        <v>3139.4662610016098</v>
      </c>
      <c r="J27" s="122" t="s">
        <v>8</v>
      </c>
      <c r="K27" s="20" t="str">
        <f t="shared" si="0"/>
        <v>NWTC_R3100TOT_PR19CA012</v>
      </c>
      <c r="L27" s="23"/>
      <c r="M27" s="23"/>
    </row>
    <row r="28" spans="1:13" x14ac:dyDescent="0.25">
      <c r="A28" s="120" t="s">
        <v>23</v>
      </c>
      <c r="B28" s="21" t="s">
        <v>160</v>
      </c>
      <c r="C28" s="21" t="s">
        <v>12</v>
      </c>
      <c r="D28" s="21" t="s">
        <v>152</v>
      </c>
      <c r="E28" s="121">
        <f xml:space="preserve"> _xlfn.IFNA(INDEX(Drivers!$L$2:$R$104, MATCH(F_interface!$A28&amp;RIGHT(F_interface!E$2, 2), Drivers!$C$2:$C$94, 0), MATCH(F_interface!$J28, Drivers!$L$2:$R$2, 0)),0)</f>
        <v>1971.9770000000001</v>
      </c>
      <c r="F28" s="121">
        <f xml:space="preserve"> _xlfn.IFNA(INDEX(Drivers!$L$2:$R$104, MATCH(F_interface!$A28&amp;RIGHT(F_interface!F$2, 2), Drivers!$C$2:$C$94, 0), MATCH(F_interface!$J28, Drivers!$L$2:$R$2, 0)),0)</f>
        <v>1997.692</v>
      </c>
      <c r="G28" s="121">
        <f xml:space="preserve"> _xlfn.IFNA(INDEX(Drivers!$L$2:$R$104, MATCH(F_interface!$A28&amp;RIGHT(F_interface!G$2, 2), Drivers!$C$2:$C$94, 0), MATCH(F_interface!$J28, Drivers!$L$2:$R$2, 0)),0)</f>
        <v>2021.4490000000001</v>
      </c>
      <c r="H28" s="121">
        <f xml:space="preserve"> _xlfn.IFNA(INDEX(Drivers!$L$2:$R$104, MATCH(F_interface!$A28&amp;RIGHT(F_interface!H$2, 2), Drivers!$C$2:$C$94, 0), MATCH(F_interface!$J28, Drivers!$L$2:$R$2, 0)),0)</f>
        <v>2044.3969999999999</v>
      </c>
      <c r="I28" s="121">
        <f xml:space="preserve"> _xlfn.IFNA(INDEX(Drivers!$L$2:$R$104, MATCH(F_interface!$A28&amp;RIGHT(F_interface!I$2, 2), Drivers!$C$2:$C$94, 0), MATCH(F_interface!$J28, Drivers!$L$2:$R$2, 0)),0)</f>
        <v>2066.0410000000002</v>
      </c>
      <c r="J28" s="122" t="s">
        <v>8</v>
      </c>
      <c r="K28" s="20" t="str">
        <f t="shared" si="0"/>
        <v>SRNC_R3100TOT_PR19CA012</v>
      </c>
      <c r="L28" s="23"/>
      <c r="M28" s="23"/>
    </row>
    <row r="29" spans="1:13" x14ac:dyDescent="0.25">
      <c r="A29" s="120" t="s">
        <v>156</v>
      </c>
      <c r="B29" s="21" t="s">
        <v>160</v>
      </c>
      <c r="C29" s="21" t="s">
        <v>12</v>
      </c>
      <c r="D29" s="21" t="s">
        <v>152</v>
      </c>
      <c r="E29" s="121">
        <f xml:space="preserve"> _xlfn.IFNA(INDEX(Drivers!$L$2:$R$104, MATCH(F_interface!$A29&amp;RIGHT(F_interface!E$2, 2), Drivers!$C$2:$C$94, 0), MATCH(F_interface!$J29, Drivers!$L$2:$R$2, 0)),0)</f>
        <v>0</v>
      </c>
      <c r="F29" s="121">
        <f xml:space="preserve"> _xlfn.IFNA(INDEX(Drivers!$L$2:$R$104, MATCH(F_interface!$A29&amp;RIGHT(F_interface!F$2, 2), Drivers!$C$2:$C$94, 0), MATCH(F_interface!$J29, Drivers!$L$2:$R$2, 0)),0)</f>
        <v>0</v>
      </c>
      <c r="G29" s="121">
        <f xml:space="preserve"> _xlfn.IFNA(INDEX(Drivers!$L$2:$R$104, MATCH(F_interface!$A29&amp;RIGHT(F_interface!G$2, 2), Drivers!$C$2:$C$94, 0), MATCH(F_interface!$J29, Drivers!$L$2:$R$2, 0)),0)</f>
        <v>0</v>
      </c>
      <c r="H29" s="121">
        <f xml:space="preserve"> _xlfn.IFNA(INDEX(Drivers!$L$2:$R$104, MATCH(F_interface!$A29&amp;RIGHT(F_interface!H$2, 2), Drivers!$C$2:$C$94, 0), MATCH(F_interface!$J29, Drivers!$L$2:$R$2, 0)),0)</f>
        <v>0</v>
      </c>
      <c r="I29" s="121">
        <f xml:space="preserve"> _xlfn.IFNA(INDEX(Drivers!$L$2:$R$104, MATCH(F_interface!$A29&amp;RIGHT(F_interface!I$2, 2), Drivers!$C$2:$C$94, 0), MATCH(F_interface!$J29, Drivers!$L$2:$R$2, 0)),0)</f>
        <v>0</v>
      </c>
      <c r="J29" s="122" t="s">
        <v>8</v>
      </c>
      <c r="K29" s="20" t="str">
        <f t="shared" si="0"/>
        <v>SVEC_R3100TOT_PR19CA012</v>
      </c>
      <c r="L29" s="23"/>
      <c r="M29" s="23"/>
    </row>
    <row r="30" spans="1:13" x14ac:dyDescent="0.25">
      <c r="A30" s="120" t="s">
        <v>232</v>
      </c>
      <c r="B30" s="21" t="s">
        <v>160</v>
      </c>
      <c r="C30" s="21" t="s">
        <v>12</v>
      </c>
      <c r="D30" s="21" t="s">
        <v>152</v>
      </c>
      <c r="E30" s="121">
        <f xml:space="preserve"> _xlfn.IFNA(INDEX(Drivers!$L$2:$R$104, MATCH(F_interface!$A30&amp;RIGHT(F_interface!E$2, 2), Drivers!$C$2:$C$94, 0), MATCH(F_interface!$J30, Drivers!$L$2:$R$2, 0)),0)</f>
        <v>4207.9935451171305</v>
      </c>
      <c r="F30" s="121">
        <f xml:space="preserve"> _xlfn.IFNA(INDEX(Drivers!$L$2:$R$104, MATCH(F_interface!$A30&amp;RIGHT(F_interface!F$2, 2), Drivers!$C$2:$C$94, 0), MATCH(F_interface!$J30, Drivers!$L$2:$R$2, 0)),0)</f>
        <v>4232.2760260178002</v>
      </c>
      <c r="G30" s="121">
        <f xml:space="preserve"> _xlfn.IFNA(INDEX(Drivers!$L$2:$R$104, MATCH(F_interface!$A30&amp;RIGHT(F_interface!G$2, 2), Drivers!$C$2:$C$94, 0), MATCH(F_interface!$J30, Drivers!$L$2:$R$2, 0)),0)</f>
        <v>4258.0343639944804</v>
      </c>
      <c r="H30" s="121">
        <f xml:space="preserve"> _xlfn.IFNA(INDEX(Drivers!$L$2:$R$104, MATCH(F_interface!$A30&amp;RIGHT(F_interface!H$2, 2), Drivers!$C$2:$C$94, 0), MATCH(F_interface!$J30, Drivers!$L$2:$R$2, 0)),0)</f>
        <v>4284.2251527726803</v>
      </c>
      <c r="I30" s="121">
        <f xml:space="preserve"> _xlfn.IFNA(INDEX(Drivers!$L$2:$R$104, MATCH(F_interface!$A30&amp;RIGHT(F_interface!I$2, 2), Drivers!$C$2:$C$94, 0), MATCH(F_interface!$J30, Drivers!$L$2:$R$2, 0)),0)</f>
        <v>4310.8479797621203</v>
      </c>
      <c r="J30" s="122" t="s">
        <v>8</v>
      </c>
      <c r="K30" s="20" t="str">
        <f t="shared" ref="K30:K31" si="1">A30&amp;B30</f>
        <v>SVHC_R3100TOT_PR19CA012</v>
      </c>
      <c r="L30" s="23"/>
      <c r="M30" s="23"/>
    </row>
    <row r="31" spans="1:13" x14ac:dyDescent="0.25">
      <c r="A31" s="120" t="s">
        <v>24</v>
      </c>
      <c r="B31" s="21" t="s">
        <v>160</v>
      </c>
      <c r="C31" s="21" t="s">
        <v>12</v>
      </c>
      <c r="D31" s="21" t="s">
        <v>152</v>
      </c>
      <c r="E31" s="121">
        <f xml:space="preserve"> _xlfn.IFNA(INDEX(Drivers!$L$2:$R$104, MATCH(F_interface!$A31&amp;RIGHT(F_interface!E$2, 2), Drivers!$C$2:$C$94, 0), MATCH(F_interface!$J31, Drivers!$L$2:$R$2, 0)),0)</f>
        <v>4160.3077999999996</v>
      </c>
      <c r="F31" s="121">
        <f xml:space="preserve"> _xlfn.IFNA(INDEX(Drivers!$L$2:$R$104, MATCH(F_interface!$A31&amp;RIGHT(F_interface!F$2, 2), Drivers!$C$2:$C$94, 0), MATCH(F_interface!$J31, Drivers!$L$2:$R$2, 0)),0)</f>
        <v>4205.8423999999995</v>
      </c>
      <c r="G31" s="121">
        <f xml:space="preserve"> _xlfn.IFNA(INDEX(Drivers!$L$2:$R$104, MATCH(F_interface!$A31&amp;RIGHT(F_interface!G$2, 2), Drivers!$C$2:$C$94, 0), MATCH(F_interface!$J31, Drivers!$L$2:$R$2, 0)),0)</f>
        <v>4251.3769999999995</v>
      </c>
      <c r="H31" s="121">
        <f xml:space="preserve"> _xlfn.IFNA(INDEX(Drivers!$L$2:$R$104, MATCH(F_interface!$A31&amp;RIGHT(F_interface!H$2, 2), Drivers!$C$2:$C$94, 0), MATCH(F_interface!$J31, Drivers!$L$2:$R$2, 0)),0)</f>
        <v>4296.9115999999995</v>
      </c>
      <c r="I31" s="121">
        <f xml:space="preserve"> _xlfn.IFNA(INDEX(Drivers!$L$2:$R$104, MATCH(F_interface!$A31&amp;RIGHT(F_interface!I$2, 2), Drivers!$C$2:$C$94, 0), MATCH(F_interface!$J31, Drivers!$L$2:$R$2, 0)),0)</f>
        <v>4342.4461999999994</v>
      </c>
      <c r="J31" s="122" t="s">
        <v>8</v>
      </c>
      <c r="K31" s="20" t="str">
        <f t="shared" si="1"/>
        <v>SVTC_R3100TOT_PR19CA012</v>
      </c>
      <c r="L31" s="23"/>
      <c r="M31" s="23"/>
    </row>
    <row r="32" spans="1:13" x14ac:dyDescent="0.25">
      <c r="A32" s="120" t="s">
        <v>35</v>
      </c>
      <c r="B32" s="21" t="s">
        <v>160</v>
      </c>
      <c r="C32" s="21" t="s">
        <v>12</v>
      </c>
      <c r="D32" s="21" t="s">
        <v>152</v>
      </c>
      <c r="E32" s="121">
        <f xml:space="preserve"> _xlfn.IFNA(INDEX(Drivers!$L$2:$R$104, MATCH(F_interface!$A32&amp;RIGHT(F_interface!E$2, 2), Drivers!$C$2:$C$94, 0), MATCH(F_interface!$J32, Drivers!$L$2:$R$2, 0)),0)</f>
        <v>971.17899999999997</v>
      </c>
      <c r="F32" s="121">
        <f xml:space="preserve"> _xlfn.IFNA(INDEX(Drivers!$L$2:$R$104, MATCH(F_interface!$A32&amp;RIGHT(F_interface!F$2, 2), Drivers!$C$2:$C$94, 0), MATCH(F_interface!$J32, Drivers!$L$2:$R$2, 0)),0)</f>
        <v>983.24900000000002</v>
      </c>
      <c r="G32" s="121">
        <f xml:space="preserve"> _xlfn.IFNA(INDEX(Drivers!$L$2:$R$104, MATCH(F_interface!$A32&amp;RIGHT(F_interface!G$2, 2), Drivers!$C$2:$C$94, 0), MATCH(F_interface!$J32, Drivers!$L$2:$R$2, 0)),0)</f>
        <v>992.06399999999996</v>
      </c>
      <c r="H32" s="121">
        <f xml:space="preserve"> _xlfn.IFNA(INDEX(Drivers!$L$2:$R$104, MATCH(F_interface!$A32&amp;RIGHT(F_interface!H$2, 2), Drivers!$C$2:$C$94, 0), MATCH(F_interface!$J32, Drivers!$L$2:$R$2, 0)),0)</f>
        <v>1001.023</v>
      </c>
      <c r="I32" s="121">
        <f xml:space="preserve"> _xlfn.IFNA(INDEX(Drivers!$L$2:$R$104, MATCH(F_interface!$A32&amp;RIGHT(F_interface!I$2, 2), Drivers!$C$2:$C$94, 0), MATCH(F_interface!$J32, Drivers!$L$2:$R$2, 0)),0)</f>
        <v>1009.764</v>
      </c>
      <c r="J32" s="122" t="s">
        <v>8</v>
      </c>
      <c r="K32" s="20" t="str">
        <f t="shared" si="0"/>
        <v>SWBC_R3100TOT_PR19CA012</v>
      </c>
      <c r="L32" s="23"/>
      <c r="M32" s="23"/>
    </row>
    <row r="33" spans="1:13" x14ac:dyDescent="0.25">
      <c r="A33" s="120" t="s">
        <v>25</v>
      </c>
      <c r="B33" s="21" t="s">
        <v>160</v>
      </c>
      <c r="C33" s="21" t="s">
        <v>12</v>
      </c>
      <c r="D33" s="21" t="s">
        <v>152</v>
      </c>
      <c r="E33" s="121">
        <f xml:space="preserve"> _xlfn.IFNA(INDEX(Drivers!$L$2:$R$104, MATCH(F_interface!$A33&amp;RIGHT(F_interface!E$2, 2), Drivers!$C$2:$C$94, 0), MATCH(F_interface!$J33, Drivers!$L$2:$R$2, 0)),0)</f>
        <v>5573.0429999999997</v>
      </c>
      <c r="F33" s="121">
        <f xml:space="preserve"> _xlfn.IFNA(INDEX(Drivers!$L$2:$R$104, MATCH(F_interface!$A33&amp;RIGHT(F_interface!F$2, 2), Drivers!$C$2:$C$94, 0), MATCH(F_interface!$J33, Drivers!$L$2:$R$2, 0)),0)</f>
        <v>5646.0590000000002</v>
      </c>
      <c r="G33" s="121">
        <f xml:space="preserve"> _xlfn.IFNA(INDEX(Drivers!$L$2:$R$104, MATCH(F_interface!$A33&amp;RIGHT(F_interface!G$2, 2), Drivers!$C$2:$C$94, 0), MATCH(F_interface!$J33, Drivers!$L$2:$R$2, 0)),0)</f>
        <v>5714.2910000000002</v>
      </c>
      <c r="H33" s="121">
        <f xml:space="preserve"> _xlfn.IFNA(INDEX(Drivers!$L$2:$R$104, MATCH(F_interface!$A33&amp;RIGHT(F_interface!H$2, 2), Drivers!$C$2:$C$94, 0), MATCH(F_interface!$J33, Drivers!$L$2:$R$2, 0)),0)</f>
        <v>5783.692</v>
      </c>
      <c r="I33" s="121">
        <f xml:space="preserve"> _xlfn.IFNA(INDEX(Drivers!$L$2:$R$104, MATCH(F_interface!$A33&amp;RIGHT(F_interface!I$2, 2), Drivers!$C$2:$C$94, 0), MATCH(F_interface!$J33, Drivers!$L$2:$R$2, 0)),0)</f>
        <v>5841.9480000000003</v>
      </c>
      <c r="J33" s="122" t="s">
        <v>8</v>
      </c>
      <c r="K33" s="20" t="str">
        <f t="shared" si="0"/>
        <v>TMSC_R3100TOT_PR19CA012</v>
      </c>
      <c r="L33" s="23"/>
      <c r="M33" s="23"/>
    </row>
    <row r="34" spans="1:13" x14ac:dyDescent="0.25">
      <c r="A34" s="120" t="s">
        <v>41</v>
      </c>
      <c r="B34" s="21" t="s">
        <v>160</v>
      </c>
      <c r="C34" s="21" t="s">
        <v>12</v>
      </c>
      <c r="D34" s="21" t="s">
        <v>152</v>
      </c>
      <c r="E34" s="121">
        <f xml:space="preserve"> _xlfn.IFNA(INDEX(Drivers!$L$2:$R$104, MATCH(F_interface!$A34&amp;RIGHT(F_interface!E$2, 2), Drivers!$C$2:$C$94, 0), MATCH(F_interface!$J34, Drivers!$L$2:$R$2, 0)),0)</f>
        <v>1425.0260000000001</v>
      </c>
      <c r="F34" s="121">
        <f xml:space="preserve"> _xlfn.IFNA(INDEX(Drivers!$L$2:$R$104, MATCH(F_interface!$A34&amp;RIGHT(F_interface!F$2, 2), Drivers!$C$2:$C$94, 0), MATCH(F_interface!$J34, Drivers!$L$2:$R$2, 0)),0)</f>
        <v>1436.252</v>
      </c>
      <c r="G34" s="121">
        <f xml:space="preserve"> _xlfn.IFNA(INDEX(Drivers!$L$2:$R$104, MATCH(F_interface!$A34&amp;RIGHT(F_interface!G$2, 2), Drivers!$C$2:$C$94, 0), MATCH(F_interface!$J34, Drivers!$L$2:$R$2, 0)),0)</f>
        <v>1447.66</v>
      </c>
      <c r="H34" s="121">
        <f xml:space="preserve"> _xlfn.IFNA(INDEX(Drivers!$L$2:$R$104, MATCH(F_interface!$A34&amp;RIGHT(F_interface!H$2, 2), Drivers!$C$2:$C$94, 0), MATCH(F_interface!$J34, Drivers!$L$2:$R$2, 0)),0)</f>
        <v>1459.134</v>
      </c>
      <c r="I34" s="121">
        <f xml:space="preserve"> _xlfn.IFNA(INDEX(Drivers!$L$2:$R$104, MATCH(F_interface!$A34&amp;RIGHT(F_interface!I$2, 2), Drivers!$C$2:$C$94, 0), MATCH(F_interface!$J34, Drivers!$L$2:$R$2, 0)),0)</f>
        <v>1470.672</v>
      </c>
      <c r="J34" s="122" t="s">
        <v>8</v>
      </c>
      <c r="K34" s="20" t="str">
        <f t="shared" si="0"/>
        <v>WSHC_R3100TOT_PR19CA012</v>
      </c>
      <c r="L34" s="23"/>
      <c r="M34" s="23"/>
    </row>
    <row r="35" spans="1:13" x14ac:dyDescent="0.25">
      <c r="A35" s="120" t="s">
        <v>26</v>
      </c>
      <c r="B35" s="21" t="s">
        <v>160</v>
      </c>
      <c r="C35" s="21" t="s">
        <v>12</v>
      </c>
      <c r="D35" s="21" t="s">
        <v>152</v>
      </c>
      <c r="E35" s="121">
        <f xml:space="preserve"> _xlfn.IFNA(INDEX(Drivers!$L$2:$R$104, MATCH(F_interface!$A35&amp;RIGHT(F_interface!E$2, 2), Drivers!$C$2:$C$94, 0), MATCH(F_interface!$J35, Drivers!$L$2:$R$2, 0)),0)</f>
        <v>1233.1279999999999</v>
      </c>
      <c r="F35" s="121">
        <f xml:space="preserve"> _xlfn.IFNA(INDEX(Drivers!$L$2:$R$104, MATCH(F_interface!$A35&amp;RIGHT(F_interface!F$2, 2), Drivers!$C$2:$C$94, 0), MATCH(F_interface!$J35, Drivers!$L$2:$R$2, 0)),0)</f>
        <v>1246.037</v>
      </c>
      <c r="G35" s="121">
        <f xml:space="preserve"> _xlfn.IFNA(INDEX(Drivers!$L$2:$R$104, MATCH(F_interface!$A35&amp;RIGHT(F_interface!G$2, 2), Drivers!$C$2:$C$94, 0), MATCH(F_interface!$J35, Drivers!$L$2:$R$2, 0)),0)</f>
        <v>1258.7070000000001</v>
      </c>
      <c r="H35" s="121">
        <f xml:space="preserve"> _xlfn.IFNA(INDEX(Drivers!$L$2:$R$104, MATCH(F_interface!$A35&amp;RIGHT(F_interface!H$2, 2), Drivers!$C$2:$C$94, 0), MATCH(F_interface!$J35, Drivers!$L$2:$R$2, 0)),0)</f>
        <v>1271.076</v>
      </c>
      <c r="I35" s="121">
        <f xml:space="preserve"> _xlfn.IFNA(INDEX(Drivers!$L$2:$R$104, MATCH(F_interface!$A35&amp;RIGHT(F_interface!I$2, 2), Drivers!$C$2:$C$94, 0), MATCH(F_interface!$J35, Drivers!$L$2:$R$2, 0)),0)</f>
        <v>1282.8720000000001</v>
      </c>
      <c r="J35" s="122" t="s">
        <v>8</v>
      </c>
      <c r="K35" s="20" t="str">
        <f t="shared" si="0"/>
        <v>WSXC_R3100TOT_PR19CA012</v>
      </c>
      <c r="L35" s="23"/>
      <c r="M35" s="23"/>
    </row>
    <row r="36" spans="1:13" x14ac:dyDescent="0.25">
      <c r="A36" s="120" t="s">
        <v>27</v>
      </c>
      <c r="B36" s="21" t="s">
        <v>160</v>
      </c>
      <c r="C36" s="21" t="s">
        <v>12</v>
      </c>
      <c r="D36" s="21" t="s">
        <v>152</v>
      </c>
      <c r="E36" s="121">
        <f xml:space="preserve"> _xlfn.IFNA(INDEX(Drivers!$L$2:$R$104, MATCH(F_interface!$A36&amp;RIGHT(F_interface!E$2, 2), Drivers!$C$2:$C$94, 0), MATCH(F_interface!$J36, Drivers!$L$2:$R$2, 0)),0)</f>
        <v>2218.79</v>
      </c>
      <c r="F36" s="121">
        <f xml:space="preserve"> _xlfn.IFNA(INDEX(Drivers!$L$2:$R$104, MATCH(F_interface!$A36&amp;RIGHT(F_interface!F$2, 2), Drivers!$C$2:$C$94, 0), MATCH(F_interface!$J36, Drivers!$L$2:$R$2, 0)),0)</f>
        <v>2239.7139999999999</v>
      </c>
      <c r="G36" s="121">
        <f xml:space="preserve"> _xlfn.IFNA(INDEX(Drivers!$L$2:$R$104, MATCH(F_interface!$A36&amp;RIGHT(F_interface!G$2, 2), Drivers!$C$2:$C$94, 0), MATCH(F_interface!$J36, Drivers!$L$2:$R$2, 0)),0)</f>
        <v>2260.739</v>
      </c>
      <c r="H36" s="121">
        <f xml:space="preserve"> _xlfn.IFNA(INDEX(Drivers!$L$2:$R$104, MATCH(F_interface!$A36&amp;RIGHT(F_interface!H$2, 2), Drivers!$C$2:$C$94, 0), MATCH(F_interface!$J36, Drivers!$L$2:$R$2, 0)),0)</f>
        <v>2281.7280000000001</v>
      </c>
      <c r="I36" s="121">
        <f xml:space="preserve"> _xlfn.IFNA(INDEX(Drivers!$L$2:$R$104, MATCH(F_interface!$A36&amp;RIGHT(F_interface!I$2, 2), Drivers!$C$2:$C$94, 0), MATCH(F_interface!$J36, Drivers!$L$2:$R$2, 0)),0)</f>
        <v>2302.7640000000001</v>
      </c>
      <c r="J36" s="122" t="s">
        <v>8</v>
      </c>
      <c r="K36" s="20" t="str">
        <f t="shared" si="0"/>
        <v>YKYC_R3100TOT_PR19CA012</v>
      </c>
      <c r="L36" s="23"/>
      <c r="M36" s="23"/>
    </row>
    <row r="37" spans="1:13" x14ac:dyDescent="0.25">
      <c r="A37" s="120" t="s">
        <v>28</v>
      </c>
      <c r="B37" s="21" t="s">
        <v>160</v>
      </c>
      <c r="C37" s="21" t="s">
        <v>12</v>
      </c>
      <c r="D37" s="21" t="s">
        <v>152</v>
      </c>
      <c r="E37" s="121">
        <f xml:space="preserve"> _xlfn.IFNA(INDEX(Drivers!$L$2:$R$104, MATCH(F_interface!$A37&amp;RIGHT(F_interface!E$2, 2), Drivers!$C$2:$C$94, 0), MATCH(F_interface!$J37, Drivers!$L$2:$R$2, 0)),0)</f>
        <v>1408.6079999999999</v>
      </c>
      <c r="F37" s="121">
        <f xml:space="preserve"> _xlfn.IFNA(INDEX(Drivers!$L$2:$R$104, MATCH(F_interface!$A37&amp;RIGHT(F_interface!F$2, 2), Drivers!$C$2:$C$94, 0), MATCH(F_interface!$J37, Drivers!$L$2:$R$2, 0)),0)</f>
        <v>1428.6849999999999</v>
      </c>
      <c r="G37" s="121">
        <f xml:space="preserve"> _xlfn.IFNA(INDEX(Drivers!$L$2:$R$104, MATCH(F_interface!$A37&amp;RIGHT(F_interface!G$2, 2), Drivers!$C$2:$C$94, 0), MATCH(F_interface!$J37, Drivers!$L$2:$R$2, 0)),0)</f>
        <v>1445.4079999999999</v>
      </c>
      <c r="H37" s="121">
        <f xml:space="preserve"> _xlfn.IFNA(INDEX(Drivers!$L$2:$R$104, MATCH(F_interface!$A37&amp;RIGHT(F_interface!H$2, 2), Drivers!$C$2:$C$94, 0), MATCH(F_interface!$J37, Drivers!$L$2:$R$2, 0)),0)</f>
        <v>1462.1320000000001</v>
      </c>
      <c r="I37" s="121">
        <f xml:space="preserve"> _xlfn.IFNA(INDEX(Drivers!$L$2:$R$104, MATCH(F_interface!$A37&amp;RIGHT(F_interface!I$2, 2), Drivers!$C$2:$C$94, 0), MATCH(F_interface!$J37, Drivers!$L$2:$R$2, 0)),0)</f>
        <v>1478.856</v>
      </c>
      <c r="J37" s="122" t="s">
        <v>8</v>
      </c>
      <c r="K37" s="20" t="str">
        <f t="shared" si="0"/>
        <v>AFWC_R3100TOT_PR19CA012</v>
      </c>
      <c r="L37" s="23"/>
      <c r="M37" s="23"/>
    </row>
    <row r="38" spans="1:13" x14ac:dyDescent="0.25">
      <c r="A38" s="120" t="s">
        <v>29</v>
      </c>
      <c r="B38" s="21" t="s">
        <v>160</v>
      </c>
      <c r="C38" s="21" t="s">
        <v>12</v>
      </c>
      <c r="D38" s="21" t="s">
        <v>152</v>
      </c>
      <c r="E38" s="121">
        <f xml:space="preserve"> _xlfn.IFNA(INDEX(Drivers!$L$2:$R$104, MATCH(F_interface!$A38&amp;RIGHT(F_interface!E$2, 2), Drivers!$C$2:$C$94, 0), MATCH(F_interface!$J38, Drivers!$L$2:$R$2, 0)),0)</f>
        <v>508.06900000000002</v>
      </c>
      <c r="F38" s="121">
        <f xml:space="preserve"> _xlfn.IFNA(INDEX(Drivers!$L$2:$R$104, MATCH(F_interface!$A38&amp;RIGHT(F_interface!F$2, 2), Drivers!$C$2:$C$94, 0), MATCH(F_interface!$J38, Drivers!$L$2:$R$2, 0)),0)</f>
        <v>514.02</v>
      </c>
      <c r="G38" s="121">
        <f xml:space="preserve"> _xlfn.IFNA(INDEX(Drivers!$L$2:$R$104, MATCH(F_interface!$A38&amp;RIGHT(F_interface!G$2, 2), Drivers!$C$2:$C$94, 0), MATCH(F_interface!$J38, Drivers!$L$2:$R$2, 0)),0)</f>
        <v>519.48599999999999</v>
      </c>
      <c r="H38" s="121">
        <f xml:space="preserve"> _xlfn.IFNA(INDEX(Drivers!$L$2:$R$104, MATCH(F_interface!$A38&amp;RIGHT(F_interface!H$2, 2), Drivers!$C$2:$C$94, 0), MATCH(F_interface!$J38, Drivers!$L$2:$R$2, 0)),0)</f>
        <v>524.86</v>
      </c>
      <c r="I38" s="121">
        <f xml:space="preserve"> _xlfn.IFNA(INDEX(Drivers!$L$2:$R$104, MATCH(F_interface!$A38&amp;RIGHT(F_interface!I$2, 2), Drivers!$C$2:$C$94, 0), MATCH(F_interface!$J38, Drivers!$L$2:$R$2, 0)),0)</f>
        <v>530.11</v>
      </c>
      <c r="J38" s="122" t="s">
        <v>8</v>
      </c>
      <c r="K38" s="20" t="str">
        <f t="shared" si="0"/>
        <v>BRLC_R3100TOT_PR19CA012</v>
      </c>
      <c r="L38" s="23"/>
      <c r="M38" s="23"/>
    </row>
    <row r="39" spans="1:13" x14ac:dyDescent="0.25">
      <c r="A39" s="120" t="s">
        <v>30</v>
      </c>
      <c r="B39" s="21" t="s">
        <v>160</v>
      </c>
      <c r="C39" s="21" t="s">
        <v>12</v>
      </c>
      <c r="D39" s="21" t="s">
        <v>152</v>
      </c>
      <c r="E39" s="121">
        <f xml:space="preserve"> _xlfn.IFNA(INDEX(Drivers!$L$2:$R$104, MATCH(F_interface!$A39&amp;RIGHT(F_interface!E$2, 2), Drivers!$C$2:$C$94, 0), MATCH(F_interface!$J39, Drivers!$L$2:$R$2, 0)),0)</f>
        <v>118.19099999999999</v>
      </c>
      <c r="F39" s="121">
        <f xml:space="preserve"> _xlfn.IFNA(INDEX(Drivers!$L$2:$R$104, MATCH(F_interface!$A39&amp;RIGHT(F_interface!F$2, 2), Drivers!$C$2:$C$94, 0), MATCH(F_interface!$J39, Drivers!$L$2:$R$2, 0)),0)</f>
        <v>118.91539999999999</v>
      </c>
      <c r="G39" s="121">
        <f xml:space="preserve"> _xlfn.IFNA(INDEX(Drivers!$L$2:$R$104, MATCH(F_interface!$A39&amp;RIGHT(F_interface!G$2, 2), Drivers!$C$2:$C$94, 0), MATCH(F_interface!$J39, Drivers!$L$2:$R$2, 0)),0)</f>
        <v>119.63979999999998</v>
      </c>
      <c r="H39" s="121">
        <f xml:space="preserve"> _xlfn.IFNA(INDEX(Drivers!$L$2:$R$104, MATCH(F_interface!$A39&amp;RIGHT(F_interface!H$2, 2), Drivers!$C$2:$C$94, 0), MATCH(F_interface!$J39, Drivers!$L$2:$R$2, 0)),0)</f>
        <v>120.36419999999998</v>
      </c>
      <c r="I39" s="121">
        <f xml:space="preserve"> _xlfn.IFNA(INDEX(Drivers!$L$2:$R$104, MATCH(F_interface!$A39&amp;RIGHT(F_interface!I$2, 2), Drivers!$C$2:$C$94, 0), MATCH(F_interface!$J39, Drivers!$L$2:$R$2, 0)),0)</f>
        <v>121.08859999999999</v>
      </c>
      <c r="J39" s="122" t="s">
        <v>8</v>
      </c>
      <c r="K39" s="20" t="str">
        <f t="shared" ref="K39" si="2">A39&amp;B39</f>
        <v>DVWC_R3100TOT_PR19CA012</v>
      </c>
      <c r="L39" s="23"/>
      <c r="M39" s="23"/>
    </row>
    <row r="40" spans="1:13" x14ac:dyDescent="0.25">
      <c r="A40" s="120" t="s">
        <v>31</v>
      </c>
      <c r="B40" s="21" t="s">
        <v>160</v>
      </c>
      <c r="C40" s="21" t="s">
        <v>12</v>
      </c>
      <c r="D40" s="21" t="s">
        <v>152</v>
      </c>
      <c r="E40" s="121">
        <f xml:space="preserve"> _xlfn.IFNA(INDEX(Drivers!$L$2:$R$104, MATCH(F_interface!$A40&amp;RIGHT(F_interface!E$2, 2), Drivers!$C$2:$C$94, 0), MATCH(F_interface!$J40, Drivers!$L$2:$R$2, 0)),0)</f>
        <v>300.21699999999998</v>
      </c>
      <c r="F40" s="121">
        <f xml:space="preserve"> _xlfn.IFNA(INDEX(Drivers!$L$2:$R$104, MATCH(F_interface!$A40&amp;RIGHT(F_interface!F$2, 2), Drivers!$C$2:$C$94, 0), MATCH(F_interface!$J40, Drivers!$L$2:$R$2, 0)),0)</f>
        <v>302.077</v>
      </c>
      <c r="G40" s="121">
        <f xml:space="preserve"> _xlfn.IFNA(INDEX(Drivers!$L$2:$R$104, MATCH(F_interface!$A40&amp;RIGHT(F_interface!G$2, 2), Drivers!$C$2:$C$94, 0), MATCH(F_interface!$J40, Drivers!$L$2:$R$2, 0)),0)</f>
        <v>303.95</v>
      </c>
      <c r="H40" s="121">
        <f xml:space="preserve"> _xlfn.IFNA(INDEX(Drivers!$L$2:$R$104, MATCH(F_interface!$A40&amp;RIGHT(F_interface!H$2, 2), Drivers!$C$2:$C$94, 0), MATCH(F_interface!$J40, Drivers!$L$2:$R$2, 0)),0)</f>
        <v>305.86</v>
      </c>
      <c r="I40" s="121">
        <f xml:space="preserve"> _xlfn.IFNA(INDEX(Drivers!$L$2:$R$104, MATCH(F_interface!$A40&amp;RIGHT(F_interface!I$2, 2), Drivers!$C$2:$C$94, 0), MATCH(F_interface!$J40, Drivers!$L$2:$R$2, 0)),0)</f>
        <v>307.834</v>
      </c>
      <c r="J40" s="122" t="s">
        <v>8</v>
      </c>
      <c r="K40" s="20" t="str">
        <f t="shared" si="0"/>
        <v>PRTC_R3100TOT_PR19CA012</v>
      </c>
      <c r="L40" s="23"/>
      <c r="M40" s="23"/>
    </row>
    <row r="41" spans="1:13" x14ac:dyDescent="0.25">
      <c r="A41" s="120" t="s">
        <v>32</v>
      </c>
      <c r="B41" s="21" t="s">
        <v>160</v>
      </c>
      <c r="C41" s="21" t="s">
        <v>12</v>
      </c>
      <c r="D41" s="21" t="s">
        <v>152</v>
      </c>
      <c r="E41" s="121">
        <f xml:space="preserve"> _xlfn.IFNA(INDEX(Drivers!$L$2:$R$104, MATCH(F_interface!$A41&amp;RIGHT(F_interface!E$2, 2), Drivers!$C$2:$C$94, 0), MATCH(F_interface!$J41, Drivers!$L$2:$R$2, 0)),0)</f>
        <v>276.642</v>
      </c>
      <c r="F41" s="121">
        <f xml:space="preserve"> _xlfn.IFNA(INDEX(Drivers!$L$2:$R$104, MATCH(F_interface!$A41&amp;RIGHT(F_interface!F$2, 2), Drivers!$C$2:$C$94, 0), MATCH(F_interface!$J41, Drivers!$L$2:$R$2, 0)),0)</f>
        <v>279.09100000000001</v>
      </c>
      <c r="G41" s="121">
        <f xml:space="preserve"> _xlfn.IFNA(INDEX(Drivers!$L$2:$R$104, MATCH(F_interface!$A41&amp;RIGHT(F_interface!G$2, 2), Drivers!$C$2:$C$94, 0), MATCH(F_interface!$J41, Drivers!$L$2:$R$2, 0)),0)</f>
        <v>281.63099999999997</v>
      </c>
      <c r="H41" s="121">
        <f xml:space="preserve"> _xlfn.IFNA(INDEX(Drivers!$L$2:$R$104, MATCH(F_interface!$A41&amp;RIGHT(F_interface!H$2, 2), Drivers!$C$2:$C$94, 0), MATCH(F_interface!$J41, Drivers!$L$2:$R$2, 0)),0)</f>
        <v>284.25099999999998</v>
      </c>
      <c r="I41" s="121">
        <f xml:space="preserve"> _xlfn.IFNA(INDEX(Drivers!$L$2:$R$104, MATCH(F_interface!$A41&amp;RIGHT(F_interface!I$2, 2), Drivers!$C$2:$C$94, 0), MATCH(F_interface!$J41, Drivers!$L$2:$R$2, 0)),0)</f>
        <v>286.86200000000002</v>
      </c>
      <c r="J41" s="122" t="s">
        <v>8</v>
      </c>
      <c r="K41" s="20" t="str">
        <f t="shared" si="0"/>
        <v>SESC_R3100TOT_PR19CA012</v>
      </c>
      <c r="L41" s="23"/>
      <c r="M41" s="23"/>
    </row>
    <row r="42" spans="1:13" x14ac:dyDescent="0.25">
      <c r="A42" s="120" t="s">
        <v>33</v>
      </c>
      <c r="B42" s="21" t="s">
        <v>160</v>
      </c>
      <c r="C42" s="21" t="s">
        <v>12</v>
      </c>
      <c r="D42" s="21" t="s">
        <v>152</v>
      </c>
      <c r="E42" s="121">
        <f xml:space="preserve"> _xlfn.IFNA(INDEX(Drivers!$L$2:$R$104, MATCH(F_interface!$A42&amp;RIGHT(F_interface!E$2, 2), Drivers!$C$2:$C$94, 0), MATCH(F_interface!$J42, Drivers!$L$2:$R$2, 0)),0)</f>
        <v>879.05399999999997</v>
      </c>
      <c r="F42" s="121">
        <f xml:space="preserve"> _xlfn.IFNA(INDEX(Drivers!$L$2:$R$104, MATCH(F_interface!$A42&amp;RIGHT(F_interface!F$2, 2), Drivers!$C$2:$C$94, 0), MATCH(F_interface!$J42, Drivers!$L$2:$R$2, 0)),0)</f>
        <v>887.64099999999996</v>
      </c>
      <c r="G42" s="121">
        <f xml:space="preserve"> _xlfn.IFNA(INDEX(Drivers!$L$2:$R$104, MATCH(F_interface!$A42&amp;RIGHT(F_interface!G$2, 2), Drivers!$C$2:$C$94, 0), MATCH(F_interface!$J42, Drivers!$L$2:$R$2, 0)),0)</f>
        <v>896.35699999999997</v>
      </c>
      <c r="H42" s="121">
        <f xml:space="preserve"> _xlfn.IFNA(INDEX(Drivers!$L$2:$R$104, MATCH(F_interface!$A42&amp;RIGHT(F_interface!H$2, 2), Drivers!$C$2:$C$94, 0), MATCH(F_interface!$J42, Drivers!$L$2:$R$2, 0)),0)</f>
        <v>905.202</v>
      </c>
      <c r="I42" s="121">
        <f xml:space="preserve"> _xlfn.IFNA(INDEX(Drivers!$L$2:$R$104, MATCH(F_interface!$A42&amp;RIGHT(F_interface!I$2, 2), Drivers!$C$2:$C$94, 0), MATCH(F_interface!$J42, Drivers!$L$2:$R$2, 0)),0)</f>
        <v>914.18200000000002</v>
      </c>
      <c r="J42" s="122" t="s">
        <v>8</v>
      </c>
      <c r="K42" s="20" t="str">
        <f t="shared" si="0"/>
        <v>SEWC_R3100TOT_PR19CA012</v>
      </c>
      <c r="L42" s="23"/>
      <c r="M42" s="23"/>
    </row>
    <row r="43" spans="1:13" x14ac:dyDescent="0.25">
      <c r="A43" s="120" t="s">
        <v>34</v>
      </c>
      <c r="B43" s="21" t="s">
        <v>160</v>
      </c>
      <c r="C43" s="21" t="s">
        <v>12</v>
      </c>
      <c r="D43" s="21" t="s">
        <v>152</v>
      </c>
      <c r="E43" s="121">
        <f xml:space="preserve"> _xlfn.IFNA(INDEX(Drivers!$L$2:$R$104, MATCH(F_interface!$A43&amp;RIGHT(F_interface!E$2, 2), Drivers!$C$2:$C$94, 0), MATCH(F_interface!$J43, Drivers!$L$2:$R$2, 0)),0)</f>
        <v>697.763939836845</v>
      </c>
      <c r="F43" s="121">
        <f xml:space="preserve"> _xlfn.IFNA(INDEX(Drivers!$L$2:$R$104, MATCH(F_interface!$A43&amp;RIGHT(F_interface!F$2, 2), Drivers!$C$2:$C$94, 0), MATCH(F_interface!$J43, Drivers!$L$2:$R$2, 0)),0)</f>
        <v>706.45158898644104</v>
      </c>
      <c r="G43" s="121">
        <f xml:space="preserve"> _xlfn.IFNA(INDEX(Drivers!$L$2:$R$104, MATCH(F_interface!$A43&amp;RIGHT(F_interface!G$2, 2), Drivers!$C$2:$C$94, 0), MATCH(F_interface!$J43, Drivers!$L$2:$R$2, 0)),0)</f>
        <v>714.77319526440601</v>
      </c>
      <c r="H43" s="121">
        <f xml:space="preserve"> _xlfn.IFNA(INDEX(Drivers!$L$2:$R$104, MATCH(F_interface!$A43&amp;RIGHT(F_interface!H$2, 2), Drivers!$C$2:$C$94, 0), MATCH(F_interface!$J43, Drivers!$L$2:$R$2, 0)),0)</f>
        <v>723.60108610310601</v>
      </c>
      <c r="I43" s="121">
        <f xml:space="preserve"> _xlfn.IFNA(INDEX(Drivers!$L$2:$R$104, MATCH(F_interface!$A43&amp;RIGHT(F_interface!I$2, 2), Drivers!$C$2:$C$94, 0), MATCH(F_interface!$J43, Drivers!$L$2:$R$2, 0)),0)</f>
        <v>732.25126722597599</v>
      </c>
      <c r="J43" s="122" t="s">
        <v>8</v>
      </c>
      <c r="K43" s="20" t="str">
        <f t="shared" si="0"/>
        <v>SSCC_R3100TOT_PR19CA012</v>
      </c>
      <c r="L43" s="23"/>
      <c r="M43" s="23"/>
    </row>
    <row r="44" spans="1:13" x14ac:dyDescent="0.25">
      <c r="A44" s="120" t="s">
        <v>20</v>
      </c>
      <c r="B44" s="21" t="s">
        <v>161</v>
      </c>
      <c r="C44" s="21" t="s">
        <v>14</v>
      </c>
      <c r="D44" s="21" t="s">
        <v>152</v>
      </c>
      <c r="E44" s="21">
        <f xml:space="preserve"> _xlfn.IFNA(INDEX(Drivers!$L$2:$R$104, MATCH(F_interface!$A44&amp;RIGHT(F_interface!E$2, 2), Drivers!$C$2:$C$94, 0), MATCH(F_interface!$J44, Drivers!$L$2:$R$2, 0)),0)</f>
        <v>349.49051484818398</v>
      </c>
      <c r="F44" s="21">
        <f xml:space="preserve"> _xlfn.IFNA(INDEX(Drivers!$L$2:$R$104, MATCH(F_interface!$A44&amp;RIGHT(F_interface!F$2, 2), Drivers!$C$2:$C$94, 0), MATCH(F_interface!$J44, Drivers!$L$2:$R$2, 0)),0)</f>
        <v>345.68618325257398</v>
      </c>
      <c r="G44" s="21">
        <f xml:space="preserve"> _xlfn.IFNA(INDEX(Drivers!$L$2:$R$104, MATCH(F_interface!$A44&amp;RIGHT(F_interface!G$2, 2), Drivers!$C$2:$C$94, 0), MATCH(F_interface!$J44, Drivers!$L$2:$R$2, 0)),0)</f>
        <v>346.76635728669697</v>
      </c>
      <c r="H44" s="21">
        <f xml:space="preserve"> _xlfn.IFNA(INDEX(Drivers!$L$2:$R$104, MATCH(F_interface!$A44&amp;RIGHT(F_interface!H$2, 2), Drivers!$C$2:$C$94, 0), MATCH(F_interface!$J44, Drivers!$L$2:$R$2, 0)),0)</f>
        <v>347.98025079461098</v>
      </c>
      <c r="I44" s="21">
        <f xml:space="preserve"> _xlfn.IFNA(INDEX(Drivers!$L$2:$R$104, MATCH(F_interface!$A44&amp;RIGHT(F_interface!I$2, 2), Drivers!$C$2:$C$94, 0), MATCH(F_interface!$J44, Drivers!$L$2:$R$2, 0)),0)</f>
        <v>347.28886947276197</v>
      </c>
      <c r="J44" s="122" t="s">
        <v>9</v>
      </c>
      <c r="K44" s="20" t="str">
        <f t="shared" si="0"/>
        <v>ANHC_REV_HH_PR19CA012</v>
      </c>
      <c r="L44" s="23"/>
      <c r="M44" s="23"/>
    </row>
    <row r="45" spans="1:13" x14ac:dyDescent="0.25">
      <c r="A45" s="120" t="s">
        <v>157</v>
      </c>
      <c r="B45" s="21" t="s">
        <v>161</v>
      </c>
      <c r="C45" s="21" t="s">
        <v>14</v>
      </c>
      <c r="D45" s="21" t="s">
        <v>152</v>
      </c>
      <c r="E45" s="21">
        <f xml:space="preserve"> _xlfn.IFNA(INDEX(Drivers!$L$2:$R$104, MATCH(F_interface!$A45&amp;RIGHT(F_interface!E$2, 2), Drivers!$C$2:$C$94, 0), MATCH(F_interface!$J45, Drivers!$L$2:$R$2, 0)),0)</f>
        <v>0</v>
      </c>
      <c r="F45" s="21">
        <f xml:space="preserve"> _xlfn.IFNA(INDEX(Drivers!$L$2:$R$104, MATCH(F_interface!$A45&amp;RIGHT(F_interface!F$2, 2), Drivers!$C$2:$C$94, 0), MATCH(F_interface!$J45, Drivers!$L$2:$R$2, 0)),0)</f>
        <v>0</v>
      </c>
      <c r="G45" s="21">
        <f xml:space="preserve"> _xlfn.IFNA(INDEX(Drivers!$L$2:$R$104, MATCH(F_interface!$A45&amp;RIGHT(F_interface!G$2, 2), Drivers!$C$2:$C$94, 0), MATCH(F_interface!$J45, Drivers!$L$2:$R$2, 0)),0)</f>
        <v>0</v>
      </c>
      <c r="H45" s="21">
        <f xml:space="preserve"> _xlfn.IFNA(INDEX(Drivers!$L$2:$R$104, MATCH(F_interface!$A45&amp;RIGHT(F_interface!H$2, 2), Drivers!$C$2:$C$94, 0), MATCH(F_interface!$J45, Drivers!$L$2:$R$2, 0)),0)</f>
        <v>0</v>
      </c>
      <c r="I45" s="21">
        <f xml:space="preserve"> _xlfn.IFNA(INDEX(Drivers!$L$2:$R$104, MATCH(F_interface!$A45&amp;RIGHT(F_interface!I$2, 2), Drivers!$C$2:$C$94, 0), MATCH(F_interface!$J45, Drivers!$L$2:$R$2, 0)),0)</f>
        <v>0</v>
      </c>
      <c r="J45" s="122" t="s">
        <v>9</v>
      </c>
      <c r="K45" s="20" t="str">
        <f t="shared" si="0"/>
        <v>HDDC_REV_HH_PR19CA012</v>
      </c>
      <c r="L45" s="23"/>
      <c r="M45" s="23"/>
    </row>
    <row r="46" spans="1:13" x14ac:dyDescent="0.25">
      <c r="A46" s="120" t="s">
        <v>21</v>
      </c>
      <c r="B46" s="21" t="s">
        <v>161</v>
      </c>
      <c r="C46" s="21" t="s">
        <v>14</v>
      </c>
      <c r="D46" s="21" t="s">
        <v>152</v>
      </c>
      <c r="E46" s="21">
        <f xml:space="preserve"> _xlfn.IFNA(INDEX(Drivers!$L$2:$R$104, MATCH(F_interface!$A46&amp;RIGHT(F_interface!E$2, 2), Drivers!$C$2:$C$94, 0), MATCH(F_interface!$J46, Drivers!$L$2:$R$2, 0)),0)</f>
        <v>276.08678538644801</v>
      </c>
      <c r="F46" s="21">
        <f xml:space="preserve"> _xlfn.IFNA(INDEX(Drivers!$L$2:$R$104, MATCH(F_interface!$A46&amp;RIGHT(F_interface!F$2, 2), Drivers!$C$2:$C$94, 0), MATCH(F_interface!$J46, Drivers!$L$2:$R$2, 0)),0)</f>
        <v>273.69810386024398</v>
      </c>
      <c r="G46" s="21">
        <f xml:space="preserve"> _xlfn.IFNA(INDEX(Drivers!$L$2:$R$104, MATCH(F_interface!$A46&amp;RIGHT(F_interface!G$2, 2), Drivers!$C$2:$C$94, 0), MATCH(F_interface!$J46, Drivers!$L$2:$R$2, 0)),0)</f>
        <v>271.50654019073301</v>
      </c>
      <c r="H46" s="21">
        <f xml:space="preserve"> _xlfn.IFNA(INDEX(Drivers!$L$2:$R$104, MATCH(F_interface!$A46&amp;RIGHT(F_interface!H$2, 2), Drivers!$C$2:$C$94, 0), MATCH(F_interface!$J46, Drivers!$L$2:$R$2, 0)),0)</f>
        <v>269.26570393105601</v>
      </c>
      <c r="I46" s="21">
        <f xml:space="preserve"> _xlfn.IFNA(INDEX(Drivers!$L$2:$R$104, MATCH(F_interface!$A46&amp;RIGHT(F_interface!I$2, 2), Drivers!$C$2:$C$94, 0), MATCH(F_interface!$J46, Drivers!$L$2:$R$2, 0)),0)</f>
        <v>267.03965024127302</v>
      </c>
      <c r="J46" s="122" t="s">
        <v>9</v>
      </c>
      <c r="K46" s="20" t="str">
        <f t="shared" si="0"/>
        <v>NESC_REV_HH_PR19CA012</v>
      </c>
      <c r="L46" s="23"/>
      <c r="M46" s="23"/>
    </row>
    <row r="47" spans="1:13" x14ac:dyDescent="0.25">
      <c r="A47" s="120" t="s">
        <v>22</v>
      </c>
      <c r="B47" s="21" t="s">
        <v>161</v>
      </c>
      <c r="C47" s="21" t="s">
        <v>14</v>
      </c>
      <c r="D47" s="21" t="s">
        <v>152</v>
      </c>
      <c r="E47" s="21">
        <f xml:space="preserve"> _xlfn.IFNA(INDEX(Drivers!$L$2:$R$104, MATCH(F_interface!$A47&amp;RIGHT(F_interface!E$2, 2), Drivers!$C$2:$C$94, 0), MATCH(F_interface!$J47, Drivers!$L$2:$R$2, 0)),0)</f>
        <v>385.22408006367402</v>
      </c>
      <c r="F47" s="21">
        <f xml:space="preserve"> _xlfn.IFNA(INDEX(Drivers!$L$2:$R$104, MATCH(F_interface!$A47&amp;RIGHT(F_interface!F$2, 2), Drivers!$C$2:$C$94, 0), MATCH(F_interface!$J47, Drivers!$L$2:$R$2, 0)),0)</f>
        <v>383.337225782693</v>
      </c>
      <c r="G47" s="21">
        <f xml:space="preserve"> _xlfn.IFNA(INDEX(Drivers!$L$2:$R$104, MATCH(F_interface!$A47&amp;RIGHT(F_interface!G$2, 2), Drivers!$C$2:$C$94, 0), MATCH(F_interface!$J47, Drivers!$L$2:$R$2, 0)),0)</f>
        <v>377.720237459315</v>
      </c>
      <c r="H47" s="21">
        <f xml:space="preserve"> _xlfn.IFNA(INDEX(Drivers!$L$2:$R$104, MATCH(F_interface!$A47&amp;RIGHT(F_interface!H$2, 2), Drivers!$C$2:$C$94, 0), MATCH(F_interface!$J47, Drivers!$L$2:$R$2, 0)),0)</f>
        <v>374.38765978617602</v>
      </c>
      <c r="I47" s="21">
        <f xml:space="preserve"> _xlfn.IFNA(INDEX(Drivers!$L$2:$R$104, MATCH(F_interface!$A47&amp;RIGHT(F_interface!I$2, 2), Drivers!$C$2:$C$94, 0), MATCH(F_interface!$J47, Drivers!$L$2:$R$2, 0)),0)</f>
        <v>373.50831402740801</v>
      </c>
      <c r="J47" s="122" t="s">
        <v>9</v>
      </c>
      <c r="K47" s="20" t="str">
        <f t="shared" si="0"/>
        <v>NWTC_REV_HH_PR19CA012</v>
      </c>
      <c r="L47" s="23"/>
      <c r="M47" s="23"/>
    </row>
    <row r="48" spans="1:13" x14ac:dyDescent="0.25">
      <c r="A48" s="120" t="s">
        <v>23</v>
      </c>
      <c r="B48" s="21" t="s">
        <v>161</v>
      </c>
      <c r="C48" s="21" t="s">
        <v>14</v>
      </c>
      <c r="D48" s="21" t="s">
        <v>152</v>
      </c>
      <c r="E48" s="21">
        <f xml:space="preserve"> _xlfn.IFNA(INDEX(Drivers!$L$2:$R$104, MATCH(F_interface!$A48&amp;RIGHT(F_interface!E$2, 2), Drivers!$C$2:$C$94, 0), MATCH(F_interface!$J48, Drivers!$L$2:$R$2, 0)),0)</f>
        <v>316.53642214741802</v>
      </c>
      <c r="F48" s="21">
        <f xml:space="preserve"> _xlfn.IFNA(INDEX(Drivers!$L$2:$R$104, MATCH(F_interface!$A48&amp;RIGHT(F_interface!F$2, 2), Drivers!$C$2:$C$94, 0), MATCH(F_interface!$J48, Drivers!$L$2:$R$2, 0)),0)</f>
        <v>316.53093152111097</v>
      </c>
      <c r="G48" s="21">
        <f xml:space="preserve"> _xlfn.IFNA(INDEX(Drivers!$L$2:$R$104, MATCH(F_interface!$A48&amp;RIGHT(F_interface!G$2, 2), Drivers!$C$2:$C$94, 0), MATCH(F_interface!$J48, Drivers!$L$2:$R$2, 0)),0)</f>
        <v>316.42893725668802</v>
      </c>
      <c r="H48" s="21">
        <f xml:space="preserve"> _xlfn.IFNA(INDEX(Drivers!$L$2:$R$104, MATCH(F_interface!$A48&amp;RIGHT(F_interface!H$2, 2), Drivers!$C$2:$C$94, 0), MATCH(F_interface!$J48, Drivers!$L$2:$R$2, 0)),0)</f>
        <v>316.349952073851</v>
      </c>
      <c r="I48" s="21">
        <f xml:space="preserve"> _xlfn.IFNA(INDEX(Drivers!$L$2:$R$104, MATCH(F_interface!$A48&amp;RIGHT(F_interface!I$2, 2), Drivers!$C$2:$C$94, 0), MATCH(F_interface!$J48, Drivers!$L$2:$R$2, 0)),0)</f>
        <v>316.27312974441298</v>
      </c>
      <c r="J48" s="122" t="s">
        <v>9</v>
      </c>
      <c r="K48" s="20" t="str">
        <f t="shared" si="0"/>
        <v>SRNC_REV_HH_PR19CA012</v>
      </c>
      <c r="L48" s="23"/>
      <c r="M48" s="23"/>
    </row>
    <row r="49" spans="1:13" x14ac:dyDescent="0.25">
      <c r="A49" s="120" t="s">
        <v>156</v>
      </c>
      <c r="B49" s="21" t="s">
        <v>161</v>
      </c>
      <c r="C49" s="21" t="s">
        <v>14</v>
      </c>
      <c r="D49" s="21" t="s">
        <v>152</v>
      </c>
      <c r="E49" s="21">
        <f xml:space="preserve"> _xlfn.IFNA(INDEX(Drivers!$L$2:$R$104, MATCH(F_interface!$A49&amp;RIGHT(F_interface!E$2, 2), Drivers!$C$2:$C$94, 0), MATCH(F_interface!$J49, Drivers!$L$2:$R$2, 0)),0)</f>
        <v>0</v>
      </c>
      <c r="F49" s="21">
        <f xml:space="preserve"> _xlfn.IFNA(INDEX(Drivers!$L$2:$R$104, MATCH(F_interface!$A49&amp;RIGHT(F_interface!F$2, 2), Drivers!$C$2:$C$94, 0), MATCH(F_interface!$J49, Drivers!$L$2:$R$2, 0)),0)</f>
        <v>0</v>
      </c>
      <c r="G49" s="21">
        <f xml:space="preserve"> _xlfn.IFNA(INDEX(Drivers!$L$2:$R$104, MATCH(F_interface!$A49&amp;RIGHT(F_interface!G$2, 2), Drivers!$C$2:$C$94, 0), MATCH(F_interface!$J49, Drivers!$L$2:$R$2, 0)),0)</f>
        <v>0</v>
      </c>
      <c r="H49" s="21">
        <f xml:space="preserve"> _xlfn.IFNA(INDEX(Drivers!$L$2:$R$104, MATCH(F_interface!$A49&amp;RIGHT(F_interface!H$2, 2), Drivers!$C$2:$C$94, 0), MATCH(F_interface!$J49, Drivers!$L$2:$R$2, 0)),0)</f>
        <v>0</v>
      </c>
      <c r="I49" s="21">
        <f xml:space="preserve"> _xlfn.IFNA(INDEX(Drivers!$L$2:$R$104, MATCH(F_interface!$A49&amp;RIGHT(F_interface!I$2, 2), Drivers!$C$2:$C$94, 0), MATCH(F_interface!$J49, Drivers!$L$2:$R$2, 0)),0)</f>
        <v>0</v>
      </c>
      <c r="J49" s="122" t="s">
        <v>9</v>
      </c>
      <c r="K49" s="20" t="str">
        <f t="shared" si="0"/>
        <v>SVEC_REV_HH_PR19CA012</v>
      </c>
      <c r="L49" s="23"/>
      <c r="M49" s="23"/>
    </row>
    <row r="50" spans="1:13" x14ac:dyDescent="0.25">
      <c r="A50" s="120" t="s">
        <v>232</v>
      </c>
      <c r="B50" s="21" t="s">
        <v>161</v>
      </c>
      <c r="C50" s="21" t="s">
        <v>14</v>
      </c>
      <c r="D50" s="21" t="s">
        <v>152</v>
      </c>
      <c r="E50" s="21">
        <f xml:space="preserve"> _xlfn.IFNA(INDEX(Drivers!$L$2:$R$104, MATCH(F_interface!$A50&amp;RIGHT(F_interface!E$2, 2), Drivers!$C$2:$C$94, 0), MATCH(F_interface!$J50, Drivers!$L$2:$R$2, 0)),0)</f>
        <v>281.468840996854</v>
      </c>
      <c r="F50" s="21">
        <f xml:space="preserve"> _xlfn.IFNA(INDEX(Drivers!$L$2:$R$104, MATCH(F_interface!$A50&amp;RIGHT(F_interface!F$2, 2), Drivers!$C$2:$C$94, 0), MATCH(F_interface!$J50, Drivers!$L$2:$R$2, 0)),0)</f>
        <v>285.80991301842198</v>
      </c>
      <c r="G50" s="21">
        <f xml:space="preserve"> _xlfn.IFNA(INDEX(Drivers!$L$2:$R$104, MATCH(F_interface!$A50&amp;RIGHT(F_interface!G$2, 2), Drivers!$C$2:$C$94, 0), MATCH(F_interface!$J50, Drivers!$L$2:$R$2, 0)),0)</f>
        <v>286.917610053575</v>
      </c>
      <c r="H50" s="21">
        <f xml:space="preserve"> _xlfn.IFNA(INDEX(Drivers!$L$2:$R$104, MATCH(F_interface!$A50&amp;RIGHT(F_interface!H$2, 2), Drivers!$C$2:$C$94, 0), MATCH(F_interface!$J50, Drivers!$L$2:$R$2, 0)),0)</f>
        <v>285.51822469257303</v>
      </c>
      <c r="I50" s="21">
        <f xml:space="preserve"> _xlfn.IFNA(INDEX(Drivers!$L$2:$R$104, MATCH(F_interface!$A50&amp;RIGHT(F_interface!I$2, 2), Drivers!$C$2:$C$94, 0), MATCH(F_interface!$J50, Drivers!$L$2:$R$2, 0)),0)</f>
        <v>280.48859552612799</v>
      </c>
      <c r="J50" s="122" t="s">
        <v>9</v>
      </c>
      <c r="K50" s="20" t="str">
        <f t="shared" ref="K50:K63" si="3">A50&amp;B50</f>
        <v>SVHC_REV_HH_PR19CA012</v>
      </c>
      <c r="L50" s="23"/>
      <c r="M50" s="23"/>
    </row>
    <row r="51" spans="1:13" x14ac:dyDescent="0.25">
      <c r="A51" s="120" t="s">
        <v>24</v>
      </c>
      <c r="B51" s="21" t="s">
        <v>161</v>
      </c>
      <c r="C51" s="21" t="s">
        <v>14</v>
      </c>
      <c r="D51" s="21" t="s">
        <v>152</v>
      </c>
      <c r="E51" s="21">
        <f xml:space="preserve"> _xlfn.IFNA(INDEX(Drivers!$L$2:$R$104, MATCH(F_interface!$A51&amp;RIGHT(F_interface!E$2, 2), Drivers!$C$2:$C$94, 0), MATCH(F_interface!$J51, Drivers!$L$2:$R$2, 0)),0)</f>
        <v>266.24016328771251</v>
      </c>
      <c r="F51" s="21">
        <f xml:space="preserve"> _xlfn.IFNA(INDEX(Drivers!$L$2:$R$104, MATCH(F_interface!$A51&amp;RIGHT(F_interface!F$2, 2), Drivers!$C$2:$C$94, 0), MATCH(F_interface!$J51, Drivers!$L$2:$R$2, 0)),0)</f>
        <v>259.36434381439983</v>
      </c>
      <c r="G51" s="21">
        <f xml:space="preserve"> _xlfn.IFNA(INDEX(Drivers!$L$2:$R$104, MATCH(F_interface!$A51&amp;RIGHT(F_interface!G$2, 2), Drivers!$C$2:$C$94, 0), MATCH(F_interface!$J51, Drivers!$L$2:$R$2, 0)),0)</f>
        <v>252.4885243410871</v>
      </c>
      <c r="H51" s="21">
        <f xml:space="preserve"> _xlfn.IFNA(INDEX(Drivers!$L$2:$R$104, MATCH(F_interface!$A51&amp;RIGHT(F_interface!H$2, 2), Drivers!$C$2:$C$94, 0), MATCH(F_interface!$J51, Drivers!$L$2:$R$2, 0)),0)</f>
        <v>245.6127048677744</v>
      </c>
      <c r="I51" s="21">
        <f xml:space="preserve"> _xlfn.IFNA(INDEX(Drivers!$L$2:$R$104, MATCH(F_interface!$A51&amp;RIGHT(F_interface!I$2, 2), Drivers!$C$2:$C$94, 0), MATCH(F_interface!$J51, Drivers!$L$2:$R$2, 0)),0)</f>
        <v>238.73688539446169</v>
      </c>
      <c r="J51" s="122" t="s">
        <v>9</v>
      </c>
      <c r="K51" s="20" t="str">
        <f t="shared" si="3"/>
        <v>SVTC_REV_HH_PR19CA012</v>
      </c>
      <c r="L51" s="23"/>
      <c r="M51" s="23"/>
    </row>
    <row r="52" spans="1:13" x14ac:dyDescent="0.25">
      <c r="A52" s="120" t="s">
        <v>35</v>
      </c>
      <c r="B52" s="21" t="s">
        <v>161</v>
      </c>
      <c r="C52" s="21" t="s">
        <v>14</v>
      </c>
      <c r="D52" s="21" t="s">
        <v>152</v>
      </c>
      <c r="E52" s="21">
        <f xml:space="preserve"> _xlfn.IFNA(INDEX(Drivers!$L$2:$R$104, MATCH(F_interface!$A52&amp;RIGHT(F_interface!E$2, 2), Drivers!$C$2:$C$94, 0), MATCH(F_interface!$J52, Drivers!$L$2:$R$2, 0)),0)</f>
        <v>407.150283883626</v>
      </c>
      <c r="F52" s="21">
        <f xml:space="preserve"> _xlfn.IFNA(INDEX(Drivers!$L$2:$R$104, MATCH(F_interface!$A52&amp;RIGHT(F_interface!F$2, 2), Drivers!$C$2:$C$94, 0), MATCH(F_interface!$J52, Drivers!$L$2:$R$2, 0)),0)</f>
        <v>402.43710902083598</v>
      </c>
      <c r="G52" s="21">
        <f xml:space="preserve"> _xlfn.IFNA(INDEX(Drivers!$L$2:$R$104, MATCH(F_interface!$A52&amp;RIGHT(F_interface!G$2, 2), Drivers!$C$2:$C$94, 0), MATCH(F_interface!$J52, Drivers!$L$2:$R$2, 0)),0)</f>
        <v>394.19595505413997</v>
      </c>
      <c r="H52" s="21">
        <f xml:space="preserve"> _xlfn.IFNA(INDEX(Drivers!$L$2:$R$104, MATCH(F_interface!$A52&amp;RIGHT(F_interface!H$2, 2), Drivers!$C$2:$C$94, 0), MATCH(F_interface!$J52, Drivers!$L$2:$R$2, 0)),0)</f>
        <v>387.29107740497801</v>
      </c>
      <c r="I52" s="21">
        <f xml:space="preserve"> _xlfn.IFNA(INDEX(Drivers!$L$2:$R$104, MATCH(F_interface!$A52&amp;RIGHT(F_interface!I$2, 2), Drivers!$C$2:$C$94, 0), MATCH(F_interface!$J52, Drivers!$L$2:$R$2, 0)),0)</f>
        <v>379.47975585893602</v>
      </c>
      <c r="J52" s="122" t="s">
        <v>9</v>
      </c>
      <c r="K52" s="20" t="str">
        <f t="shared" si="3"/>
        <v>SWBC_REV_HH_PR19CA012</v>
      </c>
      <c r="L52" s="23"/>
      <c r="M52" s="23"/>
    </row>
    <row r="53" spans="1:13" x14ac:dyDescent="0.25">
      <c r="A53" s="120" t="s">
        <v>25</v>
      </c>
      <c r="B53" s="21" t="s">
        <v>161</v>
      </c>
      <c r="C53" s="21" t="s">
        <v>14</v>
      </c>
      <c r="D53" s="21" t="s">
        <v>152</v>
      </c>
      <c r="E53" s="21">
        <f xml:space="preserve"> _xlfn.IFNA(INDEX(Drivers!$L$2:$R$104, MATCH(F_interface!$A53&amp;RIGHT(F_interface!E$2, 2), Drivers!$C$2:$C$94, 0), MATCH(F_interface!$J53, Drivers!$L$2:$R$2, 0)),0)</f>
        <v>288.31774438681998</v>
      </c>
      <c r="F53" s="21">
        <f xml:space="preserve"> _xlfn.IFNA(INDEX(Drivers!$L$2:$R$104, MATCH(F_interface!$A53&amp;RIGHT(F_interface!F$2, 2), Drivers!$C$2:$C$94, 0), MATCH(F_interface!$J53, Drivers!$L$2:$R$2, 0)),0)</f>
        <v>293.03371789939098</v>
      </c>
      <c r="G53" s="21">
        <f xml:space="preserve"> _xlfn.IFNA(INDEX(Drivers!$L$2:$R$104, MATCH(F_interface!$A53&amp;RIGHT(F_interface!G$2, 2), Drivers!$C$2:$C$94, 0), MATCH(F_interface!$J53, Drivers!$L$2:$R$2, 0)),0)</f>
        <v>295.06030603563102</v>
      </c>
      <c r="H53" s="21">
        <f xml:space="preserve"> _xlfn.IFNA(INDEX(Drivers!$L$2:$R$104, MATCH(F_interface!$A53&amp;RIGHT(F_interface!H$2, 2), Drivers!$C$2:$C$94, 0), MATCH(F_interface!$J53, Drivers!$L$2:$R$2, 0)),0)</f>
        <v>295.149176804072</v>
      </c>
      <c r="I53" s="21">
        <f xml:space="preserve"> _xlfn.IFNA(INDEX(Drivers!$L$2:$R$104, MATCH(F_interface!$A53&amp;RIGHT(F_interface!I$2, 2), Drivers!$C$2:$C$94, 0), MATCH(F_interface!$J53, Drivers!$L$2:$R$2, 0)),0)</f>
        <v>295.35338998157903</v>
      </c>
      <c r="J53" s="122" t="s">
        <v>9</v>
      </c>
      <c r="K53" s="20" t="str">
        <f t="shared" si="3"/>
        <v>TMSC_REV_HH_PR19CA012</v>
      </c>
      <c r="L53" s="23"/>
      <c r="M53" s="23"/>
    </row>
    <row r="54" spans="1:13" x14ac:dyDescent="0.25">
      <c r="A54" s="120" t="s">
        <v>41</v>
      </c>
      <c r="B54" s="21" t="s">
        <v>161</v>
      </c>
      <c r="C54" s="21" t="s">
        <v>14</v>
      </c>
      <c r="D54" s="21" t="s">
        <v>152</v>
      </c>
      <c r="E54" s="21">
        <f xml:space="preserve"> _xlfn.IFNA(INDEX(Drivers!$L$2:$R$104, MATCH(F_interface!$A54&amp;RIGHT(F_interface!E$2, 2), Drivers!$C$2:$C$94, 0), MATCH(F_interface!$J54, Drivers!$L$2:$R$2, 0)),0)</f>
        <v>387.48214501183702</v>
      </c>
      <c r="F54" s="21">
        <f xml:space="preserve"> _xlfn.IFNA(INDEX(Drivers!$L$2:$R$104, MATCH(F_interface!$A54&amp;RIGHT(F_interface!F$2, 2), Drivers!$C$2:$C$94, 0), MATCH(F_interface!$J54, Drivers!$L$2:$R$2, 0)),0)</f>
        <v>387.21153396367401</v>
      </c>
      <c r="G54" s="21">
        <f xml:space="preserve"> _xlfn.IFNA(INDEX(Drivers!$L$2:$R$104, MATCH(F_interface!$A54&amp;RIGHT(F_interface!G$2, 2), Drivers!$C$2:$C$94, 0), MATCH(F_interface!$J54, Drivers!$L$2:$R$2, 0)),0)</f>
        <v>386.99237499254002</v>
      </c>
      <c r="H54" s="21">
        <f xml:space="preserve"> _xlfn.IFNA(INDEX(Drivers!$L$2:$R$104, MATCH(F_interface!$A54&amp;RIGHT(F_interface!H$2, 2), Drivers!$C$2:$C$94, 0), MATCH(F_interface!$J54, Drivers!$L$2:$R$2, 0)),0)</f>
        <v>386.76163949524801</v>
      </c>
      <c r="I54" s="21">
        <f xml:space="preserve"> _xlfn.IFNA(INDEX(Drivers!$L$2:$R$104, MATCH(F_interface!$A54&amp;RIGHT(F_interface!I$2, 2), Drivers!$C$2:$C$94, 0), MATCH(F_interface!$J54, Drivers!$L$2:$R$2, 0)),0)</f>
        <v>386.50069359287698</v>
      </c>
      <c r="J54" s="122" t="s">
        <v>9</v>
      </c>
      <c r="K54" s="20" t="str">
        <f t="shared" si="3"/>
        <v>WSHC_REV_HH_PR19CA012</v>
      </c>
      <c r="L54" s="23"/>
      <c r="M54" s="23"/>
    </row>
    <row r="55" spans="1:13" x14ac:dyDescent="0.25">
      <c r="A55" s="120" t="s">
        <v>26</v>
      </c>
      <c r="B55" s="21" t="s">
        <v>161</v>
      </c>
      <c r="C55" s="21" t="s">
        <v>14</v>
      </c>
      <c r="D55" s="21" t="s">
        <v>152</v>
      </c>
      <c r="E55" s="21">
        <f xml:space="preserve"> _xlfn.IFNA(INDEX(Drivers!$L$2:$R$104, MATCH(F_interface!$A55&amp;RIGHT(F_interface!E$2, 2), Drivers!$C$2:$C$94, 0), MATCH(F_interface!$J55, Drivers!$L$2:$R$2, 0)),0)</f>
        <v>296.09652832643201</v>
      </c>
      <c r="F55" s="21">
        <f xml:space="preserve"> _xlfn.IFNA(INDEX(Drivers!$L$2:$R$104, MATCH(F_interface!$A55&amp;RIGHT(F_interface!F$2, 2), Drivers!$C$2:$C$94, 0), MATCH(F_interface!$J55, Drivers!$L$2:$R$2, 0)),0)</f>
        <v>301.099718933031</v>
      </c>
      <c r="G55" s="21">
        <f xml:space="preserve"> _xlfn.IFNA(INDEX(Drivers!$L$2:$R$104, MATCH(F_interface!$A55&amp;RIGHT(F_interface!G$2, 2), Drivers!$C$2:$C$94, 0), MATCH(F_interface!$J55, Drivers!$L$2:$R$2, 0)),0)</f>
        <v>307.02900116847798</v>
      </c>
      <c r="H55" s="21">
        <f xml:space="preserve"> _xlfn.IFNA(INDEX(Drivers!$L$2:$R$104, MATCH(F_interface!$A55&amp;RIGHT(F_interface!H$2, 2), Drivers!$C$2:$C$94, 0), MATCH(F_interface!$J55, Drivers!$L$2:$R$2, 0)),0)</f>
        <v>311.22237162347102</v>
      </c>
      <c r="I55" s="21">
        <f xml:space="preserve"> _xlfn.IFNA(INDEX(Drivers!$L$2:$R$104, MATCH(F_interface!$A55&amp;RIGHT(F_interface!I$2, 2), Drivers!$C$2:$C$94, 0), MATCH(F_interface!$J55, Drivers!$L$2:$R$2, 0)),0)</f>
        <v>316.02533116017599</v>
      </c>
      <c r="J55" s="122" t="s">
        <v>9</v>
      </c>
      <c r="K55" s="20" t="str">
        <f t="shared" si="3"/>
        <v>WSXC_REV_HH_PR19CA012</v>
      </c>
      <c r="L55" s="23"/>
      <c r="M55" s="23"/>
    </row>
    <row r="56" spans="1:13" x14ac:dyDescent="0.25">
      <c r="A56" s="120" t="s">
        <v>27</v>
      </c>
      <c r="B56" s="21" t="s">
        <v>161</v>
      </c>
      <c r="C56" s="21" t="s">
        <v>14</v>
      </c>
      <c r="D56" s="21" t="s">
        <v>152</v>
      </c>
      <c r="E56" s="21">
        <f xml:space="preserve"> _xlfn.IFNA(INDEX(Drivers!$L$2:$R$104, MATCH(F_interface!$A56&amp;RIGHT(F_interface!E$2, 2), Drivers!$C$2:$C$94, 0), MATCH(F_interface!$J56, Drivers!$L$2:$R$2, 0)),0)</f>
        <v>360.83132827339398</v>
      </c>
      <c r="F56" s="21">
        <f xml:space="preserve"> _xlfn.IFNA(INDEX(Drivers!$L$2:$R$104, MATCH(F_interface!$A56&amp;RIGHT(F_interface!F$2, 2), Drivers!$C$2:$C$94, 0), MATCH(F_interface!$J56, Drivers!$L$2:$R$2, 0)),0)</f>
        <v>360.88513179309302</v>
      </c>
      <c r="G56" s="21">
        <f xml:space="preserve"> _xlfn.IFNA(INDEX(Drivers!$L$2:$R$104, MATCH(F_interface!$A56&amp;RIGHT(F_interface!G$2, 2), Drivers!$C$2:$C$94, 0), MATCH(F_interface!$J56, Drivers!$L$2:$R$2, 0)),0)</f>
        <v>360.90394099196197</v>
      </c>
      <c r="H56" s="21">
        <f xml:space="preserve"> _xlfn.IFNA(INDEX(Drivers!$L$2:$R$104, MATCH(F_interface!$A56&amp;RIGHT(F_interface!H$2, 2), Drivers!$C$2:$C$94, 0), MATCH(F_interface!$J56, Drivers!$L$2:$R$2, 0)),0)</f>
        <v>360.91820465205501</v>
      </c>
      <c r="I56" s="21">
        <f xml:space="preserve"> _xlfn.IFNA(INDEX(Drivers!$L$2:$R$104, MATCH(F_interface!$A56&amp;RIGHT(F_interface!I$2, 2), Drivers!$C$2:$C$94, 0), MATCH(F_interface!$J56, Drivers!$L$2:$R$2, 0)),0)</f>
        <v>360.94514556161403</v>
      </c>
      <c r="J56" s="122" t="s">
        <v>9</v>
      </c>
      <c r="K56" s="20" t="str">
        <f t="shared" si="3"/>
        <v>YKYC_REV_HH_PR19CA012</v>
      </c>
      <c r="L56" s="23"/>
      <c r="M56" s="23"/>
    </row>
    <row r="57" spans="1:13" x14ac:dyDescent="0.25">
      <c r="A57" s="120" t="s">
        <v>28</v>
      </c>
      <c r="B57" s="21" t="s">
        <v>161</v>
      </c>
      <c r="C57" s="21" t="s">
        <v>14</v>
      </c>
      <c r="D57" s="21" t="s">
        <v>152</v>
      </c>
      <c r="E57" s="21">
        <f xml:space="preserve"> _xlfn.IFNA(INDEX(Drivers!$L$2:$R$104, MATCH(F_interface!$A57&amp;RIGHT(F_interface!E$2, 2), Drivers!$C$2:$C$94, 0), MATCH(F_interface!$J57, Drivers!$L$2:$R$2, 0)),0)</f>
        <v>172.382795223496</v>
      </c>
      <c r="F57" s="21">
        <f xml:space="preserve"> _xlfn.IFNA(INDEX(Drivers!$L$2:$R$104, MATCH(F_interface!$A57&amp;RIGHT(F_interface!F$2, 2), Drivers!$C$2:$C$94, 0), MATCH(F_interface!$J57, Drivers!$L$2:$R$2, 0)),0)</f>
        <v>171.83030805057501</v>
      </c>
      <c r="G57" s="21">
        <f xml:space="preserve"> _xlfn.IFNA(INDEX(Drivers!$L$2:$R$104, MATCH(F_interface!$A57&amp;RIGHT(F_interface!G$2, 2), Drivers!$C$2:$C$94, 0), MATCH(F_interface!$J57, Drivers!$L$2:$R$2, 0)),0)</f>
        <v>171.350997549596</v>
      </c>
      <c r="H57" s="21">
        <f xml:space="preserve"> _xlfn.IFNA(INDEX(Drivers!$L$2:$R$104, MATCH(F_interface!$A57&amp;RIGHT(F_interface!H$2, 2), Drivers!$C$2:$C$94, 0), MATCH(F_interface!$J57, Drivers!$L$2:$R$2, 0)),0)</f>
        <v>170.913768653528</v>
      </c>
      <c r="I57" s="21">
        <f xml:space="preserve"> _xlfn.IFNA(INDEX(Drivers!$L$2:$R$104, MATCH(F_interface!$A57&amp;RIGHT(F_interface!I$2, 2), Drivers!$C$2:$C$94, 0), MATCH(F_interface!$J57, Drivers!$L$2:$R$2, 0)),0)</f>
        <v>170.35892339084299</v>
      </c>
      <c r="J57" s="122" t="s">
        <v>9</v>
      </c>
      <c r="K57" s="20" t="str">
        <f t="shared" si="3"/>
        <v>AFWC_REV_HH_PR19CA012</v>
      </c>
      <c r="L57" s="23"/>
      <c r="M57" s="23"/>
    </row>
    <row r="58" spans="1:13" x14ac:dyDescent="0.25">
      <c r="A58" s="120" t="s">
        <v>29</v>
      </c>
      <c r="B58" s="21" t="s">
        <v>161</v>
      </c>
      <c r="C58" s="21" t="s">
        <v>14</v>
      </c>
      <c r="D58" s="21" t="s">
        <v>152</v>
      </c>
      <c r="E58" s="21">
        <f xml:space="preserve"> _xlfn.IFNA(INDEX(Drivers!$L$2:$R$104, MATCH(F_interface!$A58&amp;RIGHT(F_interface!E$2, 2), Drivers!$C$2:$C$94, 0), MATCH(F_interface!$J58, Drivers!$L$2:$R$2, 0)),0)</f>
        <v>174.888742252604</v>
      </c>
      <c r="F58" s="21">
        <f xml:space="preserve"> _xlfn.IFNA(INDEX(Drivers!$L$2:$R$104, MATCH(F_interface!$A58&amp;RIGHT(F_interface!F$2, 2), Drivers!$C$2:$C$94, 0), MATCH(F_interface!$J58, Drivers!$L$2:$R$2, 0)),0)</f>
        <v>174.344420217389</v>
      </c>
      <c r="G58" s="21">
        <f xml:space="preserve"> _xlfn.IFNA(INDEX(Drivers!$L$2:$R$104, MATCH(F_interface!$A58&amp;RIGHT(F_interface!G$2, 2), Drivers!$C$2:$C$94, 0), MATCH(F_interface!$J58, Drivers!$L$2:$R$2, 0)),0)</f>
        <v>173.556556051847</v>
      </c>
      <c r="H58" s="21">
        <f xml:space="preserve"> _xlfn.IFNA(INDEX(Drivers!$L$2:$R$104, MATCH(F_interface!$A58&amp;RIGHT(F_interface!H$2, 2), Drivers!$C$2:$C$94, 0), MATCH(F_interface!$J58, Drivers!$L$2:$R$2, 0)),0)</f>
        <v>172.97459705647299</v>
      </c>
      <c r="I58" s="21">
        <f xml:space="preserve"> _xlfn.IFNA(INDEX(Drivers!$L$2:$R$104, MATCH(F_interface!$A58&amp;RIGHT(F_interface!I$2, 2), Drivers!$C$2:$C$94, 0), MATCH(F_interface!$J58, Drivers!$L$2:$R$2, 0)),0)</f>
        <v>172.04682598427499</v>
      </c>
      <c r="J58" s="122" t="s">
        <v>9</v>
      </c>
      <c r="K58" s="20" t="str">
        <f t="shared" si="3"/>
        <v>BRLC_REV_HH_PR19CA012</v>
      </c>
      <c r="L58" s="23"/>
      <c r="M58" s="23"/>
    </row>
    <row r="59" spans="1:13" x14ac:dyDescent="0.25">
      <c r="A59" s="120" t="s">
        <v>30</v>
      </c>
      <c r="B59" s="21" t="s">
        <v>161</v>
      </c>
      <c r="C59" s="21" t="s">
        <v>14</v>
      </c>
      <c r="D59" s="21" t="s">
        <v>152</v>
      </c>
      <c r="E59" s="21">
        <f xml:space="preserve"> _xlfn.IFNA(INDEX(Drivers!$L$2:$R$104, MATCH(F_interface!$A59&amp;RIGHT(F_interface!E$2, 2), Drivers!$C$2:$C$94, 0), MATCH(F_interface!$J59, Drivers!$L$2:$R$2, 0)),0)</f>
        <v>142.53597945586509</v>
      </c>
      <c r="F59" s="21">
        <f xml:space="preserve"> _xlfn.IFNA(INDEX(Drivers!$L$2:$R$104, MATCH(F_interface!$A59&amp;RIGHT(F_interface!F$2, 2), Drivers!$C$2:$C$94, 0), MATCH(F_interface!$J59, Drivers!$L$2:$R$2, 0)),0)</f>
        <v>140.5288073436316</v>
      </c>
      <c r="G59" s="21">
        <f xml:space="preserve"> _xlfn.IFNA(INDEX(Drivers!$L$2:$R$104, MATCH(F_interface!$A59&amp;RIGHT(F_interface!G$2, 2), Drivers!$C$2:$C$94, 0), MATCH(F_interface!$J59, Drivers!$L$2:$R$2, 0)),0)</f>
        <v>138.52163523139808</v>
      </c>
      <c r="H59" s="21">
        <f xml:space="preserve"> _xlfn.IFNA(INDEX(Drivers!$L$2:$R$104, MATCH(F_interface!$A59&amp;RIGHT(F_interface!H$2, 2), Drivers!$C$2:$C$94, 0), MATCH(F_interface!$J59, Drivers!$L$2:$R$2, 0)),0)</f>
        <v>136.51446311916459</v>
      </c>
      <c r="I59" s="21">
        <f xml:space="preserve"> _xlfn.IFNA(INDEX(Drivers!$L$2:$R$104, MATCH(F_interface!$A59&amp;RIGHT(F_interface!I$2, 2), Drivers!$C$2:$C$94, 0), MATCH(F_interface!$J59, Drivers!$L$2:$R$2, 0)),0)</f>
        <v>134.5072910069311</v>
      </c>
      <c r="J59" s="122" t="s">
        <v>9</v>
      </c>
      <c r="K59" s="20" t="str">
        <f t="shared" si="3"/>
        <v>DVWC_REV_HH_PR19CA012</v>
      </c>
      <c r="L59" s="23"/>
      <c r="M59" s="23"/>
    </row>
    <row r="60" spans="1:13" x14ac:dyDescent="0.25">
      <c r="A60" s="120" t="s">
        <v>31</v>
      </c>
      <c r="B60" s="21" t="s">
        <v>161</v>
      </c>
      <c r="C60" s="21" t="s">
        <v>14</v>
      </c>
      <c r="D60" s="21" t="s">
        <v>152</v>
      </c>
      <c r="E60" s="21">
        <f xml:space="preserve"> _xlfn.IFNA(INDEX(Drivers!$L$2:$R$104, MATCH(F_interface!$A60&amp;RIGHT(F_interface!E$2, 2), Drivers!$C$2:$C$94, 0), MATCH(F_interface!$J60, Drivers!$L$2:$R$2, 0)),0)</f>
        <v>96.984582884855797</v>
      </c>
      <c r="F60" s="21">
        <f xml:space="preserve"> _xlfn.IFNA(INDEX(Drivers!$L$2:$R$104, MATCH(F_interface!$A60&amp;RIGHT(F_interface!F$2, 2), Drivers!$C$2:$C$94, 0), MATCH(F_interface!$J60, Drivers!$L$2:$R$2, 0)),0)</f>
        <v>96.908776673277899</v>
      </c>
      <c r="G60" s="21">
        <f xml:space="preserve"> _xlfn.IFNA(INDEX(Drivers!$L$2:$R$104, MATCH(F_interface!$A60&amp;RIGHT(F_interface!G$2, 2), Drivers!$C$2:$C$94, 0), MATCH(F_interface!$J60, Drivers!$L$2:$R$2, 0)),0)</f>
        <v>96.953855291051795</v>
      </c>
      <c r="H60" s="21">
        <f xml:space="preserve"> _xlfn.IFNA(INDEX(Drivers!$L$2:$R$104, MATCH(F_interface!$A60&amp;RIGHT(F_interface!H$2, 2), Drivers!$C$2:$C$94, 0), MATCH(F_interface!$J60, Drivers!$L$2:$R$2, 0)),0)</f>
        <v>97.052064407547306</v>
      </c>
      <c r="I60" s="21">
        <f xml:space="preserve"> _xlfn.IFNA(INDEX(Drivers!$L$2:$R$104, MATCH(F_interface!$A60&amp;RIGHT(F_interface!I$2, 2), Drivers!$C$2:$C$94, 0), MATCH(F_interface!$J60, Drivers!$L$2:$R$2, 0)),0)</f>
        <v>97.333409082026506</v>
      </c>
      <c r="J60" s="122" t="s">
        <v>9</v>
      </c>
      <c r="K60" s="20" t="str">
        <f t="shared" si="3"/>
        <v>PRTC_REV_HH_PR19CA012</v>
      </c>
      <c r="L60" s="23"/>
      <c r="M60" s="23"/>
    </row>
    <row r="61" spans="1:13" x14ac:dyDescent="0.25">
      <c r="A61" s="120" t="s">
        <v>32</v>
      </c>
      <c r="B61" s="21" t="s">
        <v>161</v>
      </c>
      <c r="C61" s="21" t="s">
        <v>14</v>
      </c>
      <c r="D61" s="21" t="s">
        <v>152</v>
      </c>
      <c r="E61" s="21">
        <f xml:space="preserve"> _xlfn.IFNA(INDEX(Drivers!$L$2:$R$104, MATCH(F_interface!$A61&amp;RIGHT(F_interface!E$2, 2), Drivers!$C$2:$C$94, 0), MATCH(F_interface!$J61, Drivers!$L$2:$R$2, 0)),0)</f>
        <v>181.781911279665</v>
      </c>
      <c r="F61" s="21">
        <f xml:space="preserve"> _xlfn.IFNA(INDEX(Drivers!$L$2:$R$104, MATCH(F_interface!$A61&amp;RIGHT(F_interface!F$2, 2), Drivers!$C$2:$C$94, 0), MATCH(F_interface!$J61, Drivers!$L$2:$R$2, 0)),0)</f>
        <v>182.10992731686099</v>
      </c>
      <c r="G61" s="21">
        <f xml:space="preserve"> _xlfn.IFNA(INDEX(Drivers!$L$2:$R$104, MATCH(F_interface!$A61&amp;RIGHT(F_interface!G$2, 2), Drivers!$C$2:$C$94, 0), MATCH(F_interface!$J61, Drivers!$L$2:$R$2, 0)),0)</f>
        <v>181.77718737999501</v>
      </c>
      <c r="H61" s="21">
        <f xml:space="preserve"> _xlfn.IFNA(INDEX(Drivers!$L$2:$R$104, MATCH(F_interface!$A61&amp;RIGHT(F_interface!H$2, 2), Drivers!$C$2:$C$94, 0), MATCH(F_interface!$J61, Drivers!$L$2:$R$2, 0)),0)</f>
        <v>181.49858584688599</v>
      </c>
      <c r="I61" s="21">
        <f xml:space="preserve"> _xlfn.IFNA(INDEX(Drivers!$L$2:$R$104, MATCH(F_interface!$A61&amp;RIGHT(F_interface!I$2, 2), Drivers!$C$2:$C$94, 0), MATCH(F_interface!$J61, Drivers!$L$2:$R$2, 0)),0)</f>
        <v>180.20240880311701</v>
      </c>
      <c r="J61" s="122" t="s">
        <v>9</v>
      </c>
      <c r="K61" s="20" t="str">
        <f t="shared" si="3"/>
        <v>SESC_REV_HH_PR19CA012</v>
      </c>
      <c r="L61" s="23"/>
      <c r="M61" s="23"/>
    </row>
    <row r="62" spans="1:13" x14ac:dyDescent="0.25">
      <c r="A62" s="120" t="s">
        <v>33</v>
      </c>
      <c r="B62" s="21" t="s">
        <v>161</v>
      </c>
      <c r="C62" s="21" t="s">
        <v>14</v>
      </c>
      <c r="D62" s="21" t="s">
        <v>152</v>
      </c>
      <c r="E62" s="21">
        <f xml:space="preserve"> _xlfn.IFNA(INDEX(Drivers!$L$2:$R$104, MATCH(F_interface!$A62&amp;RIGHT(F_interface!E$2, 2), Drivers!$C$2:$C$94, 0), MATCH(F_interface!$J62, Drivers!$L$2:$R$2, 0)),0)</f>
        <v>203.75645940021801</v>
      </c>
      <c r="F62" s="21">
        <f xml:space="preserve"> _xlfn.IFNA(INDEX(Drivers!$L$2:$R$104, MATCH(F_interface!$A62&amp;RIGHT(F_interface!F$2, 2), Drivers!$C$2:$C$94, 0), MATCH(F_interface!$J62, Drivers!$L$2:$R$2, 0)),0)</f>
        <v>203.752125961546</v>
      </c>
      <c r="G62" s="21">
        <f xml:space="preserve"> _xlfn.IFNA(INDEX(Drivers!$L$2:$R$104, MATCH(F_interface!$A62&amp;RIGHT(F_interface!G$2, 2), Drivers!$C$2:$C$94, 0), MATCH(F_interface!$J62, Drivers!$L$2:$R$2, 0)),0)</f>
        <v>203.75568925653201</v>
      </c>
      <c r="H62" s="21">
        <f xml:space="preserve"> _xlfn.IFNA(INDEX(Drivers!$L$2:$R$104, MATCH(F_interface!$A62&amp;RIGHT(F_interface!H$2, 2), Drivers!$C$2:$C$94, 0), MATCH(F_interface!$J62, Drivers!$L$2:$R$2, 0)),0)</f>
        <v>203.75464471779901</v>
      </c>
      <c r="I62" s="21">
        <f xml:space="preserve"> _xlfn.IFNA(INDEX(Drivers!$L$2:$R$104, MATCH(F_interface!$A62&amp;RIGHT(F_interface!I$2, 2), Drivers!$C$2:$C$94, 0), MATCH(F_interface!$J62, Drivers!$L$2:$R$2, 0)),0)</f>
        <v>203.52736338088599</v>
      </c>
      <c r="J62" s="122" t="s">
        <v>9</v>
      </c>
      <c r="K62" s="20" t="str">
        <f t="shared" si="3"/>
        <v>SEWC_REV_HH_PR19CA012</v>
      </c>
      <c r="L62" s="23"/>
      <c r="M62" s="23"/>
    </row>
    <row r="63" spans="1:13" x14ac:dyDescent="0.25">
      <c r="A63" s="120" t="s">
        <v>34</v>
      </c>
      <c r="B63" s="21" t="s">
        <v>161</v>
      </c>
      <c r="C63" s="21" t="s">
        <v>14</v>
      </c>
      <c r="D63" s="21" t="s">
        <v>152</v>
      </c>
      <c r="E63" s="21">
        <f xml:space="preserve"> _xlfn.IFNA(INDEX(Drivers!$L$2:$R$104, MATCH(F_interface!$A63&amp;RIGHT(F_interface!E$2, 2), Drivers!$C$2:$C$94, 0), MATCH(F_interface!$J63, Drivers!$L$2:$R$2, 0)),0)</f>
        <v>138.07695963657</v>
      </c>
      <c r="F63" s="21">
        <f xml:space="preserve"> _xlfn.IFNA(INDEX(Drivers!$L$2:$R$104, MATCH(F_interface!$A63&amp;RIGHT(F_interface!F$2, 2), Drivers!$C$2:$C$94, 0), MATCH(F_interface!$J63, Drivers!$L$2:$R$2, 0)),0)</f>
        <v>135.34013368334399</v>
      </c>
      <c r="G63" s="21">
        <f xml:space="preserve"> _xlfn.IFNA(INDEX(Drivers!$L$2:$R$104, MATCH(F_interface!$A63&amp;RIGHT(F_interface!G$2, 2), Drivers!$C$2:$C$94, 0), MATCH(F_interface!$J63, Drivers!$L$2:$R$2, 0)),0)</f>
        <v>132.69758943330399</v>
      </c>
      <c r="H63" s="21">
        <f xml:space="preserve"> _xlfn.IFNA(INDEX(Drivers!$L$2:$R$104, MATCH(F_interface!$A63&amp;RIGHT(F_interface!H$2, 2), Drivers!$C$2:$C$94, 0), MATCH(F_interface!$J63, Drivers!$L$2:$R$2, 0)),0)</f>
        <v>130.09209222019999</v>
      </c>
      <c r="I63" s="21">
        <f xml:space="preserve"> _xlfn.IFNA(INDEX(Drivers!$L$2:$R$104, MATCH(F_interface!$A63&amp;RIGHT(F_interface!I$2, 2), Drivers!$C$2:$C$94, 0), MATCH(F_interface!$J63, Drivers!$L$2:$R$2, 0)),0)</f>
        <v>127.555195210169</v>
      </c>
      <c r="J63" s="122" t="s">
        <v>9</v>
      </c>
      <c r="K63" s="20" t="str">
        <f t="shared" si="3"/>
        <v>SSCC_REV_HH_PR19CA012</v>
      </c>
      <c r="L63" s="23"/>
      <c r="M63" s="23"/>
    </row>
    <row r="64" spans="1:13" x14ac:dyDescent="0.25">
      <c r="A64" s="120" t="s">
        <v>20</v>
      </c>
      <c r="B64" s="21" t="s">
        <v>162</v>
      </c>
      <c r="C64" s="21" t="s">
        <v>11</v>
      </c>
      <c r="D64" s="21" t="s">
        <v>152</v>
      </c>
      <c r="E64" s="21">
        <f xml:space="preserve"> _xlfn.IFNA(INDEX(Drivers!$L$2:$R$104, MATCH(F_interface!$A64&amp;RIGHT(F_interface!E$2, 2), Drivers!$C$2:$C$94, 0), MATCH(F_interface!$J64, Drivers!$L$2:$R$2, 0)),0)</f>
        <v>0.62247807234997699</v>
      </c>
      <c r="F64" s="21">
        <f xml:space="preserve"> _xlfn.IFNA(INDEX(Drivers!$L$2:$R$104, MATCH(F_interface!$A64&amp;RIGHT(F_interface!F$2, 2), Drivers!$C$2:$C$94, 0), MATCH(F_interface!$J64, Drivers!$L$2:$R$2, 0)),0)</f>
        <v>0.62247807234997699</v>
      </c>
      <c r="G64" s="21">
        <f xml:space="preserve"> _xlfn.IFNA(INDEX(Drivers!$L$2:$R$104, MATCH(F_interface!$A64&amp;RIGHT(F_interface!G$2, 2), Drivers!$C$2:$C$94, 0), MATCH(F_interface!$J64, Drivers!$L$2:$R$2, 0)),0)</f>
        <v>0.62247807234997699</v>
      </c>
      <c r="H64" s="21">
        <f xml:space="preserve"> _xlfn.IFNA(INDEX(Drivers!$L$2:$R$104, MATCH(F_interface!$A64&amp;RIGHT(F_interface!H$2, 2), Drivers!$C$2:$C$94, 0), MATCH(F_interface!$J64, Drivers!$L$2:$R$2, 0)),0)</f>
        <v>0.62247807234997699</v>
      </c>
      <c r="I64" s="21">
        <f xml:space="preserve"> _xlfn.IFNA(INDEX(Drivers!$L$2:$R$104, MATCH(F_interface!$A64&amp;RIGHT(F_interface!I$2, 2), Drivers!$C$2:$C$94, 0), MATCH(F_interface!$J64, Drivers!$L$2:$R$2, 0)),0)</f>
        <v>0.62247807234997699</v>
      </c>
      <c r="J64" s="122" t="s">
        <v>0</v>
      </c>
      <c r="K64" s="20" t="str">
        <f t="shared" si="0"/>
        <v>ANHC_HHDU_HH_PR19CA012</v>
      </c>
      <c r="L64" s="23"/>
      <c r="M64" s="23"/>
    </row>
    <row r="65" spans="1:13" x14ac:dyDescent="0.25">
      <c r="A65" s="120" t="s">
        <v>157</v>
      </c>
      <c r="B65" s="21" t="s">
        <v>162</v>
      </c>
      <c r="C65" s="21" t="s">
        <v>11</v>
      </c>
      <c r="D65" s="21" t="s">
        <v>152</v>
      </c>
      <c r="E65" s="21">
        <f xml:space="preserve"> _xlfn.IFNA(INDEX(Drivers!$L$2:$R$104, MATCH(F_interface!$A65&amp;RIGHT(F_interface!E$2, 2), Drivers!$C$2:$C$94, 0), MATCH(F_interface!$J65, Drivers!$L$2:$R$2, 0)),0)</f>
        <v>0</v>
      </c>
      <c r="F65" s="21">
        <f xml:space="preserve"> _xlfn.IFNA(INDEX(Drivers!$L$2:$R$104, MATCH(F_interface!$A65&amp;RIGHT(F_interface!F$2, 2), Drivers!$C$2:$C$94, 0), MATCH(F_interface!$J65, Drivers!$L$2:$R$2, 0)),0)</f>
        <v>0</v>
      </c>
      <c r="G65" s="21">
        <f xml:space="preserve"> _xlfn.IFNA(INDEX(Drivers!$L$2:$R$104, MATCH(F_interface!$A65&amp;RIGHT(F_interface!G$2, 2), Drivers!$C$2:$C$94, 0), MATCH(F_interface!$J65, Drivers!$L$2:$R$2, 0)),0)</f>
        <v>0</v>
      </c>
      <c r="H65" s="21">
        <f xml:space="preserve"> _xlfn.IFNA(INDEX(Drivers!$L$2:$R$104, MATCH(F_interface!$A65&amp;RIGHT(F_interface!H$2, 2), Drivers!$C$2:$C$94, 0), MATCH(F_interface!$J65, Drivers!$L$2:$R$2, 0)),0)</f>
        <v>0</v>
      </c>
      <c r="I65" s="21">
        <f xml:space="preserve"> _xlfn.IFNA(INDEX(Drivers!$L$2:$R$104, MATCH(F_interface!$A65&amp;RIGHT(F_interface!I$2, 2), Drivers!$C$2:$C$94, 0), MATCH(F_interface!$J65, Drivers!$L$2:$R$2, 0)),0)</f>
        <v>0</v>
      </c>
      <c r="J65" s="122" t="s">
        <v>0</v>
      </c>
      <c r="K65" s="20" t="str">
        <f t="shared" si="0"/>
        <v>HDDC_HHDU_HH_PR19CA012</v>
      </c>
      <c r="L65" s="23"/>
      <c r="M65" s="23"/>
    </row>
    <row r="66" spans="1:13" x14ac:dyDescent="0.25">
      <c r="A66" s="120" t="s">
        <v>21</v>
      </c>
      <c r="B66" s="21" t="s">
        <v>162</v>
      </c>
      <c r="C66" s="21" t="s">
        <v>11</v>
      </c>
      <c r="D66" s="21" t="s">
        <v>152</v>
      </c>
      <c r="E66" s="21">
        <f xml:space="preserve"> _xlfn.IFNA(INDEX(Drivers!$L$2:$R$104, MATCH(F_interface!$A66&amp;RIGHT(F_interface!E$2, 2), Drivers!$C$2:$C$94, 0), MATCH(F_interface!$J66, Drivers!$L$2:$R$2, 0)),0)</f>
        <v>0.57033833521782396</v>
      </c>
      <c r="F66" s="21">
        <f xml:space="preserve"> _xlfn.IFNA(INDEX(Drivers!$L$2:$R$104, MATCH(F_interface!$A66&amp;RIGHT(F_interface!F$2, 2), Drivers!$C$2:$C$94, 0), MATCH(F_interface!$J66, Drivers!$L$2:$R$2, 0)),0)</f>
        <v>0.57033833521782396</v>
      </c>
      <c r="G66" s="21">
        <f xml:space="preserve"> _xlfn.IFNA(INDEX(Drivers!$L$2:$R$104, MATCH(F_interface!$A66&amp;RIGHT(F_interface!G$2, 2), Drivers!$C$2:$C$94, 0), MATCH(F_interface!$J66, Drivers!$L$2:$R$2, 0)),0)</f>
        <v>0.57033833521782396</v>
      </c>
      <c r="H66" s="21">
        <f xml:space="preserve"> _xlfn.IFNA(INDEX(Drivers!$L$2:$R$104, MATCH(F_interface!$A66&amp;RIGHT(F_interface!H$2, 2), Drivers!$C$2:$C$94, 0), MATCH(F_interface!$J66, Drivers!$L$2:$R$2, 0)),0)</f>
        <v>0.57033833521782396</v>
      </c>
      <c r="I66" s="21">
        <f xml:space="preserve"> _xlfn.IFNA(INDEX(Drivers!$L$2:$R$104, MATCH(F_interface!$A66&amp;RIGHT(F_interface!I$2, 2), Drivers!$C$2:$C$94, 0), MATCH(F_interface!$J66, Drivers!$L$2:$R$2, 0)),0)</f>
        <v>0.57033833521782396</v>
      </c>
      <c r="J66" s="122" t="s">
        <v>0</v>
      </c>
      <c r="K66" s="20" t="str">
        <f t="shared" si="0"/>
        <v>NESC_HHDU_HH_PR19CA012</v>
      </c>
      <c r="L66" s="23"/>
      <c r="M66" s="23"/>
    </row>
    <row r="67" spans="1:13" x14ac:dyDescent="0.25">
      <c r="A67" s="120" t="s">
        <v>22</v>
      </c>
      <c r="B67" s="21" t="s">
        <v>162</v>
      </c>
      <c r="C67" s="21" t="s">
        <v>11</v>
      </c>
      <c r="D67" s="21" t="s">
        <v>152</v>
      </c>
      <c r="E67" s="21">
        <f xml:space="preserve"> _xlfn.IFNA(INDEX(Drivers!$L$2:$R$104, MATCH(F_interface!$A67&amp;RIGHT(F_interface!E$2, 2), Drivers!$C$2:$C$94, 0), MATCH(F_interface!$J67, Drivers!$L$2:$R$2, 0)),0)</f>
        <v>0.95111689930923704</v>
      </c>
      <c r="F67" s="21">
        <f xml:space="preserve"> _xlfn.IFNA(INDEX(Drivers!$L$2:$R$104, MATCH(F_interface!$A67&amp;RIGHT(F_interface!F$2, 2), Drivers!$C$2:$C$94, 0), MATCH(F_interface!$J67, Drivers!$L$2:$R$2, 0)),0)</f>
        <v>0.95111689930923704</v>
      </c>
      <c r="G67" s="21">
        <f xml:space="preserve"> _xlfn.IFNA(INDEX(Drivers!$L$2:$R$104, MATCH(F_interface!$A67&amp;RIGHT(F_interface!G$2, 2), Drivers!$C$2:$C$94, 0), MATCH(F_interface!$J67, Drivers!$L$2:$R$2, 0)),0)</f>
        <v>0.95111689930923704</v>
      </c>
      <c r="H67" s="21">
        <f xml:space="preserve"> _xlfn.IFNA(INDEX(Drivers!$L$2:$R$104, MATCH(F_interface!$A67&amp;RIGHT(F_interface!H$2, 2), Drivers!$C$2:$C$94, 0), MATCH(F_interface!$J67, Drivers!$L$2:$R$2, 0)),0)</f>
        <v>0.95111689930923704</v>
      </c>
      <c r="I67" s="21">
        <f xml:space="preserve"> _xlfn.IFNA(INDEX(Drivers!$L$2:$R$104, MATCH(F_interface!$A67&amp;RIGHT(F_interface!I$2, 2), Drivers!$C$2:$C$94, 0), MATCH(F_interface!$J67, Drivers!$L$2:$R$2, 0)),0)</f>
        <v>0.95111689930923704</v>
      </c>
      <c r="J67" s="122" t="s">
        <v>0</v>
      </c>
      <c r="K67" s="20" t="str">
        <f t="shared" si="0"/>
        <v>NWTC_HHDU_HH_PR19CA012</v>
      </c>
      <c r="L67" s="23"/>
      <c r="M67" s="23"/>
    </row>
    <row r="68" spans="1:13" x14ac:dyDescent="0.25">
      <c r="A68" s="120" t="s">
        <v>23</v>
      </c>
      <c r="B68" s="21" t="s">
        <v>162</v>
      </c>
      <c r="C68" s="21" t="s">
        <v>11</v>
      </c>
      <c r="D68" s="21" t="s">
        <v>152</v>
      </c>
      <c r="E68" s="21">
        <f xml:space="preserve"> _xlfn.IFNA(INDEX(Drivers!$L$2:$R$104, MATCH(F_interface!$A68&amp;RIGHT(F_interface!E$2, 2), Drivers!$C$2:$C$94, 0), MATCH(F_interface!$J68, Drivers!$L$2:$R$2, 0)),0)</f>
        <v>0.48835863957348602</v>
      </c>
      <c r="F68" s="21">
        <f xml:space="preserve"> _xlfn.IFNA(INDEX(Drivers!$L$2:$R$104, MATCH(F_interface!$A68&amp;RIGHT(F_interface!F$2, 2), Drivers!$C$2:$C$94, 0), MATCH(F_interface!$J68, Drivers!$L$2:$R$2, 0)),0)</f>
        <v>0.48835863957348602</v>
      </c>
      <c r="G68" s="21">
        <f xml:space="preserve"> _xlfn.IFNA(INDEX(Drivers!$L$2:$R$104, MATCH(F_interface!$A68&amp;RIGHT(F_interface!G$2, 2), Drivers!$C$2:$C$94, 0), MATCH(F_interface!$J68, Drivers!$L$2:$R$2, 0)),0)</f>
        <v>0.48835863957348602</v>
      </c>
      <c r="H68" s="21">
        <f xml:space="preserve"> _xlfn.IFNA(INDEX(Drivers!$L$2:$R$104, MATCH(F_interface!$A68&amp;RIGHT(F_interface!H$2, 2), Drivers!$C$2:$C$94, 0), MATCH(F_interface!$J68, Drivers!$L$2:$R$2, 0)),0)</f>
        <v>0.48835863957348602</v>
      </c>
      <c r="I68" s="21">
        <f xml:space="preserve"> _xlfn.IFNA(INDEX(Drivers!$L$2:$R$104, MATCH(F_interface!$A68&amp;RIGHT(F_interface!I$2, 2), Drivers!$C$2:$C$94, 0), MATCH(F_interface!$J68, Drivers!$L$2:$R$2, 0)),0)</f>
        <v>0.48835863957348602</v>
      </c>
      <c r="J68" s="122" t="s">
        <v>0</v>
      </c>
      <c r="K68" s="20" t="str">
        <f t="shared" si="0"/>
        <v>SRNC_HHDU_HH_PR19CA012</v>
      </c>
      <c r="L68" s="23"/>
      <c r="M68" s="23"/>
    </row>
    <row r="69" spans="1:13" x14ac:dyDescent="0.25">
      <c r="A69" s="120" t="s">
        <v>156</v>
      </c>
      <c r="B69" s="21" t="s">
        <v>162</v>
      </c>
      <c r="C69" s="21" t="s">
        <v>11</v>
      </c>
      <c r="D69" s="21" t="s">
        <v>152</v>
      </c>
      <c r="E69" s="21">
        <f xml:space="preserve"> _xlfn.IFNA(INDEX(Drivers!$L$2:$R$104, MATCH(F_interface!$A69&amp;RIGHT(F_interface!E$2, 2), Drivers!$C$2:$C$94, 0), MATCH(F_interface!$J69, Drivers!$L$2:$R$2, 0)),0)</f>
        <v>0</v>
      </c>
      <c r="F69" s="21">
        <f xml:space="preserve"> _xlfn.IFNA(INDEX(Drivers!$L$2:$R$104, MATCH(F_interface!$A69&amp;RIGHT(F_interface!F$2, 2), Drivers!$C$2:$C$94, 0), MATCH(F_interface!$J69, Drivers!$L$2:$R$2, 0)),0)</f>
        <v>0</v>
      </c>
      <c r="G69" s="21">
        <f xml:space="preserve"> _xlfn.IFNA(INDEX(Drivers!$L$2:$R$104, MATCH(F_interface!$A69&amp;RIGHT(F_interface!G$2, 2), Drivers!$C$2:$C$94, 0), MATCH(F_interface!$J69, Drivers!$L$2:$R$2, 0)),0)</f>
        <v>0</v>
      </c>
      <c r="H69" s="21">
        <f xml:space="preserve"> _xlfn.IFNA(INDEX(Drivers!$L$2:$R$104, MATCH(F_interface!$A69&amp;RIGHT(F_interface!H$2, 2), Drivers!$C$2:$C$94, 0), MATCH(F_interface!$J69, Drivers!$L$2:$R$2, 0)),0)</f>
        <v>0</v>
      </c>
      <c r="I69" s="21">
        <f xml:space="preserve"> _xlfn.IFNA(INDEX(Drivers!$L$2:$R$104, MATCH(F_interface!$A69&amp;RIGHT(F_interface!I$2, 2), Drivers!$C$2:$C$94, 0), MATCH(F_interface!$J69, Drivers!$L$2:$R$2, 0)),0)</f>
        <v>0</v>
      </c>
      <c r="J69" s="122" t="s">
        <v>0</v>
      </c>
      <c r="K69" s="20" t="str">
        <f t="shared" si="0"/>
        <v>SVEC_HHDU_HH_PR19CA012</v>
      </c>
      <c r="L69" s="23"/>
      <c r="M69" s="23"/>
    </row>
    <row r="70" spans="1:13" x14ac:dyDescent="0.25">
      <c r="A70" s="120" t="s">
        <v>232</v>
      </c>
      <c r="B70" s="21" t="s">
        <v>162</v>
      </c>
      <c r="C70" s="21" t="s">
        <v>11</v>
      </c>
      <c r="D70" s="21" t="s">
        <v>152</v>
      </c>
      <c r="E70" s="21">
        <f xml:space="preserve"> _xlfn.IFNA(INDEX(Drivers!$L$2:$R$104, MATCH(F_interface!$A70&amp;RIGHT(F_interface!E$2, 2), Drivers!$C$2:$C$94, 0), MATCH(F_interface!$J70, Drivers!$L$2:$R$2, 0)),0)</f>
        <v>0.71715317835581704</v>
      </c>
      <c r="F70" s="21">
        <f xml:space="preserve"> _xlfn.IFNA(INDEX(Drivers!$L$2:$R$104, MATCH(F_interface!$A70&amp;RIGHT(F_interface!F$2, 2), Drivers!$C$2:$C$94, 0), MATCH(F_interface!$J70, Drivers!$L$2:$R$2, 0)),0)</f>
        <v>0.71715317835581704</v>
      </c>
      <c r="G70" s="21">
        <f xml:space="preserve"> _xlfn.IFNA(INDEX(Drivers!$L$2:$R$104, MATCH(F_interface!$A70&amp;RIGHT(F_interface!G$2, 2), Drivers!$C$2:$C$94, 0), MATCH(F_interface!$J70, Drivers!$L$2:$R$2, 0)),0)</f>
        <v>0.71715317835581704</v>
      </c>
      <c r="H70" s="21">
        <f xml:space="preserve"> _xlfn.IFNA(INDEX(Drivers!$L$2:$R$104, MATCH(F_interface!$A70&amp;RIGHT(F_interface!H$2, 2), Drivers!$C$2:$C$94, 0), MATCH(F_interface!$J70, Drivers!$L$2:$R$2, 0)),0)</f>
        <v>0.71715317835581704</v>
      </c>
      <c r="I70" s="21">
        <f xml:space="preserve"> _xlfn.IFNA(INDEX(Drivers!$L$2:$R$104, MATCH(F_interface!$A70&amp;RIGHT(F_interface!I$2, 2), Drivers!$C$2:$C$94, 0), MATCH(F_interface!$J70, Drivers!$L$2:$R$2, 0)),0)</f>
        <v>0.71715317835581704</v>
      </c>
      <c r="J70" s="122" t="s">
        <v>0</v>
      </c>
      <c r="K70" s="20" t="str">
        <f t="shared" ref="K70:K79" si="4">A70&amp;B70</f>
        <v>SVHC_HHDU_HH_PR19CA012</v>
      </c>
      <c r="L70" s="23"/>
      <c r="M70" s="23"/>
    </row>
    <row r="71" spans="1:13" x14ac:dyDescent="0.25">
      <c r="A71" s="120" t="s">
        <v>24</v>
      </c>
      <c r="B71" s="21" t="s">
        <v>162</v>
      </c>
      <c r="C71" s="21" t="s">
        <v>11</v>
      </c>
      <c r="D71" s="21" t="s">
        <v>152</v>
      </c>
      <c r="E71" s="21">
        <f xml:space="preserve"> _xlfn.IFNA(INDEX(Drivers!$L$2:$R$104, MATCH(F_interface!$A71&amp;RIGHT(F_interface!E$2, 2), Drivers!$C$2:$C$94, 0), MATCH(F_interface!$J71, Drivers!$L$2:$R$2, 0)),0)</f>
        <v>0.73797074928828499</v>
      </c>
      <c r="F71" s="21">
        <f xml:space="preserve"> _xlfn.IFNA(INDEX(Drivers!$L$2:$R$104, MATCH(F_interface!$A71&amp;RIGHT(F_interface!F$2, 2), Drivers!$C$2:$C$94, 0), MATCH(F_interface!$J71, Drivers!$L$2:$R$2, 0)),0)</f>
        <v>0.73797074928828499</v>
      </c>
      <c r="G71" s="21">
        <f xml:space="preserve"> _xlfn.IFNA(INDEX(Drivers!$L$2:$R$104, MATCH(F_interface!$A71&amp;RIGHT(F_interface!G$2, 2), Drivers!$C$2:$C$94, 0), MATCH(F_interface!$J71, Drivers!$L$2:$R$2, 0)),0)</f>
        <v>0.73797074928828499</v>
      </c>
      <c r="H71" s="21">
        <f xml:space="preserve"> _xlfn.IFNA(INDEX(Drivers!$L$2:$R$104, MATCH(F_interface!$A71&amp;RIGHT(F_interface!H$2, 2), Drivers!$C$2:$C$94, 0), MATCH(F_interface!$J71, Drivers!$L$2:$R$2, 0)),0)</f>
        <v>0.73797074928828499</v>
      </c>
      <c r="I71" s="21">
        <f xml:space="preserve"> _xlfn.IFNA(INDEX(Drivers!$L$2:$R$104, MATCH(F_interface!$A71&amp;RIGHT(F_interface!I$2, 2), Drivers!$C$2:$C$94, 0), MATCH(F_interface!$J71, Drivers!$L$2:$R$2, 0)),0)</f>
        <v>0.73797074928828499</v>
      </c>
      <c r="J71" s="122" t="s">
        <v>0</v>
      </c>
      <c r="K71" s="20" t="str">
        <f t="shared" si="4"/>
        <v>SVTC_HHDU_HH_PR19CA012</v>
      </c>
      <c r="L71" s="23"/>
      <c r="M71" s="23"/>
    </row>
    <row r="72" spans="1:13" x14ac:dyDescent="0.25">
      <c r="A72" s="120" t="s">
        <v>35</v>
      </c>
      <c r="B72" s="21" t="s">
        <v>162</v>
      </c>
      <c r="C72" s="21" t="s">
        <v>11</v>
      </c>
      <c r="D72" s="21" t="s">
        <v>152</v>
      </c>
      <c r="E72" s="21">
        <f xml:space="preserve"> _xlfn.IFNA(INDEX(Drivers!$L$2:$R$104, MATCH(F_interface!$A72&amp;RIGHT(F_interface!E$2, 2), Drivers!$C$2:$C$94, 0), MATCH(F_interface!$J72, Drivers!$L$2:$R$2, 0)),0)</f>
        <v>0.72004260513250096</v>
      </c>
      <c r="F72" s="21">
        <f xml:space="preserve"> _xlfn.IFNA(INDEX(Drivers!$L$2:$R$104, MATCH(F_interface!$A72&amp;RIGHT(F_interface!F$2, 2), Drivers!$C$2:$C$94, 0), MATCH(F_interface!$J72, Drivers!$L$2:$R$2, 0)),0)</f>
        <v>0.72004260513250096</v>
      </c>
      <c r="G72" s="21">
        <f xml:space="preserve"> _xlfn.IFNA(INDEX(Drivers!$L$2:$R$104, MATCH(F_interface!$A72&amp;RIGHT(F_interface!G$2, 2), Drivers!$C$2:$C$94, 0), MATCH(F_interface!$J72, Drivers!$L$2:$R$2, 0)),0)</f>
        <v>0.72004260513250096</v>
      </c>
      <c r="H72" s="21">
        <f xml:space="preserve"> _xlfn.IFNA(INDEX(Drivers!$L$2:$R$104, MATCH(F_interface!$A72&amp;RIGHT(F_interface!H$2, 2), Drivers!$C$2:$C$94, 0), MATCH(F_interface!$J72, Drivers!$L$2:$R$2, 0)),0)</f>
        <v>0.72004260513250096</v>
      </c>
      <c r="I72" s="21">
        <f xml:space="preserve"> _xlfn.IFNA(INDEX(Drivers!$L$2:$R$104, MATCH(F_interface!$A72&amp;RIGHT(F_interface!I$2, 2), Drivers!$C$2:$C$94, 0), MATCH(F_interface!$J72, Drivers!$L$2:$R$2, 0)),0)</f>
        <v>0.72004260513250096</v>
      </c>
      <c r="J72" s="122" t="s">
        <v>0</v>
      </c>
      <c r="K72" s="20" t="str">
        <f t="shared" si="4"/>
        <v>SWBC_HHDU_HH_PR19CA012</v>
      </c>
      <c r="L72" s="23"/>
      <c r="M72" s="23"/>
    </row>
    <row r="73" spans="1:13" x14ac:dyDescent="0.25">
      <c r="A73" s="120" t="s">
        <v>25</v>
      </c>
      <c r="B73" s="21" t="s">
        <v>162</v>
      </c>
      <c r="C73" s="21" t="s">
        <v>11</v>
      </c>
      <c r="D73" s="21" t="s">
        <v>152</v>
      </c>
      <c r="E73" s="21">
        <f xml:space="preserve"> _xlfn.IFNA(INDEX(Drivers!$L$2:$R$104, MATCH(F_interface!$A73&amp;RIGHT(F_interface!E$2, 2), Drivers!$C$2:$C$94, 0), MATCH(F_interface!$J73, Drivers!$L$2:$R$2, 0)),0)</f>
        <v>0.63370896516053499</v>
      </c>
      <c r="F73" s="21">
        <f xml:space="preserve"> _xlfn.IFNA(INDEX(Drivers!$L$2:$R$104, MATCH(F_interface!$A73&amp;RIGHT(F_interface!F$2, 2), Drivers!$C$2:$C$94, 0), MATCH(F_interface!$J73, Drivers!$L$2:$R$2, 0)),0)</f>
        <v>0.63370896516053499</v>
      </c>
      <c r="G73" s="21">
        <f xml:space="preserve"> _xlfn.IFNA(INDEX(Drivers!$L$2:$R$104, MATCH(F_interface!$A73&amp;RIGHT(F_interface!G$2, 2), Drivers!$C$2:$C$94, 0), MATCH(F_interface!$J73, Drivers!$L$2:$R$2, 0)),0)</f>
        <v>0.63370896516053499</v>
      </c>
      <c r="H73" s="21">
        <f xml:space="preserve"> _xlfn.IFNA(INDEX(Drivers!$L$2:$R$104, MATCH(F_interface!$A73&amp;RIGHT(F_interface!H$2, 2), Drivers!$C$2:$C$94, 0), MATCH(F_interface!$J73, Drivers!$L$2:$R$2, 0)),0)</f>
        <v>0.63370896516053499</v>
      </c>
      <c r="I73" s="21">
        <f xml:space="preserve"> _xlfn.IFNA(INDEX(Drivers!$L$2:$R$104, MATCH(F_interface!$A73&amp;RIGHT(F_interface!I$2, 2), Drivers!$C$2:$C$94, 0), MATCH(F_interface!$J73, Drivers!$L$2:$R$2, 0)),0)</f>
        <v>0.63370896516053499</v>
      </c>
      <c r="J73" s="122" t="s">
        <v>0</v>
      </c>
      <c r="K73" s="20" t="str">
        <f t="shared" si="4"/>
        <v>TMSC_HHDU_HH_PR19CA012</v>
      </c>
      <c r="L73" s="23"/>
      <c r="M73" s="23"/>
    </row>
    <row r="74" spans="1:13" x14ac:dyDescent="0.25">
      <c r="A74" s="120" t="s">
        <v>41</v>
      </c>
      <c r="B74" s="21" t="s">
        <v>162</v>
      </c>
      <c r="C74" s="21" t="s">
        <v>11</v>
      </c>
      <c r="D74" s="21" t="s">
        <v>152</v>
      </c>
      <c r="E74" s="21">
        <f xml:space="preserve"> _xlfn.IFNA(INDEX(Drivers!$L$2:$R$104, MATCH(F_interface!$A74&amp;RIGHT(F_interface!E$2, 2), Drivers!$C$2:$C$94, 0), MATCH(F_interface!$J74, Drivers!$L$2:$R$2, 0)),0)</f>
        <v>0.84611136287411004</v>
      </c>
      <c r="F74" s="21">
        <f xml:space="preserve"> _xlfn.IFNA(INDEX(Drivers!$L$2:$R$104, MATCH(F_interface!$A74&amp;RIGHT(F_interface!F$2, 2), Drivers!$C$2:$C$94, 0), MATCH(F_interface!$J74, Drivers!$L$2:$R$2, 0)),0)</f>
        <v>0.84611136287411004</v>
      </c>
      <c r="G74" s="21">
        <f xml:space="preserve"> _xlfn.IFNA(INDEX(Drivers!$L$2:$R$104, MATCH(F_interface!$A74&amp;RIGHT(F_interface!G$2, 2), Drivers!$C$2:$C$94, 0), MATCH(F_interface!$J74, Drivers!$L$2:$R$2, 0)),0)</f>
        <v>0.84611136287411004</v>
      </c>
      <c r="H74" s="21">
        <f xml:space="preserve"> _xlfn.IFNA(INDEX(Drivers!$L$2:$R$104, MATCH(F_interface!$A74&amp;RIGHT(F_interface!H$2, 2), Drivers!$C$2:$C$94, 0), MATCH(F_interface!$J74, Drivers!$L$2:$R$2, 0)),0)</f>
        <v>0.84611136287411004</v>
      </c>
      <c r="I74" s="21">
        <f xml:space="preserve"> _xlfn.IFNA(INDEX(Drivers!$L$2:$R$104, MATCH(F_interface!$A74&amp;RIGHT(F_interface!I$2, 2), Drivers!$C$2:$C$94, 0), MATCH(F_interface!$J74, Drivers!$L$2:$R$2, 0)),0)</f>
        <v>0.84611136287411004</v>
      </c>
      <c r="J74" s="122" t="s">
        <v>0</v>
      </c>
      <c r="K74" s="20" t="str">
        <f t="shared" si="4"/>
        <v>WSHC_HHDU_HH_PR19CA012</v>
      </c>
      <c r="L74" s="23"/>
      <c r="M74" s="23"/>
    </row>
    <row r="75" spans="1:13" x14ac:dyDescent="0.25">
      <c r="A75" s="120" t="s">
        <v>26</v>
      </c>
      <c r="B75" s="21" t="s">
        <v>162</v>
      </c>
      <c r="C75" s="21" t="s">
        <v>11</v>
      </c>
      <c r="D75" s="21" t="s">
        <v>152</v>
      </c>
      <c r="E75" s="21">
        <f xml:space="preserve"> _xlfn.IFNA(INDEX(Drivers!$L$2:$R$104, MATCH(F_interface!$A75&amp;RIGHT(F_interface!E$2, 2), Drivers!$C$2:$C$94, 0), MATCH(F_interface!$J75, Drivers!$L$2:$R$2, 0)),0)</f>
        <v>0.43030071066995301</v>
      </c>
      <c r="F75" s="21">
        <f xml:space="preserve"> _xlfn.IFNA(INDEX(Drivers!$L$2:$R$104, MATCH(F_interface!$A75&amp;RIGHT(F_interface!F$2, 2), Drivers!$C$2:$C$94, 0), MATCH(F_interface!$J75, Drivers!$L$2:$R$2, 0)),0)</f>
        <v>0.43030071066995301</v>
      </c>
      <c r="G75" s="21">
        <f xml:space="preserve"> _xlfn.IFNA(INDEX(Drivers!$L$2:$R$104, MATCH(F_interface!$A75&amp;RIGHT(F_interface!G$2, 2), Drivers!$C$2:$C$94, 0), MATCH(F_interface!$J75, Drivers!$L$2:$R$2, 0)),0)</f>
        <v>0.43030071066995301</v>
      </c>
      <c r="H75" s="21">
        <f xml:space="preserve"> _xlfn.IFNA(INDEX(Drivers!$L$2:$R$104, MATCH(F_interface!$A75&amp;RIGHT(F_interface!H$2, 2), Drivers!$C$2:$C$94, 0), MATCH(F_interface!$J75, Drivers!$L$2:$R$2, 0)),0)</f>
        <v>0.43030071066995301</v>
      </c>
      <c r="I75" s="21">
        <f xml:space="preserve"> _xlfn.IFNA(INDEX(Drivers!$L$2:$R$104, MATCH(F_interface!$A75&amp;RIGHT(F_interface!I$2, 2), Drivers!$C$2:$C$94, 0), MATCH(F_interface!$J75, Drivers!$L$2:$R$2, 0)),0)</f>
        <v>0.43030071066995301</v>
      </c>
      <c r="J75" s="122" t="s">
        <v>0</v>
      </c>
      <c r="K75" s="20" t="str">
        <f t="shared" si="4"/>
        <v>WSXC_HHDU_HH_PR19CA012</v>
      </c>
      <c r="L75" s="23"/>
      <c r="M75" s="23"/>
    </row>
    <row r="76" spans="1:13" x14ac:dyDescent="0.25">
      <c r="A76" s="120" t="s">
        <v>27</v>
      </c>
      <c r="B76" s="21" t="s">
        <v>162</v>
      </c>
      <c r="C76" s="21" t="s">
        <v>11</v>
      </c>
      <c r="D76" s="21" t="s">
        <v>152</v>
      </c>
      <c r="E76" s="21">
        <f xml:space="preserve"> _xlfn.IFNA(INDEX(Drivers!$L$2:$R$104, MATCH(F_interface!$A76&amp;RIGHT(F_interface!E$2, 2), Drivers!$C$2:$C$94, 0), MATCH(F_interface!$J76, Drivers!$L$2:$R$2, 0)),0)</f>
        <v>0.89922651790779196</v>
      </c>
      <c r="F76" s="21">
        <f xml:space="preserve"> _xlfn.IFNA(INDEX(Drivers!$L$2:$R$104, MATCH(F_interface!$A76&amp;RIGHT(F_interface!F$2, 2), Drivers!$C$2:$C$94, 0), MATCH(F_interface!$J76, Drivers!$L$2:$R$2, 0)),0)</f>
        <v>0.89922651790779196</v>
      </c>
      <c r="G76" s="21">
        <f xml:space="preserve"> _xlfn.IFNA(INDEX(Drivers!$L$2:$R$104, MATCH(F_interface!$A76&amp;RIGHT(F_interface!G$2, 2), Drivers!$C$2:$C$94, 0), MATCH(F_interface!$J76, Drivers!$L$2:$R$2, 0)),0)</f>
        <v>0.89922651790779196</v>
      </c>
      <c r="H76" s="21">
        <f xml:space="preserve"> _xlfn.IFNA(INDEX(Drivers!$L$2:$R$104, MATCH(F_interface!$A76&amp;RIGHT(F_interface!H$2, 2), Drivers!$C$2:$C$94, 0), MATCH(F_interface!$J76, Drivers!$L$2:$R$2, 0)),0)</f>
        <v>0.89922651790779196</v>
      </c>
      <c r="I76" s="21">
        <f xml:space="preserve"> _xlfn.IFNA(INDEX(Drivers!$L$2:$R$104, MATCH(F_interface!$A76&amp;RIGHT(F_interface!I$2, 2), Drivers!$C$2:$C$94, 0), MATCH(F_interface!$J76, Drivers!$L$2:$R$2, 0)),0)</f>
        <v>0.89922651790779196</v>
      </c>
      <c r="J76" s="122" t="s">
        <v>0</v>
      </c>
      <c r="K76" s="20" t="str">
        <f t="shared" si="4"/>
        <v>YKYC_HHDU_HH_PR19CA012</v>
      </c>
      <c r="L76" s="23"/>
      <c r="M76" s="23"/>
    </row>
    <row r="77" spans="1:13" x14ac:dyDescent="0.25">
      <c r="A77" s="120" t="s">
        <v>28</v>
      </c>
      <c r="B77" s="21" t="s">
        <v>162</v>
      </c>
      <c r="C77" s="21" t="s">
        <v>11</v>
      </c>
      <c r="D77" s="21" t="s">
        <v>152</v>
      </c>
      <c r="E77" s="21">
        <f xml:space="preserve"> _xlfn.IFNA(INDEX(Drivers!$L$2:$R$104, MATCH(F_interface!$A77&amp;RIGHT(F_interface!E$2, 2), Drivers!$C$2:$C$94, 0), MATCH(F_interface!$J77, Drivers!$L$2:$R$2, 0)),0)</f>
        <v>0</v>
      </c>
      <c r="F77" s="21">
        <f xml:space="preserve"> _xlfn.IFNA(INDEX(Drivers!$L$2:$R$104, MATCH(F_interface!$A77&amp;RIGHT(F_interface!F$2, 2), Drivers!$C$2:$C$94, 0), MATCH(F_interface!$J77, Drivers!$L$2:$R$2, 0)),0)</f>
        <v>0</v>
      </c>
      <c r="G77" s="21">
        <f xml:space="preserve"> _xlfn.IFNA(INDEX(Drivers!$L$2:$R$104, MATCH(F_interface!$A77&amp;RIGHT(F_interface!G$2, 2), Drivers!$C$2:$C$94, 0), MATCH(F_interface!$J77, Drivers!$L$2:$R$2, 0)),0)</f>
        <v>0</v>
      </c>
      <c r="H77" s="21">
        <f xml:space="preserve"> _xlfn.IFNA(INDEX(Drivers!$L$2:$R$104, MATCH(F_interface!$A77&amp;RIGHT(F_interface!H$2, 2), Drivers!$C$2:$C$94, 0), MATCH(F_interface!$J77, Drivers!$L$2:$R$2, 0)),0)</f>
        <v>0</v>
      </c>
      <c r="I77" s="21">
        <f xml:space="preserve"> _xlfn.IFNA(INDEX(Drivers!$L$2:$R$104, MATCH(F_interface!$A77&amp;RIGHT(F_interface!I$2, 2), Drivers!$C$2:$C$94, 0), MATCH(F_interface!$J77, Drivers!$L$2:$R$2, 0)),0)</f>
        <v>0</v>
      </c>
      <c r="J77" s="122" t="s">
        <v>0</v>
      </c>
      <c r="K77" s="20" t="str">
        <f t="shared" si="4"/>
        <v>AFWC_HHDU_HH_PR19CA012</v>
      </c>
      <c r="L77" s="23"/>
      <c r="M77" s="23"/>
    </row>
    <row r="78" spans="1:13" x14ac:dyDescent="0.25">
      <c r="A78" s="120" t="s">
        <v>29</v>
      </c>
      <c r="B78" s="21" t="s">
        <v>162</v>
      </c>
      <c r="C78" s="21" t="s">
        <v>11</v>
      </c>
      <c r="D78" s="21" t="s">
        <v>152</v>
      </c>
      <c r="E78" s="21">
        <f xml:space="preserve"> _xlfn.IFNA(INDEX(Drivers!$L$2:$R$104, MATCH(F_interface!$A78&amp;RIGHT(F_interface!E$2, 2), Drivers!$C$2:$C$94, 0), MATCH(F_interface!$J78, Drivers!$L$2:$R$2, 0)),0)</f>
        <v>0</v>
      </c>
      <c r="F78" s="21">
        <f xml:space="preserve"> _xlfn.IFNA(INDEX(Drivers!$L$2:$R$104, MATCH(F_interface!$A78&amp;RIGHT(F_interface!F$2, 2), Drivers!$C$2:$C$94, 0), MATCH(F_interface!$J78, Drivers!$L$2:$R$2, 0)),0)</f>
        <v>0</v>
      </c>
      <c r="G78" s="21">
        <f xml:space="preserve"> _xlfn.IFNA(INDEX(Drivers!$L$2:$R$104, MATCH(F_interface!$A78&amp;RIGHT(F_interface!G$2, 2), Drivers!$C$2:$C$94, 0), MATCH(F_interface!$J78, Drivers!$L$2:$R$2, 0)),0)</f>
        <v>0</v>
      </c>
      <c r="H78" s="21">
        <f xml:space="preserve"> _xlfn.IFNA(INDEX(Drivers!$L$2:$R$104, MATCH(F_interface!$A78&amp;RIGHT(F_interface!H$2, 2), Drivers!$C$2:$C$94, 0), MATCH(F_interface!$J78, Drivers!$L$2:$R$2, 0)),0)</f>
        <v>0</v>
      </c>
      <c r="I78" s="21">
        <f xml:space="preserve"> _xlfn.IFNA(INDEX(Drivers!$L$2:$R$104, MATCH(F_interface!$A78&amp;RIGHT(F_interface!I$2, 2), Drivers!$C$2:$C$94, 0), MATCH(F_interface!$J78, Drivers!$L$2:$R$2, 0)),0)</f>
        <v>0</v>
      </c>
      <c r="J78" s="122" t="s">
        <v>0</v>
      </c>
      <c r="K78" s="20" t="str">
        <f t="shared" si="4"/>
        <v>BRLC_HHDU_HH_PR19CA012</v>
      </c>
      <c r="L78" s="23"/>
      <c r="M78" s="23"/>
    </row>
    <row r="79" spans="1:13" x14ac:dyDescent="0.25">
      <c r="A79" s="120" t="s">
        <v>30</v>
      </c>
      <c r="B79" s="21" t="s">
        <v>162</v>
      </c>
      <c r="C79" s="21" t="s">
        <v>11</v>
      </c>
      <c r="D79" s="21" t="s">
        <v>152</v>
      </c>
      <c r="E79" s="21">
        <f xml:space="preserve"> _xlfn.IFNA(INDEX(Drivers!$L$2:$R$104, MATCH(F_interface!$A79&amp;RIGHT(F_interface!E$2, 2), Drivers!$C$2:$C$94, 0), MATCH(F_interface!$J79, Drivers!$L$2:$R$2, 0)),0)</f>
        <v>0</v>
      </c>
      <c r="F79" s="21">
        <f xml:space="preserve"> _xlfn.IFNA(INDEX(Drivers!$L$2:$R$104, MATCH(F_interface!$A79&amp;RIGHT(F_interface!F$2, 2), Drivers!$C$2:$C$94, 0), MATCH(F_interface!$J79, Drivers!$L$2:$R$2, 0)),0)</f>
        <v>0</v>
      </c>
      <c r="G79" s="21">
        <f xml:space="preserve"> _xlfn.IFNA(INDEX(Drivers!$L$2:$R$104, MATCH(F_interface!$A79&amp;RIGHT(F_interface!G$2, 2), Drivers!$C$2:$C$94, 0), MATCH(F_interface!$J79, Drivers!$L$2:$R$2, 0)),0)</f>
        <v>0</v>
      </c>
      <c r="H79" s="21">
        <f xml:space="preserve"> _xlfn.IFNA(INDEX(Drivers!$L$2:$R$104, MATCH(F_interface!$A79&amp;RIGHT(F_interface!H$2, 2), Drivers!$C$2:$C$94, 0), MATCH(F_interface!$J79, Drivers!$L$2:$R$2, 0)),0)</f>
        <v>0</v>
      </c>
      <c r="I79" s="21">
        <f xml:space="preserve"> _xlfn.IFNA(INDEX(Drivers!$L$2:$R$104, MATCH(F_interface!$A79&amp;RIGHT(F_interface!I$2, 2), Drivers!$C$2:$C$94, 0), MATCH(F_interface!$J79, Drivers!$L$2:$R$2, 0)),0)</f>
        <v>0</v>
      </c>
      <c r="J79" s="122" t="s">
        <v>0</v>
      </c>
      <c r="K79" s="20" t="str">
        <f t="shared" si="4"/>
        <v>DVWC_HHDU_HH_PR19CA012</v>
      </c>
      <c r="L79" s="23"/>
      <c r="M79" s="23"/>
    </row>
    <row r="80" spans="1:13" x14ac:dyDescent="0.25">
      <c r="A80" s="120" t="s">
        <v>31</v>
      </c>
      <c r="B80" s="21" t="s">
        <v>162</v>
      </c>
      <c r="C80" s="21" t="s">
        <v>11</v>
      </c>
      <c r="D80" s="21" t="s">
        <v>152</v>
      </c>
      <c r="E80" s="21">
        <f xml:space="preserve"> _xlfn.IFNA(INDEX(Drivers!$L$2:$R$104, MATCH(F_interface!$A80&amp;RIGHT(F_interface!E$2, 2), Drivers!$C$2:$C$94, 0), MATCH(F_interface!$J80, Drivers!$L$2:$R$2, 0)),0)</f>
        <v>0</v>
      </c>
      <c r="F80" s="21">
        <f xml:space="preserve"> _xlfn.IFNA(INDEX(Drivers!$L$2:$R$104, MATCH(F_interface!$A80&amp;RIGHT(F_interface!F$2, 2), Drivers!$C$2:$C$94, 0), MATCH(F_interface!$J80, Drivers!$L$2:$R$2, 0)),0)</f>
        <v>0</v>
      </c>
      <c r="G80" s="21">
        <f xml:space="preserve"> _xlfn.IFNA(INDEX(Drivers!$L$2:$R$104, MATCH(F_interface!$A80&amp;RIGHT(F_interface!G$2, 2), Drivers!$C$2:$C$94, 0), MATCH(F_interface!$J80, Drivers!$L$2:$R$2, 0)),0)</f>
        <v>0</v>
      </c>
      <c r="H80" s="21">
        <f xml:space="preserve"> _xlfn.IFNA(INDEX(Drivers!$L$2:$R$104, MATCH(F_interface!$A80&amp;RIGHT(F_interface!H$2, 2), Drivers!$C$2:$C$94, 0), MATCH(F_interface!$J80, Drivers!$L$2:$R$2, 0)),0)</f>
        <v>0</v>
      </c>
      <c r="I80" s="21">
        <f xml:space="preserve"> _xlfn.IFNA(INDEX(Drivers!$L$2:$R$104, MATCH(F_interface!$A80&amp;RIGHT(F_interface!I$2, 2), Drivers!$C$2:$C$94, 0), MATCH(F_interface!$J80, Drivers!$L$2:$R$2, 0)),0)</f>
        <v>0</v>
      </c>
      <c r="J80" s="122" t="s">
        <v>0</v>
      </c>
      <c r="K80" s="20" t="str">
        <f t="shared" si="0"/>
        <v>PRTC_HHDU_HH_PR19CA012</v>
      </c>
      <c r="L80" s="23"/>
      <c r="M80" s="23"/>
    </row>
    <row r="81" spans="1:13" x14ac:dyDescent="0.25">
      <c r="A81" s="120" t="s">
        <v>32</v>
      </c>
      <c r="B81" s="21" t="s">
        <v>162</v>
      </c>
      <c r="C81" s="21" t="s">
        <v>11</v>
      </c>
      <c r="D81" s="21" t="s">
        <v>152</v>
      </c>
      <c r="E81" s="21">
        <f xml:space="preserve"> _xlfn.IFNA(INDEX(Drivers!$L$2:$R$104, MATCH(F_interface!$A81&amp;RIGHT(F_interface!E$2, 2), Drivers!$C$2:$C$94, 0), MATCH(F_interface!$J81, Drivers!$L$2:$R$2, 0)),0)</f>
        <v>0</v>
      </c>
      <c r="F81" s="21">
        <f xml:space="preserve"> _xlfn.IFNA(INDEX(Drivers!$L$2:$R$104, MATCH(F_interface!$A81&amp;RIGHT(F_interface!F$2, 2), Drivers!$C$2:$C$94, 0), MATCH(F_interface!$J81, Drivers!$L$2:$R$2, 0)),0)</f>
        <v>0</v>
      </c>
      <c r="G81" s="21">
        <f xml:space="preserve"> _xlfn.IFNA(INDEX(Drivers!$L$2:$R$104, MATCH(F_interface!$A81&amp;RIGHT(F_interface!G$2, 2), Drivers!$C$2:$C$94, 0), MATCH(F_interface!$J81, Drivers!$L$2:$R$2, 0)),0)</f>
        <v>0</v>
      </c>
      <c r="H81" s="21">
        <f xml:space="preserve"> _xlfn.IFNA(INDEX(Drivers!$L$2:$R$104, MATCH(F_interface!$A81&amp;RIGHT(F_interface!H$2, 2), Drivers!$C$2:$C$94, 0), MATCH(F_interface!$J81, Drivers!$L$2:$R$2, 0)),0)</f>
        <v>0</v>
      </c>
      <c r="I81" s="21">
        <f xml:space="preserve"> _xlfn.IFNA(INDEX(Drivers!$L$2:$R$104, MATCH(F_interface!$A81&amp;RIGHT(F_interface!I$2, 2), Drivers!$C$2:$C$94, 0), MATCH(F_interface!$J81, Drivers!$L$2:$R$2, 0)),0)</f>
        <v>0</v>
      </c>
      <c r="J81" s="122" t="s">
        <v>0</v>
      </c>
      <c r="K81" s="20" t="str">
        <f t="shared" ref="K81:K143" si="5">A81&amp;B81</f>
        <v>SESC_HHDU_HH_PR19CA012</v>
      </c>
      <c r="L81" s="23"/>
      <c r="M81" s="23"/>
    </row>
    <row r="82" spans="1:13" x14ac:dyDescent="0.25">
      <c r="A82" s="120" t="s">
        <v>33</v>
      </c>
      <c r="B82" s="21" t="s">
        <v>162</v>
      </c>
      <c r="C82" s="21" t="s">
        <v>11</v>
      </c>
      <c r="D82" s="21" t="s">
        <v>152</v>
      </c>
      <c r="E82" s="21">
        <f xml:space="preserve"> _xlfn.IFNA(INDEX(Drivers!$L$2:$R$104, MATCH(F_interface!$A82&amp;RIGHT(F_interface!E$2, 2), Drivers!$C$2:$C$94, 0), MATCH(F_interface!$J82, Drivers!$L$2:$R$2, 0)),0)</f>
        <v>0</v>
      </c>
      <c r="F82" s="21">
        <f xml:space="preserve"> _xlfn.IFNA(INDEX(Drivers!$L$2:$R$104, MATCH(F_interface!$A82&amp;RIGHT(F_interface!F$2, 2), Drivers!$C$2:$C$94, 0), MATCH(F_interface!$J82, Drivers!$L$2:$R$2, 0)),0)</f>
        <v>0</v>
      </c>
      <c r="G82" s="21">
        <f xml:space="preserve"> _xlfn.IFNA(INDEX(Drivers!$L$2:$R$104, MATCH(F_interface!$A82&amp;RIGHT(F_interface!G$2, 2), Drivers!$C$2:$C$94, 0), MATCH(F_interface!$J82, Drivers!$L$2:$R$2, 0)),0)</f>
        <v>0</v>
      </c>
      <c r="H82" s="21">
        <f xml:space="preserve"> _xlfn.IFNA(INDEX(Drivers!$L$2:$R$104, MATCH(F_interface!$A82&amp;RIGHT(F_interface!H$2, 2), Drivers!$C$2:$C$94, 0), MATCH(F_interface!$J82, Drivers!$L$2:$R$2, 0)),0)</f>
        <v>0</v>
      </c>
      <c r="I82" s="21">
        <f xml:space="preserve"> _xlfn.IFNA(INDEX(Drivers!$L$2:$R$104, MATCH(F_interface!$A82&amp;RIGHT(F_interface!I$2, 2), Drivers!$C$2:$C$94, 0), MATCH(F_interface!$J82, Drivers!$L$2:$R$2, 0)),0)</f>
        <v>0</v>
      </c>
      <c r="J82" s="122" t="s">
        <v>0</v>
      </c>
      <c r="K82" s="20" t="str">
        <f t="shared" si="5"/>
        <v>SEWC_HHDU_HH_PR19CA012</v>
      </c>
      <c r="L82" s="23"/>
      <c r="M82" s="23"/>
    </row>
    <row r="83" spans="1:13" x14ac:dyDescent="0.25">
      <c r="A83" s="120" t="s">
        <v>34</v>
      </c>
      <c r="B83" s="21" t="s">
        <v>162</v>
      </c>
      <c r="C83" s="21" t="s">
        <v>11</v>
      </c>
      <c r="D83" s="21" t="s">
        <v>152</v>
      </c>
      <c r="E83" s="21">
        <f xml:space="preserve"> _xlfn.IFNA(INDEX(Drivers!$L$2:$R$104, MATCH(F_interface!$A83&amp;RIGHT(F_interface!E$2, 2), Drivers!$C$2:$C$94, 0), MATCH(F_interface!$J83, Drivers!$L$2:$R$2, 0)),0)</f>
        <v>0</v>
      </c>
      <c r="F83" s="21">
        <f xml:space="preserve"> _xlfn.IFNA(INDEX(Drivers!$L$2:$R$104, MATCH(F_interface!$A83&amp;RIGHT(F_interface!F$2, 2), Drivers!$C$2:$C$94, 0), MATCH(F_interface!$J83, Drivers!$L$2:$R$2, 0)),0)</f>
        <v>0</v>
      </c>
      <c r="G83" s="21">
        <f xml:space="preserve"> _xlfn.IFNA(INDEX(Drivers!$L$2:$R$104, MATCH(F_interface!$A83&amp;RIGHT(F_interface!G$2, 2), Drivers!$C$2:$C$94, 0), MATCH(F_interface!$J83, Drivers!$L$2:$R$2, 0)),0)</f>
        <v>0</v>
      </c>
      <c r="H83" s="21">
        <f xml:space="preserve"> _xlfn.IFNA(INDEX(Drivers!$L$2:$R$104, MATCH(F_interface!$A83&amp;RIGHT(F_interface!H$2, 2), Drivers!$C$2:$C$94, 0), MATCH(F_interface!$J83, Drivers!$L$2:$R$2, 0)),0)</f>
        <v>0</v>
      </c>
      <c r="I83" s="21">
        <f xml:space="preserve"> _xlfn.IFNA(INDEX(Drivers!$L$2:$R$104, MATCH(F_interface!$A83&amp;RIGHT(F_interface!I$2, 2), Drivers!$C$2:$C$94, 0), MATCH(F_interface!$J83, Drivers!$L$2:$R$2, 0)),0)</f>
        <v>0</v>
      </c>
      <c r="J83" s="122" t="s">
        <v>0</v>
      </c>
      <c r="K83" s="20" t="str">
        <f t="shared" si="5"/>
        <v>SSCC_HHDU_HH_PR19CA012</v>
      </c>
      <c r="L83" s="23"/>
      <c r="M83" s="23"/>
    </row>
    <row r="84" spans="1:13" x14ac:dyDescent="0.25">
      <c r="A84" s="120" t="s">
        <v>20</v>
      </c>
      <c r="B84" s="21" t="s">
        <v>163</v>
      </c>
      <c r="C84" s="21" t="s">
        <v>11</v>
      </c>
      <c r="D84" s="21" t="s">
        <v>152</v>
      </c>
      <c r="E84" s="21">
        <f xml:space="preserve"> _xlfn.IFNA( INDEX(Drivers!$L$2:$R$104, MATCH(F_interface!$A84&amp;RIGHT(F_interface!E$2, 2), Drivers!$C$2:$C$94, 0), MATCH(F_interface!$J84, Drivers!$L$2:$R$2, 0)),0)</f>
        <v>0.80656845857863901</v>
      </c>
      <c r="F84" s="21">
        <f xml:space="preserve"> _xlfn.IFNA( INDEX(Drivers!$L$2:$R$104, MATCH(F_interface!$A84&amp;RIGHT(F_interface!F$2, 2), Drivers!$C$2:$C$94, 0), MATCH(F_interface!$J84, Drivers!$L$2:$R$2, 0)),0)</f>
        <v>0.81596282172694001</v>
      </c>
      <c r="G84" s="21">
        <f xml:space="preserve"> _xlfn.IFNA( INDEX(Drivers!$L$2:$R$104, MATCH(F_interface!$A84&amp;RIGHT(F_interface!G$2, 2), Drivers!$C$2:$C$94, 0), MATCH(F_interface!$J84, Drivers!$L$2:$R$2, 0)),0)</f>
        <v>0.82502526091847805</v>
      </c>
      <c r="H84" s="21">
        <f xml:space="preserve"> _xlfn.IFNA( INDEX(Drivers!$L$2:$R$104, MATCH(F_interface!$A84&amp;RIGHT(F_interface!H$2, 2), Drivers!$C$2:$C$94, 0), MATCH(F_interface!$J84, Drivers!$L$2:$R$2, 0)),0)</f>
        <v>0.83354118136370903</v>
      </c>
      <c r="I84" s="21">
        <f xml:space="preserve"> _xlfn.IFNA( INDEX(Drivers!$L$2:$R$104, MATCH(F_interface!$A84&amp;RIGHT(F_interface!I$2, 2), Drivers!$C$2:$C$94, 0), MATCH(F_interface!$J84, Drivers!$L$2:$R$2, 0)),0)</f>
        <v>0.84134195885659102</v>
      </c>
      <c r="J84" s="122" t="s">
        <v>1</v>
      </c>
      <c r="K84" s="20" t="str">
        <f t="shared" si="5"/>
        <v>ANHC_HHM_HH_PR19CA012</v>
      </c>
      <c r="L84" s="23"/>
      <c r="M84" s="23"/>
    </row>
    <row r="85" spans="1:13" x14ac:dyDescent="0.25">
      <c r="A85" s="120" t="s">
        <v>157</v>
      </c>
      <c r="B85" s="21" t="s">
        <v>163</v>
      </c>
      <c r="C85" s="21" t="s">
        <v>11</v>
      </c>
      <c r="D85" s="21" t="s">
        <v>152</v>
      </c>
      <c r="E85" s="21">
        <f xml:space="preserve"> _xlfn.IFNA( INDEX(Drivers!$L$2:$R$104, MATCH(F_interface!$A85&amp;RIGHT(F_interface!E$2, 2), Drivers!$C$2:$C$94, 0), MATCH(F_interface!$J85, Drivers!$L$2:$R$2, 0)),0)</f>
        <v>0</v>
      </c>
      <c r="F85" s="21">
        <f xml:space="preserve"> _xlfn.IFNA( INDEX(Drivers!$L$2:$R$104, MATCH(F_interface!$A85&amp;RIGHT(F_interface!F$2, 2), Drivers!$C$2:$C$94, 0), MATCH(F_interface!$J85, Drivers!$L$2:$R$2, 0)),0)</f>
        <v>0</v>
      </c>
      <c r="G85" s="21">
        <f xml:space="preserve"> _xlfn.IFNA( INDEX(Drivers!$L$2:$R$104, MATCH(F_interface!$A85&amp;RIGHT(F_interface!G$2, 2), Drivers!$C$2:$C$94, 0), MATCH(F_interface!$J85, Drivers!$L$2:$R$2, 0)),0)</f>
        <v>0</v>
      </c>
      <c r="H85" s="21">
        <f xml:space="preserve"> _xlfn.IFNA( INDEX(Drivers!$L$2:$R$104, MATCH(F_interface!$A85&amp;RIGHT(F_interface!H$2, 2), Drivers!$C$2:$C$94, 0), MATCH(F_interface!$J85, Drivers!$L$2:$R$2, 0)),0)</f>
        <v>0</v>
      </c>
      <c r="I85" s="21">
        <f xml:space="preserve"> _xlfn.IFNA( INDEX(Drivers!$L$2:$R$104, MATCH(F_interface!$A85&amp;RIGHT(F_interface!I$2, 2), Drivers!$C$2:$C$94, 0), MATCH(F_interface!$J85, Drivers!$L$2:$R$2, 0)),0)</f>
        <v>0</v>
      </c>
      <c r="J85" s="122" t="s">
        <v>1</v>
      </c>
      <c r="K85" s="20" t="str">
        <f t="shared" si="5"/>
        <v>HDDC_HHM_HH_PR19CA012</v>
      </c>
      <c r="L85" s="23"/>
      <c r="M85" s="23"/>
    </row>
    <row r="86" spans="1:13" x14ac:dyDescent="0.25">
      <c r="A86" s="120" t="s">
        <v>21</v>
      </c>
      <c r="B86" s="21" t="s">
        <v>163</v>
      </c>
      <c r="C86" s="21" t="s">
        <v>11</v>
      </c>
      <c r="D86" s="21" t="s">
        <v>152</v>
      </c>
      <c r="E86" s="21">
        <f xml:space="preserve"> _xlfn.IFNA( INDEX(Drivers!$L$2:$R$104, MATCH(F_interface!$A86&amp;RIGHT(F_interface!E$2, 2), Drivers!$C$2:$C$94, 0), MATCH(F_interface!$J86, Drivers!$L$2:$R$2, 0)),0)</f>
        <v>0.51907761383599704</v>
      </c>
      <c r="F86" s="21">
        <f xml:space="preserve"> _xlfn.IFNA( INDEX(Drivers!$L$2:$R$104, MATCH(F_interface!$A86&amp;RIGHT(F_interface!F$2, 2), Drivers!$C$2:$C$94, 0), MATCH(F_interface!$J86, Drivers!$L$2:$R$2, 0)),0)</f>
        <v>0.53796386681628405</v>
      </c>
      <c r="G86" s="21">
        <f xml:space="preserve"> _xlfn.IFNA( INDEX(Drivers!$L$2:$R$104, MATCH(F_interface!$A86&amp;RIGHT(F_interface!G$2, 2), Drivers!$C$2:$C$94, 0), MATCH(F_interface!$J86, Drivers!$L$2:$R$2, 0)),0)</f>
        <v>0.55619621433266697</v>
      </c>
      <c r="H86" s="21">
        <f xml:space="preserve"> _xlfn.IFNA( INDEX(Drivers!$L$2:$R$104, MATCH(F_interface!$A86&amp;RIGHT(F_interface!H$2, 2), Drivers!$C$2:$C$94, 0), MATCH(F_interface!$J86, Drivers!$L$2:$R$2, 0)),0)</f>
        <v>0.57382340043533397</v>
      </c>
      <c r="I86" s="21">
        <f xml:space="preserve"> _xlfn.IFNA( INDEX(Drivers!$L$2:$R$104, MATCH(F_interface!$A86&amp;RIGHT(F_interface!I$2, 2), Drivers!$C$2:$C$94, 0), MATCH(F_interface!$J86, Drivers!$L$2:$R$2, 0)),0)</f>
        <v>0.59092189748931401</v>
      </c>
      <c r="J86" s="122" t="s">
        <v>1</v>
      </c>
      <c r="K86" s="20" t="str">
        <f t="shared" si="5"/>
        <v>NESC_HHM_HH_PR19CA012</v>
      </c>
      <c r="L86" s="23"/>
      <c r="M86" s="23"/>
    </row>
    <row r="87" spans="1:13" x14ac:dyDescent="0.25">
      <c r="A87" s="120" t="s">
        <v>22</v>
      </c>
      <c r="B87" s="21" t="s">
        <v>163</v>
      </c>
      <c r="C87" s="21" t="s">
        <v>11</v>
      </c>
      <c r="D87" s="21" t="s">
        <v>152</v>
      </c>
      <c r="E87" s="21">
        <f xml:space="preserve"> _xlfn.IFNA( INDEX(Drivers!$L$2:$R$104, MATCH(F_interface!$A87&amp;RIGHT(F_interface!E$2, 2), Drivers!$C$2:$C$94, 0), MATCH(F_interface!$J87, Drivers!$L$2:$R$2, 0)),0)</f>
        <v>0.47251725337148998</v>
      </c>
      <c r="F87" s="21">
        <f xml:space="preserve"> _xlfn.IFNA( INDEX(Drivers!$L$2:$R$104, MATCH(F_interface!$A87&amp;RIGHT(F_interface!F$2, 2), Drivers!$C$2:$C$94, 0), MATCH(F_interface!$J87, Drivers!$L$2:$R$2, 0)),0)</f>
        <v>0.48824431942192897</v>
      </c>
      <c r="G87" s="21">
        <f xml:space="preserve"> _xlfn.IFNA( INDEX(Drivers!$L$2:$R$104, MATCH(F_interface!$A87&amp;RIGHT(F_interface!G$2, 2), Drivers!$C$2:$C$94, 0), MATCH(F_interface!$J87, Drivers!$L$2:$R$2, 0)),0)</f>
        <v>0.50377464833648</v>
      </c>
      <c r="H87" s="21">
        <f xml:space="preserve"> _xlfn.IFNA( INDEX(Drivers!$L$2:$R$104, MATCH(F_interface!$A87&amp;RIGHT(F_interface!H$2, 2), Drivers!$C$2:$C$94, 0), MATCH(F_interface!$J87, Drivers!$L$2:$R$2, 0)),0)</f>
        <v>0.51906862465153603</v>
      </c>
      <c r="I87" s="21">
        <f xml:space="preserve"> _xlfn.IFNA( INDEX(Drivers!$L$2:$R$104, MATCH(F_interface!$A87&amp;RIGHT(F_interface!I$2, 2), Drivers!$C$2:$C$94, 0), MATCH(F_interface!$J87, Drivers!$L$2:$R$2, 0)),0)</f>
        <v>0.53410263612475495</v>
      </c>
      <c r="J87" s="122" t="s">
        <v>1</v>
      </c>
      <c r="K87" s="20" t="str">
        <f t="shared" si="5"/>
        <v>NWTC_HHM_HH_PR19CA012</v>
      </c>
      <c r="L87" s="23"/>
      <c r="M87" s="23"/>
    </row>
    <row r="88" spans="1:13" x14ac:dyDescent="0.25">
      <c r="A88" s="120" t="s">
        <v>23</v>
      </c>
      <c r="B88" s="21" t="s">
        <v>163</v>
      </c>
      <c r="C88" s="21" t="s">
        <v>11</v>
      </c>
      <c r="D88" s="21" t="s">
        <v>152</v>
      </c>
      <c r="E88" s="21">
        <f xml:space="preserve"> _xlfn.IFNA( INDEX(Drivers!$L$2:$R$104, MATCH(F_interface!$A88&amp;RIGHT(F_interface!E$2, 2), Drivers!$C$2:$C$94, 0), MATCH(F_interface!$J88, Drivers!$L$2:$R$2, 0)),0)</f>
        <v>0.79419333998317398</v>
      </c>
      <c r="F88" s="21">
        <f xml:space="preserve"> _xlfn.IFNA( INDEX(Drivers!$L$2:$R$104, MATCH(F_interface!$A88&amp;RIGHT(F_interface!F$2, 2), Drivers!$C$2:$C$94, 0), MATCH(F_interface!$J88, Drivers!$L$2:$R$2, 0)),0)</f>
        <v>0.80390470603075903</v>
      </c>
      <c r="G88" s="21">
        <f xml:space="preserve"> _xlfn.IFNA( INDEX(Drivers!$L$2:$R$104, MATCH(F_interface!$A88&amp;RIGHT(F_interface!G$2, 2), Drivers!$C$2:$C$94, 0), MATCH(F_interface!$J88, Drivers!$L$2:$R$2, 0)),0)</f>
        <v>0.81333241649925403</v>
      </c>
      <c r="H88" s="21">
        <f xml:space="preserve"> _xlfn.IFNA( INDEX(Drivers!$L$2:$R$104, MATCH(F_interface!$A88&amp;RIGHT(F_interface!H$2, 2), Drivers!$C$2:$C$94, 0), MATCH(F_interface!$J88, Drivers!$L$2:$R$2, 0)),0)</f>
        <v>0.82256332796418596</v>
      </c>
      <c r="I88" s="21">
        <f xml:space="preserve"> _xlfn.IFNA( INDEX(Drivers!$L$2:$R$104, MATCH(F_interface!$A88&amp;RIGHT(F_interface!I$2, 2), Drivers!$C$2:$C$94, 0), MATCH(F_interface!$J88, Drivers!$L$2:$R$2, 0)),0)</f>
        <v>0.83162386419243395</v>
      </c>
      <c r="J88" s="122" t="s">
        <v>1</v>
      </c>
      <c r="K88" s="20" t="str">
        <f t="shared" si="5"/>
        <v>SRNC_HHM_HH_PR19CA012</v>
      </c>
      <c r="L88" s="23"/>
      <c r="M88" s="23"/>
    </row>
    <row r="89" spans="1:13" x14ac:dyDescent="0.25">
      <c r="A89" s="120" t="s">
        <v>156</v>
      </c>
      <c r="B89" s="21" t="s">
        <v>163</v>
      </c>
      <c r="C89" s="21" t="s">
        <v>11</v>
      </c>
      <c r="D89" s="21" t="s">
        <v>152</v>
      </c>
      <c r="E89" s="21">
        <f xml:space="preserve"> _xlfn.IFNA( INDEX(Drivers!$L$2:$R$104, MATCH(F_interface!$A89&amp;RIGHT(F_interface!E$2, 2), Drivers!$C$2:$C$94, 0), MATCH(F_interface!$J89, Drivers!$L$2:$R$2, 0)),0)</f>
        <v>0</v>
      </c>
      <c r="F89" s="21">
        <f xml:space="preserve"> _xlfn.IFNA( INDEX(Drivers!$L$2:$R$104, MATCH(F_interface!$A89&amp;RIGHT(F_interface!F$2, 2), Drivers!$C$2:$C$94, 0), MATCH(F_interface!$J89, Drivers!$L$2:$R$2, 0)),0)</f>
        <v>0</v>
      </c>
      <c r="G89" s="21">
        <f xml:space="preserve"> _xlfn.IFNA( INDEX(Drivers!$L$2:$R$104, MATCH(F_interface!$A89&amp;RIGHT(F_interface!G$2, 2), Drivers!$C$2:$C$94, 0), MATCH(F_interface!$J89, Drivers!$L$2:$R$2, 0)),0)</f>
        <v>0</v>
      </c>
      <c r="H89" s="21">
        <f xml:space="preserve"> _xlfn.IFNA( INDEX(Drivers!$L$2:$R$104, MATCH(F_interface!$A89&amp;RIGHT(F_interface!H$2, 2), Drivers!$C$2:$C$94, 0), MATCH(F_interface!$J89, Drivers!$L$2:$R$2, 0)),0)</f>
        <v>0</v>
      </c>
      <c r="I89" s="21">
        <f xml:space="preserve"> _xlfn.IFNA( INDEX(Drivers!$L$2:$R$104, MATCH(F_interface!$A89&amp;RIGHT(F_interface!I$2, 2), Drivers!$C$2:$C$94, 0), MATCH(F_interface!$J89, Drivers!$L$2:$R$2, 0)),0)</f>
        <v>0</v>
      </c>
      <c r="J89" s="122" t="s">
        <v>1</v>
      </c>
      <c r="K89" s="20" t="str">
        <f t="shared" si="5"/>
        <v>SVEC_HHM_HH_PR19CA012</v>
      </c>
      <c r="L89" s="23"/>
      <c r="M89" s="23"/>
    </row>
    <row r="90" spans="1:13" x14ac:dyDescent="0.25">
      <c r="A90" s="120" t="s">
        <v>232</v>
      </c>
      <c r="B90" s="21" t="s">
        <v>163</v>
      </c>
      <c r="C90" s="21" t="s">
        <v>11</v>
      </c>
      <c r="D90" s="21" t="s">
        <v>152</v>
      </c>
      <c r="E90" s="21">
        <f xml:space="preserve"> _xlfn.IFNA( INDEX(Drivers!$L$2:$R$104, MATCH(F_interface!$A90&amp;RIGHT(F_interface!E$2, 2), Drivers!$C$2:$C$94, 0), MATCH(F_interface!$J90, Drivers!$L$2:$R$2, 0)),0)</f>
        <v>0.48712616871096698</v>
      </c>
      <c r="F90" s="21">
        <f xml:space="preserve"> _xlfn.IFNA( INDEX(Drivers!$L$2:$R$104, MATCH(F_interface!$A90&amp;RIGHT(F_interface!F$2, 2), Drivers!$C$2:$C$94, 0), MATCH(F_interface!$J90, Drivers!$L$2:$R$2, 0)),0)</f>
        <v>0.51471564080495302</v>
      </c>
      <c r="G90" s="21">
        <f xml:space="preserve"> _xlfn.IFNA( INDEX(Drivers!$L$2:$R$104, MATCH(F_interface!$A90&amp;RIGHT(F_interface!G$2, 2), Drivers!$C$2:$C$94, 0), MATCH(F_interface!$J90, Drivers!$L$2:$R$2, 0)),0)</f>
        <v>0.54200766713486903</v>
      </c>
      <c r="H90" s="21">
        <f xml:space="preserve"> _xlfn.IFNA( INDEX(Drivers!$L$2:$R$104, MATCH(F_interface!$A90&amp;RIGHT(F_interface!H$2, 2), Drivers!$C$2:$C$94, 0), MATCH(F_interface!$J90, Drivers!$L$2:$R$2, 0)),0)</f>
        <v>0.56887648674220903</v>
      </c>
      <c r="I90" s="21">
        <f xml:space="preserve"> _xlfn.IFNA( INDEX(Drivers!$L$2:$R$104, MATCH(F_interface!$A90&amp;RIGHT(F_interface!I$2, 2), Drivers!$C$2:$C$94, 0), MATCH(F_interface!$J90, Drivers!$L$2:$R$2, 0)),0)</f>
        <v>0.59532495590665602</v>
      </c>
      <c r="J90" s="122" t="s">
        <v>1</v>
      </c>
      <c r="K90" s="20" t="str">
        <f t="shared" ref="K90:K91" si="6">A90&amp;B90</f>
        <v>SVHC_HHM_HH_PR19CA012</v>
      </c>
      <c r="L90" s="23"/>
      <c r="M90" s="23"/>
    </row>
    <row r="91" spans="1:13" x14ac:dyDescent="0.25">
      <c r="A91" s="120" t="s">
        <v>24</v>
      </c>
      <c r="B91" s="21" t="s">
        <v>163</v>
      </c>
      <c r="C91" s="21" t="s">
        <v>11</v>
      </c>
      <c r="D91" s="21" t="s">
        <v>152</v>
      </c>
      <c r="E91" s="21">
        <f xml:space="preserve"> _xlfn.IFNA( INDEX(Drivers!$L$2:$R$104, MATCH(F_interface!$A91&amp;RIGHT(F_interface!E$2, 2), Drivers!$C$2:$C$94, 0), MATCH(F_interface!$J91, Drivers!$L$2:$R$2, 0)),0)</f>
        <v>0.51616763952462952</v>
      </c>
      <c r="F91" s="21">
        <f xml:space="preserve"> _xlfn.IFNA( INDEX(Drivers!$L$2:$R$104, MATCH(F_interface!$A91&amp;RIGHT(F_interface!F$2, 2), Drivers!$C$2:$C$94, 0), MATCH(F_interface!$J91, Drivers!$L$2:$R$2, 0)),0)</f>
        <v>0.55123463020465346</v>
      </c>
      <c r="G91" s="21">
        <f xml:space="preserve"> _xlfn.IFNA( INDEX(Drivers!$L$2:$R$104, MATCH(F_interface!$A91&amp;RIGHT(F_interface!G$2, 2), Drivers!$C$2:$C$94, 0), MATCH(F_interface!$J91, Drivers!$L$2:$R$2, 0)),0)</f>
        <v>0.58508895991437737</v>
      </c>
      <c r="H91" s="21">
        <f xml:space="preserve"> _xlfn.IFNA( INDEX(Drivers!$L$2:$R$104, MATCH(F_interface!$A91&amp;RIGHT(F_interface!H$2, 2), Drivers!$C$2:$C$94, 0), MATCH(F_interface!$J91, Drivers!$L$2:$R$2, 0)),0)</f>
        <v>0.61786788537319004</v>
      </c>
      <c r="I91" s="21">
        <f xml:space="preserve"> _xlfn.IFNA( INDEX(Drivers!$L$2:$R$104, MATCH(F_interface!$A91&amp;RIGHT(F_interface!I$2, 2), Drivers!$C$2:$C$94, 0), MATCH(F_interface!$J91, Drivers!$L$2:$R$2, 0)),0)</f>
        <v>0.64987097650414238</v>
      </c>
      <c r="J91" s="122" t="s">
        <v>1</v>
      </c>
      <c r="K91" s="20" t="str">
        <f t="shared" si="6"/>
        <v>SVTC_HHM_HH_PR19CA012</v>
      </c>
      <c r="L91" s="23"/>
      <c r="M91" s="23"/>
    </row>
    <row r="92" spans="1:13" x14ac:dyDescent="0.25">
      <c r="A92" s="120" t="s">
        <v>35</v>
      </c>
      <c r="B92" s="21" t="s">
        <v>163</v>
      </c>
      <c r="C92" s="21" t="s">
        <v>11</v>
      </c>
      <c r="D92" s="21" t="s">
        <v>152</v>
      </c>
      <c r="E92" s="21">
        <f xml:space="preserve"> _xlfn.IFNA( INDEX(Drivers!$L$2:$R$104, MATCH(F_interface!$A92&amp;RIGHT(F_interface!E$2, 2), Drivers!$C$2:$C$94, 0), MATCH(F_interface!$J92, Drivers!$L$2:$R$2, 0)),0)</f>
        <v>0.81474475869021001</v>
      </c>
      <c r="F92" s="21">
        <f xml:space="preserve"> _xlfn.IFNA( INDEX(Drivers!$L$2:$R$104, MATCH(F_interface!$A92&amp;RIGHT(F_interface!F$2, 2), Drivers!$C$2:$C$94, 0), MATCH(F_interface!$J92, Drivers!$L$2:$R$2, 0)),0)</f>
        <v>0.82346180875851405</v>
      </c>
      <c r="G92" s="21">
        <f xml:space="preserve"> _xlfn.IFNA( INDEX(Drivers!$L$2:$R$104, MATCH(F_interface!$A92&amp;RIGHT(F_interface!G$2, 2), Drivers!$C$2:$C$94, 0), MATCH(F_interface!$J92, Drivers!$L$2:$R$2, 0)),0)</f>
        <v>0.83187375008063902</v>
      </c>
      <c r="H92" s="21">
        <f xml:space="preserve"> _xlfn.IFNA( INDEX(Drivers!$L$2:$R$104, MATCH(F_interface!$A92&amp;RIGHT(F_interface!H$2, 2), Drivers!$C$2:$C$94, 0), MATCH(F_interface!$J92, Drivers!$L$2:$R$2, 0)),0)</f>
        <v>0.83942027306065903</v>
      </c>
      <c r="I92" s="21">
        <f xml:space="preserve"> _xlfn.IFNA( INDEX(Drivers!$L$2:$R$104, MATCH(F_interface!$A92&amp;RIGHT(F_interface!I$2, 2), Drivers!$C$2:$C$94, 0), MATCH(F_interface!$J92, Drivers!$L$2:$R$2, 0)),0)</f>
        <v>0.846145237897172</v>
      </c>
      <c r="J92" s="122" t="s">
        <v>1</v>
      </c>
      <c r="K92" s="20" t="str">
        <f t="shared" si="5"/>
        <v>SWBC_HHM_HH_PR19CA012</v>
      </c>
      <c r="L92" s="23"/>
      <c r="M92" s="23"/>
    </row>
    <row r="93" spans="1:13" x14ac:dyDescent="0.25">
      <c r="A93" s="120" t="s">
        <v>25</v>
      </c>
      <c r="B93" s="21" t="s">
        <v>163</v>
      </c>
      <c r="C93" s="21" t="s">
        <v>11</v>
      </c>
      <c r="D93" s="21" t="s">
        <v>152</v>
      </c>
      <c r="E93" s="21">
        <f xml:space="preserve"> _xlfn.IFNA( INDEX(Drivers!$L$2:$R$104, MATCH(F_interface!$A93&amp;RIGHT(F_interface!E$2, 2), Drivers!$C$2:$C$94, 0), MATCH(F_interface!$J93, Drivers!$L$2:$R$2, 0)),0)</f>
        <v>0.54603257143359596</v>
      </c>
      <c r="F93" s="21">
        <f xml:space="preserve"> _xlfn.IFNA( INDEX(Drivers!$L$2:$R$104, MATCH(F_interface!$A93&amp;RIGHT(F_interface!F$2, 2), Drivers!$C$2:$C$94, 0), MATCH(F_interface!$J93, Drivers!$L$2:$R$2, 0)),0)</f>
        <v>0.56261739383169695</v>
      </c>
      <c r="G93" s="21">
        <f xml:space="preserve"> _xlfn.IFNA( INDEX(Drivers!$L$2:$R$104, MATCH(F_interface!$A93&amp;RIGHT(F_interface!G$2, 2), Drivers!$C$2:$C$94, 0), MATCH(F_interface!$J93, Drivers!$L$2:$R$2, 0)),0)</f>
        <v>0.58888250528368302</v>
      </c>
      <c r="H93" s="21">
        <f xml:space="preserve"> _xlfn.IFNA( INDEX(Drivers!$L$2:$R$104, MATCH(F_interface!$A93&amp;RIGHT(F_interface!H$2, 2), Drivers!$C$2:$C$94, 0), MATCH(F_interface!$J93, Drivers!$L$2:$R$2, 0)),0)</f>
        <v>0.61527671252203597</v>
      </c>
      <c r="I93" s="21">
        <f xml:space="preserve"> _xlfn.IFNA( INDEX(Drivers!$L$2:$R$104, MATCH(F_interface!$A93&amp;RIGHT(F_interface!I$2, 2), Drivers!$C$2:$C$94, 0), MATCH(F_interface!$J93, Drivers!$L$2:$R$2, 0)),0)</f>
        <v>0.64512162723803801</v>
      </c>
      <c r="J93" s="122" t="s">
        <v>1</v>
      </c>
      <c r="K93" s="20" t="str">
        <f t="shared" si="5"/>
        <v>TMSC_HHM_HH_PR19CA012</v>
      </c>
      <c r="L93" s="23"/>
      <c r="M93" s="23"/>
    </row>
    <row r="94" spans="1:13" x14ac:dyDescent="0.25">
      <c r="A94" s="120" t="s">
        <v>41</v>
      </c>
      <c r="B94" s="21" t="s">
        <v>163</v>
      </c>
      <c r="C94" s="21" t="s">
        <v>11</v>
      </c>
      <c r="D94" s="21" t="s">
        <v>152</v>
      </c>
      <c r="E94" s="21">
        <f xml:space="preserve"> _xlfn.IFNA( INDEX(Drivers!$L$2:$R$104, MATCH(F_interface!$A94&amp;RIGHT(F_interface!E$2, 2), Drivers!$C$2:$C$94, 0), MATCH(F_interface!$J94, Drivers!$L$2:$R$2, 0)),0)</f>
        <v>0.478537233706613</v>
      </c>
      <c r="F94" s="21">
        <f xml:space="preserve"> _xlfn.IFNA( INDEX(Drivers!$L$2:$R$104, MATCH(F_interface!$A94&amp;RIGHT(F_interface!F$2, 2), Drivers!$C$2:$C$94, 0), MATCH(F_interface!$J94, Drivers!$L$2:$R$2, 0)),0)</f>
        <v>0.491263371608882</v>
      </c>
      <c r="G94" s="21">
        <f xml:space="preserve"> _xlfn.IFNA( INDEX(Drivers!$L$2:$R$104, MATCH(F_interface!$A94&amp;RIGHT(F_interface!G$2, 2), Drivers!$C$2:$C$94, 0), MATCH(F_interface!$J94, Drivers!$L$2:$R$2, 0)),0)</f>
        <v>0.50363690369285596</v>
      </c>
      <c r="H94" s="21">
        <f xml:space="preserve"> _xlfn.IFNA( INDEX(Drivers!$L$2:$R$104, MATCH(F_interface!$A94&amp;RIGHT(F_interface!H$2, 2), Drivers!$C$2:$C$94, 0), MATCH(F_interface!$J94, Drivers!$L$2:$R$2, 0)),0)</f>
        <v>0.51562502141681299</v>
      </c>
      <c r="I94" s="21">
        <f xml:space="preserve"> _xlfn.IFNA( INDEX(Drivers!$L$2:$R$104, MATCH(F_interface!$A94&amp;RIGHT(F_interface!I$2, 2), Drivers!$C$2:$C$94, 0), MATCH(F_interface!$J94, Drivers!$L$2:$R$2, 0)),0)</f>
        <v>0.52723652860733095</v>
      </c>
      <c r="J94" s="122" t="s">
        <v>1</v>
      </c>
      <c r="K94" s="20" t="str">
        <f t="shared" si="5"/>
        <v>WSHC_HHM_HH_PR19CA012</v>
      </c>
      <c r="L94" s="23"/>
      <c r="M94" s="23"/>
    </row>
    <row r="95" spans="1:13" x14ac:dyDescent="0.25">
      <c r="A95" s="120" t="s">
        <v>26</v>
      </c>
      <c r="B95" s="21" t="s">
        <v>163</v>
      </c>
      <c r="C95" s="21" t="s">
        <v>11</v>
      </c>
      <c r="D95" s="21" t="s">
        <v>152</v>
      </c>
      <c r="E95" s="21">
        <f xml:space="preserve"> _xlfn.IFNA( INDEX(Drivers!$L$2:$R$104, MATCH(F_interface!$A95&amp;RIGHT(F_interface!E$2, 2), Drivers!$C$2:$C$94, 0), MATCH(F_interface!$J95, Drivers!$L$2:$R$2, 0)),0)</f>
        <v>0.65779302716344101</v>
      </c>
      <c r="F95" s="21">
        <f xml:space="preserve"> _xlfn.IFNA( INDEX(Drivers!$L$2:$R$104, MATCH(F_interface!$A95&amp;RIGHT(F_interface!F$2, 2), Drivers!$C$2:$C$94, 0), MATCH(F_interface!$J95, Drivers!$L$2:$R$2, 0)),0)</f>
        <v>0.67495748521111298</v>
      </c>
      <c r="G95" s="21">
        <f xml:space="preserve"> _xlfn.IFNA( INDEX(Drivers!$L$2:$R$104, MATCH(F_interface!$A95&amp;RIGHT(F_interface!G$2, 2), Drivers!$C$2:$C$94, 0), MATCH(F_interface!$J95, Drivers!$L$2:$R$2, 0)),0)</f>
        <v>0.69124109105613896</v>
      </c>
      <c r="H95" s="21">
        <f xml:space="preserve"> _xlfn.IFNA( INDEX(Drivers!$L$2:$R$104, MATCH(F_interface!$A95&amp;RIGHT(F_interface!H$2, 2), Drivers!$C$2:$C$94, 0), MATCH(F_interface!$J95, Drivers!$L$2:$R$2, 0)),0)</f>
        <v>0.70677441789476003</v>
      </c>
      <c r="I95" s="21">
        <f xml:space="preserve"> _xlfn.IFNA( INDEX(Drivers!$L$2:$R$104, MATCH(F_interface!$A95&amp;RIGHT(F_interface!I$2, 2), Drivers!$C$2:$C$94, 0), MATCH(F_interface!$J95, Drivers!$L$2:$R$2, 0)),0)</f>
        <v>0.72162850229796904</v>
      </c>
      <c r="J95" s="122" t="s">
        <v>1</v>
      </c>
      <c r="K95" s="20" t="str">
        <f t="shared" si="5"/>
        <v>WSXC_HHM_HH_PR19CA012</v>
      </c>
      <c r="L95" s="23"/>
      <c r="M95" s="23"/>
    </row>
    <row r="96" spans="1:13" x14ac:dyDescent="0.25">
      <c r="A96" s="120" t="s">
        <v>27</v>
      </c>
      <c r="B96" s="21" t="s">
        <v>163</v>
      </c>
      <c r="C96" s="21" t="s">
        <v>11</v>
      </c>
      <c r="D96" s="21" t="s">
        <v>152</v>
      </c>
      <c r="E96" s="21">
        <f xml:space="preserve"> _xlfn.IFNA( INDEX(Drivers!$L$2:$R$104, MATCH(F_interface!$A96&amp;RIGHT(F_interface!E$2, 2), Drivers!$C$2:$C$94, 0), MATCH(F_interface!$J96, Drivers!$L$2:$R$2, 0)),0)</f>
        <v>0.58961776463748305</v>
      </c>
      <c r="F96" s="21">
        <f xml:space="preserve"> _xlfn.IFNA( INDEX(Drivers!$L$2:$R$104, MATCH(F_interface!$A96&amp;RIGHT(F_interface!F$2, 2), Drivers!$C$2:$C$94, 0), MATCH(F_interface!$J96, Drivers!$L$2:$R$2, 0)),0)</f>
        <v>0.60857814881721495</v>
      </c>
      <c r="G96" s="21">
        <f xml:space="preserve"> _xlfn.IFNA( INDEX(Drivers!$L$2:$R$104, MATCH(F_interface!$A96&amp;RIGHT(F_interface!G$2, 2), Drivers!$C$2:$C$94, 0), MATCH(F_interface!$J96, Drivers!$L$2:$R$2, 0)),0)</f>
        <v>0.62602405673543005</v>
      </c>
      <c r="H96" s="21">
        <f xml:space="preserve"> _xlfn.IFNA( INDEX(Drivers!$L$2:$R$104, MATCH(F_interface!$A96&amp;RIGHT(F_interface!H$2, 2), Drivers!$C$2:$C$94, 0), MATCH(F_interface!$J96, Drivers!$L$2:$R$2, 0)),0)</f>
        <v>0.64207302535622102</v>
      </c>
      <c r="I96" s="21">
        <f xml:space="preserve"> _xlfn.IFNA( INDEX(Drivers!$L$2:$R$104, MATCH(F_interface!$A96&amp;RIGHT(F_interface!I$2, 2), Drivers!$C$2:$C$94, 0), MATCH(F_interface!$J96, Drivers!$L$2:$R$2, 0)),0)</f>
        <v>0.65686409896975895</v>
      </c>
      <c r="J96" s="122" t="s">
        <v>1</v>
      </c>
      <c r="K96" s="20" t="str">
        <f t="shared" si="5"/>
        <v>YKYC_HHM_HH_PR19CA012</v>
      </c>
      <c r="L96" s="23"/>
      <c r="M96" s="23"/>
    </row>
    <row r="97" spans="1:13" x14ac:dyDescent="0.25">
      <c r="A97" s="120" t="s">
        <v>28</v>
      </c>
      <c r="B97" s="21" t="s">
        <v>163</v>
      </c>
      <c r="C97" s="21" t="s">
        <v>11</v>
      </c>
      <c r="D97" s="21" t="s">
        <v>152</v>
      </c>
      <c r="E97" s="21">
        <f xml:space="preserve"> _xlfn.IFNA( INDEX(Drivers!$L$2:$R$104, MATCH(F_interface!$A97&amp;RIGHT(F_interface!E$2, 2), Drivers!$C$2:$C$94, 0), MATCH(F_interface!$J97, Drivers!$L$2:$R$2, 0)),0)</f>
        <v>0.61763954201594795</v>
      </c>
      <c r="F97" s="21">
        <f xml:space="preserve"> _xlfn.IFNA( INDEX(Drivers!$L$2:$R$104, MATCH(F_interface!$A97&amp;RIGHT(F_interface!F$2, 2), Drivers!$C$2:$C$94, 0), MATCH(F_interface!$J97, Drivers!$L$2:$R$2, 0)),0)</f>
        <v>0.65257352040512795</v>
      </c>
      <c r="G97" s="21">
        <f xml:space="preserve"> _xlfn.IFNA( INDEX(Drivers!$L$2:$R$104, MATCH(F_interface!$A97&amp;RIGHT(F_interface!G$2, 2), Drivers!$C$2:$C$94, 0), MATCH(F_interface!$J97, Drivers!$L$2:$R$2, 0)),0)</f>
        <v>0.69381793929464797</v>
      </c>
      <c r="H97" s="21">
        <f xml:space="preserve"> _xlfn.IFNA( INDEX(Drivers!$L$2:$R$104, MATCH(F_interface!$A97&amp;RIGHT(F_interface!H$2, 2), Drivers!$C$2:$C$94, 0), MATCH(F_interface!$J97, Drivers!$L$2:$R$2, 0)),0)</f>
        <v>0.73657576744096998</v>
      </c>
      <c r="I97" s="21">
        <f xml:space="preserve"> _xlfn.IFNA( INDEX(Drivers!$L$2:$R$104, MATCH(F_interface!$A97&amp;RIGHT(F_interface!I$2, 2), Drivers!$C$2:$C$94, 0), MATCH(F_interface!$J97, Drivers!$L$2:$R$2, 0)),0)</f>
        <v>0.77919824513001901</v>
      </c>
      <c r="J97" s="122" t="s">
        <v>1</v>
      </c>
      <c r="K97" s="20" t="str">
        <f t="shared" si="5"/>
        <v>AFWC_HHM_HH_PR19CA012</v>
      </c>
      <c r="L97" s="23"/>
      <c r="M97" s="23"/>
    </row>
    <row r="98" spans="1:13" x14ac:dyDescent="0.25">
      <c r="A98" s="120" t="s">
        <v>29</v>
      </c>
      <c r="B98" s="21" t="s">
        <v>163</v>
      </c>
      <c r="C98" s="21" t="s">
        <v>11</v>
      </c>
      <c r="D98" s="21" t="s">
        <v>152</v>
      </c>
      <c r="E98" s="21">
        <f xml:space="preserve"> _xlfn.IFNA( INDEX(Drivers!$L$2:$R$104, MATCH(F_interface!$A98&amp;RIGHT(F_interface!E$2, 2), Drivers!$C$2:$C$94, 0), MATCH(F_interface!$J98, Drivers!$L$2:$R$2, 0)),0)</f>
        <v>0.66546079371109002</v>
      </c>
      <c r="F98" s="21">
        <f xml:space="preserve"> _xlfn.IFNA( INDEX(Drivers!$L$2:$R$104, MATCH(F_interface!$A98&amp;RIGHT(F_interface!F$2, 2), Drivers!$C$2:$C$94, 0), MATCH(F_interface!$J98, Drivers!$L$2:$R$2, 0)),0)</f>
        <v>0.68307847943659805</v>
      </c>
      <c r="G98" s="21">
        <f xml:space="preserve"> _xlfn.IFNA( INDEX(Drivers!$L$2:$R$104, MATCH(F_interface!$A98&amp;RIGHT(F_interface!G$2, 2), Drivers!$C$2:$C$94, 0), MATCH(F_interface!$J98, Drivers!$L$2:$R$2, 0)),0)</f>
        <v>0.70072533234774304</v>
      </c>
      <c r="H98" s="21">
        <f xml:space="preserve"> _xlfn.IFNA( INDEX(Drivers!$L$2:$R$104, MATCH(F_interface!$A98&amp;RIGHT(F_interface!H$2, 2), Drivers!$C$2:$C$94, 0), MATCH(F_interface!$J98, Drivers!$L$2:$R$2, 0)),0)</f>
        <v>0.71839157108562302</v>
      </c>
      <c r="I98" s="21">
        <f xml:space="preserve"> _xlfn.IFNA( INDEX(Drivers!$L$2:$R$104, MATCH(F_interface!$A98&amp;RIGHT(F_interface!I$2, 2), Drivers!$C$2:$C$94, 0), MATCH(F_interface!$J98, Drivers!$L$2:$R$2, 0)),0)</f>
        <v>0.73660938295825296</v>
      </c>
      <c r="J98" s="122" t="s">
        <v>1</v>
      </c>
      <c r="K98" s="20" t="str">
        <f t="shared" si="5"/>
        <v>BRLC_HHM_HH_PR19CA012</v>
      </c>
      <c r="L98" s="23"/>
      <c r="M98" s="23"/>
    </row>
    <row r="99" spans="1:13" x14ac:dyDescent="0.25">
      <c r="A99" s="120" t="s">
        <v>30</v>
      </c>
      <c r="B99" s="21" t="s">
        <v>163</v>
      </c>
      <c r="C99" s="21" t="s">
        <v>11</v>
      </c>
      <c r="D99" s="21" t="s">
        <v>152</v>
      </c>
      <c r="E99" s="21">
        <f xml:space="preserve"> _xlfn.IFNA( INDEX(Drivers!$L$2:$R$104, MATCH(F_interface!$A99&amp;RIGHT(F_interface!E$2, 2), Drivers!$C$2:$C$94, 0), MATCH(F_interface!$J99, Drivers!$L$2:$R$2, 0)),0)</f>
        <v>0.65850973751058428</v>
      </c>
      <c r="F99" s="21">
        <f xml:space="preserve"> _xlfn.IFNA( INDEX(Drivers!$L$2:$R$104, MATCH(F_interface!$A99&amp;RIGHT(F_interface!F$2, 2), Drivers!$C$2:$C$94, 0), MATCH(F_interface!$J99, Drivers!$L$2:$R$2, 0)),0)</f>
        <v>0.67171589665909281</v>
      </c>
      <c r="G99" s="21">
        <f xml:space="preserve"> _xlfn.IFNA( INDEX(Drivers!$L$2:$R$104, MATCH(F_interface!$A99&amp;RIGHT(F_interface!G$2, 2), Drivers!$C$2:$C$94, 0), MATCH(F_interface!$J99, Drivers!$L$2:$R$2, 0)),0)</f>
        <v>0.68436898887680864</v>
      </c>
      <c r="H99" s="21">
        <f xml:space="preserve"> _xlfn.IFNA( INDEX(Drivers!$L$2:$R$104, MATCH(F_interface!$A99&amp;RIGHT(F_interface!H$2, 2), Drivers!$C$2:$C$94, 0), MATCH(F_interface!$J99, Drivers!$L$2:$R$2, 0)),0)</f>
        <v>0.69659185369908561</v>
      </c>
      <c r="I99" s="21">
        <f xml:space="preserve"> _xlfn.IFNA( INDEX(Drivers!$L$2:$R$104, MATCH(F_interface!$A99&amp;RIGHT(F_interface!I$2, 2), Drivers!$C$2:$C$94, 0), MATCH(F_interface!$J99, Drivers!$L$2:$R$2, 0)),0)</f>
        <v>0.70825415186317442</v>
      </c>
      <c r="J99" s="122" t="s">
        <v>1</v>
      </c>
      <c r="K99" s="20" t="str">
        <f t="shared" ref="K99" si="7">A99&amp;B99</f>
        <v>DVWC_HHM_HH_PR19CA012</v>
      </c>
      <c r="L99" s="23"/>
      <c r="M99" s="23"/>
    </row>
    <row r="100" spans="1:13" x14ac:dyDescent="0.25">
      <c r="A100" s="120" t="s">
        <v>31</v>
      </c>
      <c r="B100" s="21" t="s">
        <v>163</v>
      </c>
      <c r="C100" s="21" t="s">
        <v>11</v>
      </c>
      <c r="D100" s="21" t="s">
        <v>152</v>
      </c>
      <c r="E100" s="21">
        <f xml:space="preserve"> _xlfn.IFNA( INDEX(Drivers!$L$2:$R$104, MATCH(F_interface!$A100&amp;RIGHT(F_interface!E$2, 2), Drivers!$C$2:$C$94, 0), MATCH(F_interface!$J100, Drivers!$L$2:$R$2, 0)),0)</f>
        <v>0.35844738972143497</v>
      </c>
      <c r="F100" s="21">
        <f xml:space="preserve"> _xlfn.IFNA( INDEX(Drivers!$L$2:$R$104, MATCH(F_interface!$A100&amp;RIGHT(F_interface!F$2, 2), Drivers!$C$2:$C$94, 0), MATCH(F_interface!$J100, Drivers!$L$2:$R$2, 0)),0)</f>
        <v>0.37894973798071402</v>
      </c>
      <c r="G100" s="21">
        <f xml:space="preserve"> _xlfn.IFNA( INDEX(Drivers!$L$2:$R$104, MATCH(F_interface!$A100&amp;RIGHT(F_interface!G$2, 2), Drivers!$C$2:$C$94, 0), MATCH(F_interface!$J100, Drivers!$L$2:$R$2, 0)),0)</f>
        <v>0.39922684652080898</v>
      </c>
      <c r="H100" s="21">
        <f xml:space="preserve"> _xlfn.IFNA( INDEX(Drivers!$L$2:$R$104, MATCH(F_interface!$A100&amp;RIGHT(F_interface!H$2, 2), Drivers!$C$2:$C$94, 0), MATCH(F_interface!$J100, Drivers!$L$2:$R$2, 0)),0)</f>
        <v>0.41932583534950602</v>
      </c>
      <c r="I100" s="21">
        <f xml:space="preserve"> _xlfn.IFNA( INDEX(Drivers!$L$2:$R$104, MATCH(F_interface!$A100&amp;RIGHT(F_interface!I$2, 2), Drivers!$C$2:$C$94, 0), MATCH(F_interface!$J100, Drivers!$L$2:$R$2, 0)),0)</f>
        <v>0.43929195605423699</v>
      </c>
      <c r="J100" s="122" t="s">
        <v>1</v>
      </c>
      <c r="K100" s="20" t="str">
        <f t="shared" si="5"/>
        <v>PRTC_HHM_HH_PR19CA012</v>
      </c>
      <c r="L100" s="23"/>
      <c r="M100" s="23"/>
    </row>
    <row r="101" spans="1:13" x14ac:dyDescent="0.25">
      <c r="A101" s="120" t="s">
        <v>32</v>
      </c>
      <c r="B101" s="21" t="s">
        <v>163</v>
      </c>
      <c r="C101" s="21" t="s">
        <v>11</v>
      </c>
      <c r="D101" s="21" t="s">
        <v>152</v>
      </c>
      <c r="E101" s="21">
        <f xml:space="preserve"> _xlfn.IFNA( INDEX(Drivers!$L$2:$R$104, MATCH(F_interface!$A101&amp;RIGHT(F_interface!E$2, 2), Drivers!$C$2:$C$94, 0), MATCH(F_interface!$J101, Drivers!$L$2:$R$2, 0)),0)</f>
        <v>0.64539368570209898</v>
      </c>
      <c r="F101" s="21">
        <f xml:space="preserve"> _xlfn.IFNA( INDEX(Drivers!$L$2:$R$104, MATCH(F_interface!$A101&amp;RIGHT(F_interface!F$2, 2), Drivers!$C$2:$C$94, 0), MATCH(F_interface!$J101, Drivers!$L$2:$R$2, 0)),0)</f>
        <v>0.70855384086194095</v>
      </c>
      <c r="G101" s="21">
        <f xml:space="preserve"> _xlfn.IFNA( INDEX(Drivers!$L$2:$R$104, MATCH(F_interface!$A101&amp;RIGHT(F_interface!G$2, 2), Drivers!$C$2:$C$94, 0), MATCH(F_interface!$J101, Drivers!$L$2:$R$2, 0)),0)</f>
        <v>0.769403936356438</v>
      </c>
      <c r="H101" s="21">
        <f xml:space="preserve"> _xlfn.IFNA( INDEX(Drivers!$L$2:$R$104, MATCH(F_interface!$A101&amp;RIGHT(F_interface!H$2, 2), Drivers!$C$2:$C$94, 0), MATCH(F_interface!$J101, Drivers!$L$2:$R$2, 0)),0)</f>
        <v>0.82801115915159496</v>
      </c>
      <c r="I101" s="21">
        <f xml:space="preserve"> _xlfn.IFNA( INDEX(Drivers!$L$2:$R$104, MATCH(F_interface!$A101&amp;RIGHT(F_interface!I$2, 2), Drivers!$C$2:$C$94, 0), MATCH(F_interface!$J101, Drivers!$L$2:$R$2, 0)),0)</f>
        <v>0.884425263715654</v>
      </c>
      <c r="J101" s="122" t="s">
        <v>1</v>
      </c>
      <c r="K101" s="20" t="str">
        <f t="shared" si="5"/>
        <v>SESC_HHM_HH_PR19CA012</v>
      </c>
      <c r="L101" s="23"/>
      <c r="M101" s="23"/>
    </row>
    <row r="102" spans="1:13" x14ac:dyDescent="0.25">
      <c r="A102" s="120" t="s">
        <v>33</v>
      </c>
      <c r="B102" s="21" t="s">
        <v>163</v>
      </c>
      <c r="C102" s="21" t="s">
        <v>11</v>
      </c>
      <c r="D102" s="21" t="s">
        <v>152</v>
      </c>
      <c r="E102" s="21">
        <f xml:space="preserve"> _xlfn.IFNA( INDEX(Drivers!$L$2:$R$104, MATCH(F_interface!$A102&amp;RIGHT(F_interface!E$2, 2), Drivers!$C$2:$C$94, 0), MATCH(F_interface!$J102, Drivers!$L$2:$R$2, 0)),0)</f>
        <v>0.87196804746921097</v>
      </c>
      <c r="F102" s="21">
        <f xml:space="preserve"> _xlfn.IFNA( INDEX(Drivers!$L$2:$R$104, MATCH(F_interface!$A102&amp;RIGHT(F_interface!F$2, 2), Drivers!$C$2:$C$94, 0), MATCH(F_interface!$J102, Drivers!$L$2:$R$2, 0)),0)</f>
        <v>0.873647116345459</v>
      </c>
      <c r="G102" s="21">
        <f xml:space="preserve"> _xlfn.IFNA( INDEX(Drivers!$L$2:$R$104, MATCH(F_interface!$A102&amp;RIGHT(F_interface!G$2, 2), Drivers!$C$2:$C$94, 0), MATCH(F_interface!$J102, Drivers!$L$2:$R$2, 0)),0)</f>
        <v>0.87520262573952001</v>
      </c>
      <c r="H102" s="21">
        <f xml:space="preserve"> _xlfn.IFNA( INDEX(Drivers!$L$2:$R$104, MATCH(F_interface!$A102&amp;RIGHT(F_interface!H$2, 2), Drivers!$C$2:$C$94, 0), MATCH(F_interface!$J102, Drivers!$L$2:$R$2, 0)),0)</f>
        <v>0.876638584536932</v>
      </c>
      <c r="I102" s="21">
        <f xml:space="preserve"> _xlfn.IFNA( INDEX(Drivers!$L$2:$R$104, MATCH(F_interface!$A102&amp;RIGHT(F_interface!I$2, 2), Drivers!$C$2:$C$94, 0), MATCH(F_interface!$J102, Drivers!$L$2:$R$2, 0)),0)</f>
        <v>0.87795646818685902</v>
      </c>
      <c r="J102" s="122" t="s">
        <v>1</v>
      </c>
      <c r="K102" s="20" t="str">
        <f t="shared" si="5"/>
        <v>SEWC_HHM_HH_PR19CA012</v>
      </c>
      <c r="L102" s="23"/>
      <c r="M102" s="23"/>
    </row>
    <row r="103" spans="1:13" x14ac:dyDescent="0.25">
      <c r="A103" s="120" t="s">
        <v>34</v>
      </c>
      <c r="B103" s="21" t="s">
        <v>163</v>
      </c>
      <c r="C103" s="21" t="s">
        <v>11</v>
      </c>
      <c r="D103" s="21" t="s">
        <v>152</v>
      </c>
      <c r="E103" s="21">
        <f xml:space="preserve"> _xlfn.IFNA( INDEX(Drivers!$L$2:$R$104, MATCH(F_interface!$A103&amp;RIGHT(F_interface!E$2, 2), Drivers!$C$2:$C$94, 0), MATCH(F_interface!$J103, Drivers!$L$2:$R$2, 0)),0)</f>
        <v>0.48605351952939801</v>
      </c>
      <c r="F103" s="21">
        <f xml:space="preserve"> _xlfn.IFNA( INDEX(Drivers!$L$2:$R$104, MATCH(F_interface!$A103&amp;RIGHT(F_interface!F$2, 2), Drivers!$C$2:$C$94, 0), MATCH(F_interface!$J103, Drivers!$L$2:$R$2, 0)),0)</f>
        <v>0.50568152194237503</v>
      </c>
      <c r="G103" s="21">
        <f xml:space="preserve"> _xlfn.IFNA( INDEX(Drivers!$L$2:$R$104, MATCH(F_interface!$A103&amp;RIGHT(F_interface!G$2, 2), Drivers!$C$2:$C$94, 0), MATCH(F_interface!$J103, Drivers!$L$2:$R$2, 0)),0)</f>
        <v>0.52451960942546005</v>
      </c>
      <c r="H103" s="21">
        <f xml:space="preserve"> _xlfn.IFNA( INDEX(Drivers!$L$2:$R$104, MATCH(F_interface!$A103&amp;RIGHT(F_interface!H$2, 2), Drivers!$C$2:$C$94, 0), MATCH(F_interface!$J103, Drivers!$L$2:$R$2, 0)),0)</f>
        <v>0.54317679701042398</v>
      </c>
      <c r="I103" s="21">
        <f xml:space="preserve"> _xlfn.IFNA( INDEX(Drivers!$L$2:$R$104, MATCH(F_interface!$A103&amp;RIGHT(F_interface!I$2, 2), Drivers!$C$2:$C$94, 0), MATCH(F_interface!$J103, Drivers!$L$2:$R$2, 0)),0)</f>
        <v>0.56121304304966002</v>
      </c>
      <c r="J103" s="122" t="s">
        <v>1</v>
      </c>
      <c r="K103" s="20" t="str">
        <f t="shared" si="5"/>
        <v>SSCC_HHM_HH_PR19CA012</v>
      </c>
      <c r="L103" s="23"/>
      <c r="M103" s="23"/>
    </row>
    <row r="104" spans="1:13" x14ac:dyDescent="0.25">
      <c r="A104" s="120" t="s">
        <v>20</v>
      </c>
      <c r="B104" s="21" t="s">
        <v>164</v>
      </c>
      <c r="C104" s="21" t="s">
        <v>11</v>
      </c>
      <c r="D104" s="21" t="s">
        <v>152</v>
      </c>
      <c r="E104" s="21">
        <f xml:space="preserve"> _xlfn.IFNA( INDEX(Drivers!$L$2:$R$104, MATCH(F_interface!$A104&amp;RIGHT(F_interface!E$2, 2), Drivers!$C$2:$C$94, 0), MATCH(F_interface!$J104, Drivers!$L$2:$R$2, 0)), 0)</f>
        <v>0.25523899999999999</v>
      </c>
      <c r="F104" s="21">
        <f xml:space="preserve"> _xlfn.IFNA( INDEX(Drivers!$L$2:$R$104, MATCH(F_interface!$A104&amp;RIGHT(F_interface!F$2, 2), Drivers!$C$2:$C$94, 0), MATCH(F_interface!$J104, Drivers!$L$2:$R$2, 0)), 0)</f>
        <v>0.25523899999999999</v>
      </c>
      <c r="G104" s="21">
        <f xml:space="preserve"> _xlfn.IFNA( INDEX(Drivers!$L$2:$R$104, MATCH(F_interface!$A104&amp;RIGHT(F_interface!G$2, 2), Drivers!$C$2:$C$94, 0), MATCH(F_interface!$J104, Drivers!$L$2:$R$2, 0)), 0)</f>
        <v>0.25523899999999999</v>
      </c>
      <c r="H104" s="21">
        <f xml:space="preserve"> _xlfn.IFNA( INDEX(Drivers!$L$2:$R$104, MATCH(F_interface!$A104&amp;RIGHT(F_interface!H$2, 2), Drivers!$C$2:$C$94, 0), MATCH(F_interface!$J104, Drivers!$L$2:$R$2, 0)), 0)</f>
        <v>0.25523899999999999</v>
      </c>
      <c r="I104" s="21">
        <f xml:space="preserve"> _xlfn.IFNA( INDEX(Drivers!$L$2:$R$104, MATCH(F_interface!$A104&amp;RIGHT(F_interface!I$2, 2), Drivers!$C$2:$C$94, 0), MATCH(F_interface!$J104, Drivers!$L$2:$R$2, 0)), 0)</f>
        <v>0.25523899999999999</v>
      </c>
      <c r="J104" s="122" t="s">
        <v>4</v>
      </c>
      <c r="K104" s="20" t="str">
        <f t="shared" si="5"/>
        <v>ANHC_EQ_LPCF62_PR19CA012</v>
      </c>
      <c r="L104" s="23"/>
      <c r="M104" s="23"/>
    </row>
    <row r="105" spans="1:13" x14ac:dyDescent="0.25">
      <c r="A105" s="120" t="s">
        <v>157</v>
      </c>
      <c r="B105" s="21" t="s">
        <v>164</v>
      </c>
      <c r="C105" s="21" t="s">
        <v>11</v>
      </c>
      <c r="D105" s="21" t="s">
        <v>152</v>
      </c>
      <c r="E105" s="21">
        <f xml:space="preserve"> _xlfn.IFNA( INDEX(Drivers!$L$2:$R$104, MATCH(F_interface!$A105&amp;RIGHT(F_interface!E$2, 2), Drivers!$C$2:$C$94, 0), MATCH(F_interface!$J105, Drivers!$L$2:$R$2, 0)), 0)</f>
        <v>0</v>
      </c>
      <c r="F105" s="21">
        <f xml:space="preserve"> _xlfn.IFNA( INDEX(Drivers!$L$2:$R$104, MATCH(F_interface!$A105&amp;RIGHT(F_interface!F$2, 2), Drivers!$C$2:$C$94, 0), MATCH(F_interface!$J105, Drivers!$L$2:$R$2, 0)), 0)</f>
        <v>0</v>
      </c>
      <c r="G105" s="21">
        <f xml:space="preserve"> _xlfn.IFNA( INDEX(Drivers!$L$2:$R$104, MATCH(F_interface!$A105&amp;RIGHT(F_interface!G$2, 2), Drivers!$C$2:$C$94, 0), MATCH(F_interface!$J105, Drivers!$L$2:$R$2, 0)), 0)</f>
        <v>0</v>
      </c>
      <c r="H105" s="21">
        <f xml:space="preserve"> _xlfn.IFNA( INDEX(Drivers!$L$2:$R$104, MATCH(F_interface!$A105&amp;RIGHT(F_interface!H$2, 2), Drivers!$C$2:$C$94, 0), MATCH(F_interface!$J105, Drivers!$L$2:$R$2, 0)), 0)</f>
        <v>0</v>
      </c>
      <c r="I105" s="21">
        <f xml:space="preserve"> _xlfn.IFNA( INDEX(Drivers!$L$2:$R$104, MATCH(F_interface!$A105&amp;RIGHT(F_interface!I$2, 2), Drivers!$C$2:$C$94, 0), MATCH(F_interface!$J105, Drivers!$L$2:$R$2, 0)), 0)</f>
        <v>0</v>
      </c>
      <c r="J105" s="122" t="s">
        <v>4</v>
      </c>
      <c r="K105" s="20" t="str">
        <f t="shared" si="5"/>
        <v>HDDC_EQ_LPCF62_PR19CA012</v>
      </c>
      <c r="L105" s="23"/>
      <c r="M105" s="23"/>
    </row>
    <row r="106" spans="1:13" x14ac:dyDescent="0.25">
      <c r="A106" s="120" t="s">
        <v>21</v>
      </c>
      <c r="B106" s="21" t="s">
        <v>164</v>
      </c>
      <c r="C106" s="21" t="s">
        <v>11</v>
      </c>
      <c r="D106" s="21" t="s">
        <v>152</v>
      </c>
      <c r="E106" s="21">
        <f xml:space="preserve"> _xlfn.IFNA( INDEX(Drivers!$L$2:$R$104, MATCH(F_interface!$A106&amp;RIGHT(F_interface!E$2, 2), Drivers!$C$2:$C$94, 0), MATCH(F_interface!$J106, Drivers!$L$2:$R$2, 0)), 0)</f>
        <v>0.30547400000000002</v>
      </c>
      <c r="F106" s="21">
        <f xml:space="preserve"> _xlfn.IFNA( INDEX(Drivers!$L$2:$R$104, MATCH(F_interface!$A106&amp;RIGHT(F_interface!F$2, 2), Drivers!$C$2:$C$94, 0), MATCH(F_interface!$J106, Drivers!$L$2:$R$2, 0)), 0)</f>
        <v>0.30547400000000002</v>
      </c>
      <c r="G106" s="21">
        <f xml:space="preserve"> _xlfn.IFNA( INDEX(Drivers!$L$2:$R$104, MATCH(F_interface!$A106&amp;RIGHT(F_interface!G$2, 2), Drivers!$C$2:$C$94, 0), MATCH(F_interface!$J106, Drivers!$L$2:$R$2, 0)), 0)</f>
        <v>0.30547400000000002</v>
      </c>
      <c r="H106" s="21">
        <f xml:space="preserve"> _xlfn.IFNA( INDEX(Drivers!$L$2:$R$104, MATCH(F_interface!$A106&amp;RIGHT(F_interface!H$2, 2), Drivers!$C$2:$C$94, 0), MATCH(F_interface!$J106, Drivers!$L$2:$R$2, 0)), 0)</f>
        <v>0.30547400000000002</v>
      </c>
      <c r="I106" s="21">
        <f xml:space="preserve"> _xlfn.IFNA( INDEX(Drivers!$L$2:$R$104, MATCH(F_interface!$A106&amp;RIGHT(F_interface!I$2, 2), Drivers!$C$2:$C$94, 0), MATCH(F_interface!$J106, Drivers!$L$2:$R$2, 0)), 0)</f>
        <v>0.30547400000000002</v>
      </c>
      <c r="J106" s="122" t="s">
        <v>4</v>
      </c>
      <c r="K106" s="20" t="str">
        <f t="shared" si="5"/>
        <v>NESC_EQ_LPCF62_PR19CA012</v>
      </c>
      <c r="L106" s="23"/>
      <c r="M106" s="23"/>
    </row>
    <row r="107" spans="1:13" x14ac:dyDescent="0.25">
      <c r="A107" s="120" t="s">
        <v>22</v>
      </c>
      <c r="B107" s="21" t="s">
        <v>164</v>
      </c>
      <c r="C107" s="21" t="s">
        <v>11</v>
      </c>
      <c r="D107" s="21" t="s">
        <v>152</v>
      </c>
      <c r="E107" s="21">
        <f xml:space="preserve"> _xlfn.IFNA( INDEX(Drivers!$L$2:$R$104, MATCH(F_interface!$A107&amp;RIGHT(F_interface!E$2, 2), Drivers!$C$2:$C$94, 0), MATCH(F_interface!$J107, Drivers!$L$2:$R$2, 0)), 0)</f>
        <v>0.31478499999999998</v>
      </c>
      <c r="F107" s="21">
        <f xml:space="preserve"> _xlfn.IFNA( INDEX(Drivers!$L$2:$R$104, MATCH(F_interface!$A107&amp;RIGHT(F_interface!F$2, 2), Drivers!$C$2:$C$94, 0), MATCH(F_interface!$J107, Drivers!$L$2:$R$2, 0)), 0)</f>
        <v>0.31478499999999998</v>
      </c>
      <c r="G107" s="21">
        <f xml:space="preserve"> _xlfn.IFNA( INDEX(Drivers!$L$2:$R$104, MATCH(F_interface!$A107&amp;RIGHT(F_interface!G$2, 2), Drivers!$C$2:$C$94, 0), MATCH(F_interface!$J107, Drivers!$L$2:$R$2, 0)), 0)</f>
        <v>0.31478499999999998</v>
      </c>
      <c r="H107" s="21">
        <f xml:space="preserve"> _xlfn.IFNA( INDEX(Drivers!$L$2:$R$104, MATCH(F_interface!$A107&amp;RIGHT(F_interface!H$2, 2), Drivers!$C$2:$C$94, 0), MATCH(F_interface!$J107, Drivers!$L$2:$R$2, 0)), 0)</f>
        <v>0.31478499999999998</v>
      </c>
      <c r="I107" s="21">
        <f xml:space="preserve"> _xlfn.IFNA( INDEX(Drivers!$L$2:$R$104, MATCH(F_interface!$A107&amp;RIGHT(F_interface!I$2, 2), Drivers!$C$2:$C$94, 0), MATCH(F_interface!$J107, Drivers!$L$2:$R$2, 0)), 0)</f>
        <v>0.31478499999999998</v>
      </c>
      <c r="J107" s="122" t="s">
        <v>4</v>
      </c>
      <c r="K107" s="20" t="str">
        <f t="shared" si="5"/>
        <v>NWTC_EQ_LPCF62_PR19CA012</v>
      </c>
      <c r="L107" s="23"/>
      <c r="M107" s="23"/>
    </row>
    <row r="108" spans="1:13" x14ac:dyDescent="0.25">
      <c r="A108" s="120" t="s">
        <v>23</v>
      </c>
      <c r="B108" s="21" t="s">
        <v>164</v>
      </c>
      <c r="C108" s="21" t="s">
        <v>11</v>
      </c>
      <c r="D108" s="21" t="s">
        <v>152</v>
      </c>
      <c r="E108" s="21">
        <f xml:space="preserve"> _xlfn.IFNA( INDEX(Drivers!$L$2:$R$104, MATCH(F_interface!$A108&amp;RIGHT(F_interface!E$2, 2), Drivers!$C$2:$C$94, 0), MATCH(F_interface!$J108, Drivers!$L$2:$R$2, 0)), 0)</f>
        <v>0.24613399999999999</v>
      </c>
      <c r="F108" s="21">
        <f xml:space="preserve"> _xlfn.IFNA( INDEX(Drivers!$L$2:$R$104, MATCH(F_interface!$A108&amp;RIGHT(F_interface!F$2, 2), Drivers!$C$2:$C$94, 0), MATCH(F_interface!$J108, Drivers!$L$2:$R$2, 0)), 0)</f>
        <v>0.24613399999999999</v>
      </c>
      <c r="G108" s="21">
        <f xml:space="preserve"> _xlfn.IFNA( INDEX(Drivers!$L$2:$R$104, MATCH(F_interface!$A108&amp;RIGHT(F_interface!G$2, 2), Drivers!$C$2:$C$94, 0), MATCH(F_interface!$J108, Drivers!$L$2:$R$2, 0)), 0)</f>
        <v>0.24613399999999999</v>
      </c>
      <c r="H108" s="21">
        <f xml:space="preserve"> _xlfn.IFNA( INDEX(Drivers!$L$2:$R$104, MATCH(F_interface!$A108&amp;RIGHT(F_interface!H$2, 2), Drivers!$C$2:$C$94, 0), MATCH(F_interface!$J108, Drivers!$L$2:$R$2, 0)), 0)</f>
        <v>0.24613399999999999</v>
      </c>
      <c r="I108" s="21">
        <f xml:space="preserve"> _xlfn.IFNA( INDEX(Drivers!$L$2:$R$104, MATCH(F_interface!$A108&amp;RIGHT(F_interface!I$2, 2), Drivers!$C$2:$C$94, 0), MATCH(F_interface!$J108, Drivers!$L$2:$R$2, 0)), 0)</f>
        <v>0.24613399999999999</v>
      </c>
      <c r="J108" s="122" t="s">
        <v>4</v>
      </c>
      <c r="K108" s="20" t="str">
        <f t="shared" si="5"/>
        <v>SRNC_EQ_LPCF62_PR19CA012</v>
      </c>
      <c r="L108" s="23"/>
      <c r="M108" s="23"/>
    </row>
    <row r="109" spans="1:13" x14ac:dyDescent="0.25">
      <c r="A109" s="120" t="s">
        <v>156</v>
      </c>
      <c r="B109" s="21" t="s">
        <v>164</v>
      </c>
      <c r="C109" s="21" t="s">
        <v>11</v>
      </c>
      <c r="D109" s="21" t="s">
        <v>152</v>
      </c>
      <c r="E109" s="21">
        <f xml:space="preserve"> _xlfn.IFNA( INDEX(Drivers!$L$2:$R$104, MATCH(F_interface!$A109&amp;RIGHT(F_interface!E$2, 2), Drivers!$C$2:$C$94, 0), MATCH(F_interface!$J109, Drivers!$L$2:$R$2, 0)), 0)</f>
        <v>0</v>
      </c>
      <c r="F109" s="21">
        <f xml:space="preserve"> _xlfn.IFNA( INDEX(Drivers!$L$2:$R$104, MATCH(F_interface!$A109&amp;RIGHT(F_interface!F$2, 2), Drivers!$C$2:$C$94, 0), MATCH(F_interface!$J109, Drivers!$L$2:$R$2, 0)), 0)</f>
        <v>0</v>
      </c>
      <c r="G109" s="21">
        <f xml:space="preserve"> _xlfn.IFNA( INDEX(Drivers!$L$2:$R$104, MATCH(F_interface!$A109&amp;RIGHT(F_interface!G$2, 2), Drivers!$C$2:$C$94, 0), MATCH(F_interface!$J109, Drivers!$L$2:$R$2, 0)), 0)</f>
        <v>0</v>
      </c>
      <c r="H109" s="21">
        <f xml:space="preserve"> _xlfn.IFNA( INDEX(Drivers!$L$2:$R$104, MATCH(F_interface!$A109&amp;RIGHT(F_interface!H$2, 2), Drivers!$C$2:$C$94, 0), MATCH(F_interface!$J109, Drivers!$L$2:$R$2, 0)), 0)</f>
        <v>0</v>
      </c>
      <c r="I109" s="21">
        <f xml:space="preserve"> _xlfn.IFNA( INDEX(Drivers!$L$2:$R$104, MATCH(F_interface!$A109&amp;RIGHT(F_interface!I$2, 2), Drivers!$C$2:$C$94, 0), MATCH(F_interface!$J109, Drivers!$L$2:$R$2, 0)), 0)</f>
        <v>0</v>
      </c>
      <c r="J109" s="122" t="s">
        <v>4</v>
      </c>
      <c r="K109" s="20" t="str">
        <f t="shared" si="5"/>
        <v>SVEC_EQ_LPCF62_PR19CA012</v>
      </c>
      <c r="L109" s="23"/>
      <c r="M109" s="23"/>
    </row>
    <row r="110" spans="1:13" x14ac:dyDescent="0.25">
      <c r="A110" s="120" t="s">
        <v>232</v>
      </c>
      <c r="B110" s="21" t="s">
        <v>164</v>
      </c>
      <c r="C110" s="21" t="s">
        <v>11</v>
      </c>
      <c r="D110" s="21" t="s">
        <v>152</v>
      </c>
      <c r="E110" s="21">
        <f xml:space="preserve"> _xlfn.IFNA( INDEX(Drivers!$L$2:$R$104, MATCH(F_interface!$A110&amp;RIGHT(F_interface!E$2, 2), Drivers!$C$2:$C$94, 0), MATCH(F_interface!$J110, Drivers!$L$2:$R$2, 0)), 0)</f>
        <v>0.28040690058430701</v>
      </c>
      <c r="F110" s="21">
        <f xml:space="preserve"> _xlfn.IFNA( INDEX(Drivers!$L$2:$R$104, MATCH(F_interface!$A110&amp;RIGHT(F_interface!F$2, 2), Drivers!$C$2:$C$94, 0), MATCH(F_interface!$J110, Drivers!$L$2:$R$2, 0)), 0)</f>
        <v>0.28040690058430701</v>
      </c>
      <c r="G110" s="21">
        <f xml:space="preserve"> _xlfn.IFNA( INDEX(Drivers!$L$2:$R$104, MATCH(F_interface!$A110&amp;RIGHT(F_interface!G$2, 2), Drivers!$C$2:$C$94, 0), MATCH(F_interface!$J110, Drivers!$L$2:$R$2, 0)), 0)</f>
        <v>0.28040690058430701</v>
      </c>
      <c r="H110" s="21">
        <f xml:space="preserve"> _xlfn.IFNA( INDEX(Drivers!$L$2:$R$104, MATCH(F_interface!$A110&amp;RIGHT(F_interface!H$2, 2), Drivers!$C$2:$C$94, 0), MATCH(F_interface!$J110, Drivers!$L$2:$R$2, 0)), 0)</f>
        <v>0.28040690058430701</v>
      </c>
      <c r="I110" s="21">
        <f xml:space="preserve"> _xlfn.IFNA( INDEX(Drivers!$L$2:$R$104, MATCH(F_interface!$A110&amp;RIGHT(F_interface!I$2, 2), Drivers!$C$2:$C$94, 0), MATCH(F_interface!$J110, Drivers!$L$2:$R$2, 0)), 0)</f>
        <v>0.28040690058430701</v>
      </c>
      <c r="J110" s="122" t="s">
        <v>4</v>
      </c>
      <c r="K110" s="20" t="str">
        <f t="shared" ref="K110:K111" si="8">A110&amp;B110</f>
        <v>SVHC_EQ_LPCF62_PR19CA012</v>
      </c>
      <c r="L110" s="23"/>
      <c r="M110" s="23"/>
    </row>
    <row r="111" spans="1:13" x14ac:dyDescent="0.25">
      <c r="A111" s="120" t="s">
        <v>24</v>
      </c>
      <c r="B111" s="21" t="s">
        <v>164</v>
      </c>
      <c r="C111" s="21" t="s">
        <v>11</v>
      </c>
      <c r="D111" s="21" t="s">
        <v>152</v>
      </c>
      <c r="E111" s="21">
        <f xml:space="preserve"> _xlfn.IFNA( INDEX(Drivers!$L$2:$R$104, MATCH(F_interface!$A111&amp;RIGHT(F_interface!E$2, 2), Drivers!$C$2:$C$94, 0), MATCH(F_interface!$J111, Drivers!$L$2:$R$2, 0)), 0)</f>
        <v>0.28091100000000002</v>
      </c>
      <c r="F111" s="21">
        <f xml:space="preserve"> _xlfn.IFNA( INDEX(Drivers!$L$2:$R$104, MATCH(F_interface!$A111&amp;RIGHT(F_interface!F$2, 2), Drivers!$C$2:$C$94, 0), MATCH(F_interface!$J111, Drivers!$L$2:$R$2, 0)), 0)</f>
        <v>0.28091100000000002</v>
      </c>
      <c r="G111" s="21">
        <f xml:space="preserve"> _xlfn.IFNA( INDEX(Drivers!$L$2:$R$104, MATCH(F_interface!$A111&amp;RIGHT(F_interface!G$2, 2), Drivers!$C$2:$C$94, 0), MATCH(F_interface!$J111, Drivers!$L$2:$R$2, 0)), 0)</f>
        <v>0.28091100000000002</v>
      </c>
      <c r="H111" s="21">
        <f xml:space="preserve"> _xlfn.IFNA( INDEX(Drivers!$L$2:$R$104, MATCH(F_interface!$A111&amp;RIGHT(F_interface!H$2, 2), Drivers!$C$2:$C$94, 0), MATCH(F_interface!$J111, Drivers!$L$2:$R$2, 0)), 0)</f>
        <v>0.28091100000000002</v>
      </c>
      <c r="I111" s="21">
        <f xml:space="preserve"> _xlfn.IFNA( INDEX(Drivers!$L$2:$R$104, MATCH(F_interface!$A111&amp;RIGHT(F_interface!I$2, 2), Drivers!$C$2:$C$94, 0), MATCH(F_interface!$J111, Drivers!$L$2:$R$2, 0)), 0)</f>
        <v>0.28091100000000002</v>
      </c>
      <c r="J111" s="122" t="s">
        <v>4</v>
      </c>
      <c r="K111" s="20" t="str">
        <f t="shared" si="8"/>
        <v>SVTC_EQ_LPCF62_PR19CA012</v>
      </c>
      <c r="L111" s="23"/>
      <c r="M111" s="23"/>
    </row>
    <row r="112" spans="1:13" x14ac:dyDescent="0.25">
      <c r="A112" s="120" t="s">
        <v>35</v>
      </c>
      <c r="B112" s="21" t="s">
        <v>164</v>
      </c>
      <c r="C112" s="21" t="s">
        <v>11</v>
      </c>
      <c r="D112" s="21" t="s">
        <v>152</v>
      </c>
      <c r="E112" s="21">
        <f xml:space="preserve"> _xlfn.IFNA( INDEX(Drivers!$L$2:$R$104, MATCH(F_interface!$A112&amp;RIGHT(F_interface!E$2, 2), Drivers!$C$2:$C$94, 0), MATCH(F_interface!$J112, Drivers!$L$2:$R$2, 0)), 0)</f>
        <v>0.22578574799308901</v>
      </c>
      <c r="F112" s="21">
        <f xml:space="preserve"> _xlfn.IFNA( INDEX(Drivers!$L$2:$R$104, MATCH(F_interface!$A112&amp;RIGHT(F_interface!F$2, 2), Drivers!$C$2:$C$94, 0), MATCH(F_interface!$J112, Drivers!$L$2:$R$2, 0)), 0)</f>
        <v>0.22578574799308901</v>
      </c>
      <c r="G112" s="21">
        <f xml:space="preserve"> _xlfn.IFNA( INDEX(Drivers!$L$2:$R$104, MATCH(F_interface!$A112&amp;RIGHT(F_interface!G$2, 2), Drivers!$C$2:$C$94, 0), MATCH(F_interface!$J112, Drivers!$L$2:$R$2, 0)), 0)</f>
        <v>0.22578574799308901</v>
      </c>
      <c r="H112" s="21">
        <f xml:space="preserve"> _xlfn.IFNA( INDEX(Drivers!$L$2:$R$104, MATCH(F_interface!$A112&amp;RIGHT(F_interface!H$2, 2), Drivers!$C$2:$C$94, 0), MATCH(F_interface!$J112, Drivers!$L$2:$R$2, 0)), 0)</f>
        <v>0.22578574799308901</v>
      </c>
      <c r="I112" s="21">
        <f xml:space="preserve"> _xlfn.IFNA( INDEX(Drivers!$L$2:$R$104, MATCH(F_interface!$A112&amp;RIGHT(F_interface!I$2, 2), Drivers!$C$2:$C$94, 0), MATCH(F_interface!$J112, Drivers!$L$2:$R$2, 0)), 0)</f>
        <v>0.22578574799308901</v>
      </c>
      <c r="J112" s="122" t="s">
        <v>4</v>
      </c>
      <c r="K112" s="20" t="str">
        <f t="shared" si="5"/>
        <v>SWBC_EQ_LPCF62_PR19CA012</v>
      </c>
      <c r="L112" s="23"/>
      <c r="M112" s="23"/>
    </row>
    <row r="113" spans="1:13" x14ac:dyDescent="0.25">
      <c r="A113" s="120" t="s">
        <v>25</v>
      </c>
      <c r="B113" s="21" t="s">
        <v>164</v>
      </c>
      <c r="C113" s="21" t="s">
        <v>11</v>
      </c>
      <c r="D113" s="21" t="s">
        <v>152</v>
      </c>
      <c r="E113" s="21">
        <f xml:space="preserve"> _xlfn.IFNA( INDEX(Drivers!$L$2:$R$104, MATCH(F_interface!$A113&amp;RIGHT(F_interface!E$2, 2), Drivers!$C$2:$C$94, 0), MATCH(F_interface!$J113, Drivers!$L$2:$R$2, 0)), 0)</f>
        <v>0.30046499999999998</v>
      </c>
      <c r="F113" s="21">
        <f xml:space="preserve"> _xlfn.IFNA( INDEX(Drivers!$L$2:$R$104, MATCH(F_interface!$A113&amp;RIGHT(F_interface!F$2, 2), Drivers!$C$2:$C$94, 0), MATCH(F_interface!$J113, Drivers!$L$2:$R$2, 0)), 0)</f>
        <v>0.30046499999999998</v>
      </c>
      <c r="G113" s="21">
        <f xml:space="preserve"> _xlfn.IFNA( INDEX(Drivers!$L$2:$R$104, MATCH(F_interface!$A113&amp;RIGHT(F_interface!G$2, 2), Drivers!$C$2:$C$94, 0), MATCH(F_interface!$J113, Drivers!$L$2:$R$2, 0)), 0)</f>
        <v>0.30046499999999998</v>
      </c>
      <c r="H113" s="21">
        <f xml:space="preserve"> _xlfn.IFNA( INDEX(Drivers!$L$2:$R$104, MATCH(F_interface!$A113&amp;RIGHT(F_interface!H$2, 2), Drivers!$C$2:$C$94, 0), MATCH(F_interface!$J113, Drivers!$L$2:$R$2, 0)), 0)</f>
        <v>0.30046499999999998</v>
      </c>
      <c r="I113" s="21">
        <f xml:space="preserve"> _xlfn.IFNA( INDEX(Drivers!$L$2:$R$104, MATCH(F_interface!$A113&amp;RIGHT(F_interface!I$2, 2), Drivers!$C$2:$C$94, 0), MATCH(F_interface!$J113, Drivers!$L$2:$R$2, 0)), 0)</f>
        <v>0.30046499999999998</v>
      </c>
      <c r="J113" s="122" t="s">
        <v>4</v>
      </c>
      <c r="K113" s="20" t="str">
        <f t="shared" si="5"/>
        <v>TMSC_EQ_LPCF62_PR19CA012</v>
      </c>
      <c r="L113" s="23"/>
      <c r="M113" s="23"/>
    </row>
    <row r="114" spans="1:13" x14ac:dyDescent="0.25">
      <c r="A114" s="120" t="s">
        <v>41</v>
      </c>
      <c r="B114" s="21" t="s">
        <v>164</v>
      </c>
      <c r="C114" s="21" t="s">
        <v>11</v>
      </c>
      <c r="D114" s="21" t="s">
        <v>152</v>
      </c>
      <c r="E114" s="21">
        <f xml:space="preserve"> _xlfn.IFNA( INDEX(Drivers!$L$2:$R$104, MATCH(F_interface!$A114&amp;RIGHT(F_interface!E$2, 2), Drivers!$C$2:$C$94, 0), MATCH(F_interface!$J114, Drivers!$L$2:$R$2, 0)), 0)</f>
        <v>0.27984199999999998</v>
      </c>
      <c r="F114" s="21">
        <f xml:space="preserve"> _xlfn.IFNA( INDEX(Drivers!$L$2:$R$104, MATCH(F_interface!$A114&amp;RIGHT(F_interface!F$2, 2), Drivers!$C$2:$C$94, 0), MATCH(F_interface!$J114, Drivers!$L$2:$R$2, 0)), 0)</f>
        <v>0.27984199999999998</v>
      </c>
      <c r="G114" s="21">
        <f xml:space="preserve"> _xlfn.IFNA( INDEX(Drivers!$L$2:$R$104, MATCH(F_interface!$A114&amp;RIGHT(F_interface!G$2, 2), Drivers!$C$2:$C$94, 0), MATCH(F_interface!$J114, Drivers!$L$2:$R$2, 0)), 0)</f>
        <v>0.27984199999999998</v>
      </c>
      <c r="H114" s="21">
        <f xml:space="preserve"> _xlfn.IFNA( INDEX(Drivers!$L$2:$R$104, MATCH(F_interface!$A114&amp;RIGHT(F_interface!H$2, 2), Drivers!$C$2:$C$94, 0), MATCH(F_interface!$J114, Drivers!$L$2:$R$2, 0)), 0)</f>
        <v>0.27984199999999998</v>
      </c>
      <c r="I114" s="21">
        <f xml:space="preserve"> _xlfn.IFNA( INDEX(Drivers!$L$2:$R$104, MATCH(F_interface!$A114&amp;RIGHT(F_interface!I$2, 2), Drivers!$C$2:$C$94, 0), MATCH(F_interface!$J114, Drivers!$L$2:$R$2, 0)), 0)</f>
        <v>0.27984199999999998</v>
      </c>
      <c r="J114" s="122" t="s">
        <v>4</v>
      </c>
      <c r="K114" s="20" t="str">
        <f t="shared" si="5"/>
        <v>WSHC_EQ_LPCF62_PR19CA012</v>
      </c>
      <c r="L114" s="23"/>
      <c r="M114" s="23"/>
    </row>
    <row r="115" spans="1:13" x14ac:dyDescent="0.25">
      <c r="A115" s="120" t="s">
        <v>26</v>
      </c>
      <c r="B115" s="21" t="s">
        <v>164</v>
      </c>
      <c r="C115" s="21" t="s">
        <v>11</v>
      </c>
      <c r="D115" s="21" t="s">
        <v>152</v>
      </c>
      <c r="E115" s="21">
        <f xml:space="preserve"> _xlfn.IFNA( INDEX(Drivers!$L$2:$R$104, MATCH(F_interface!$A115&amp;RIGHT(F_interface!E$2, 2), Drivers!$C$2:$C$94, 0), MATCH(F_interface!$J115, Drivers!$L$2:$R$2, 0)), 0)</f>
        <v>0.21548899999999899</v>
      </c>
      <c r="F115" s="21">
        <f xml:space="preserve"> _xlfn.IFNA( INDEX(Drivers!$L$2:$R$104, MATCH(F_interface!$A115&amp;RIGHT(F_interface!F$2, 2), Drivers!$C$2:$C$94, 0), MATCH(F_interface!$J115, Drivers!$L$2:$R$2, 0)), 0)</f>
        <v>0.21548899999999899</v>
      </c>
      <c r="G115" s="21">
        <f xml:space="preserve"> _xlfn.IFNA( INDEX(Drivers!$L$2:$R$104, MATCH(F_interface!$A115&amp;RIGHT(F_interface!G$2, 2), Drivers!$C$2:$C$94, 0), MATCH(F_interface!$J115, Drivers!$L$2:$R$2, 0)), 0)</f>
        <v>0.21548899999999899</v>
      </c>
      <c r="H115" s="21">
        <f xml:space="preserve"> _xlfn.IFNA( INDEX(Drivers!$L$2:$R$104, MATCH(F_interface!$A115&amp;RIGHT(F_interface!H$2, 2), Drivers!$C$2:$C$94, 0), MATCH(F_interface!$J115, Drivers!$L$2:$R$2, 0)), 0)</f>
        <v>0.21548899999999899</v>
      </c>
      <c r="I115" s="21">
        <f xml:space="preserve"> _xlfn.IFNA( INDEX(Drivers!$L$2:$R$104, MATCH(F_interface!$A115&amp;RIGHT(F_interface!I$2, 2), Drivers!$C$2:$C$94, 0), MATCH(F_interface!$J115, Drivers!$L$2:$R$2, 0)), 0)</f>
        <v>0.21548899999999899</v>
      </c>
      <c r="J115" s="122" t="s">
        <v>4</v>
      </c>
      <c r="K115" s="20" t="str">
        <f t="shared" si="5"/>
        <v>WSXC_EQ_LPCF62_PR19CA012</v>
      </c>
      <c r="L115" s="23"/>
      <c r="M115" s="23"/>
    </row>
    <row r="116" spans="1:13" x14ac:dyDescent="0.25">
      <c r="A116" s="120" t="s">
        <v>27</v>
      </c>
      <c r="B116" s="21" t="s">
        <v>164</v>
      </c>
      <c r="C116" s="21" t="s">
        <v>11</v>
      </c>
      <c r="D116" s="21" t="s">
        <v>152</v>
      </c>
      <c r="E116" s="21">
        <f xml:space="preserve"> _xlfn.IFNA( INDEX(Drivers!$L$2:$R$104, MATCH(F_interface!$A116&amp;RIGHT(F_interface!E$2, 2), Drivers!$C$2:$C$94, 0), MATCH(F_interface!$J116, Drivers!$L$2:$R$2, 0)), 0)</f>
        <v>0.28269699999999998</v>
      </c>
      <c r="F116" s="21">
        <f xml:space="preserve"> _xlfn.IFNA( INDEX(Drivers!$L$2:$R$104, MATCH(F_interface!$A116&amp;RIGHT(F_interface!F$2, 2), Drivers!$C$2:$C$94, 0), MATCH(F_interface!$J116, Drivers!$L$2:$R$2, 0)), 0)</f>
        <v>0.28269699999999998</v>
      </c>
      <c r="G116" s="21">
        <f xml:space="preserve"> _xlfn.IFNA( INDEX(Drivers!$L$2:$R$104, MATCH(F_interface!$A116&amp;RIGHT(F_interface!G$2, 2), Drivers!$C$2:$C$94, 0), MATCH(F_interface!$J116, Drivers!$L$2:$R$2, 0)), 0)</f>
        <v>0.28269699999999998</v>
      </c>
      <c r="H116" s="21">
        <f xml:space="preserve"> _xlfn.IFNA( INDEX(Drivers!$L$2:$R$104, MATCH(F_interface!$A116&amp;RIGHT(F_interface!H$2, 2), Drivers!$C$2:$C$94, 0), MATCH(F_interface!$J116, Drivers!$L$2:$R$2, 0)), 0)</f>
        <v>0.28269699999999998</v>
      </c>
      <c r="I116" s="21">
        <f xml:space="preserve"> _xlfn.IFNA( INDEX(Drivers!$L$2:$R$104, MATCH(F_interface!$A116&amp;RIGHT(F_interface!I$2, 2), Drivers!$C$2:$C$94, 0), MATCH(F_interface!$J116, Drivers!$L$2:$R$2, 0)), 0)</f>
        <v>0.28269699999999998</v>
      </c>
      <c r="J116" s="122" t="s">
        <v>4</v>
      </c>
      <c r="K116" s="20" t="str">
        <f t="shared" si="5"/>
        <v>YKYC_EQ_LPCF62_PR19CA012</v>
      </c>
      <c r="L116" s="23"/>
      <c r="M116" s="23"/>
    </row>
    <row r="117" spans="1:13" x14ac:dyDescent="0.25">
      <c r="A117" s="120" t="s">
        <v>28</v>
      </c>
      <c r="B117" s="21" t="s">
        <v>164</v>
      </c>
      <c r="C117" s="21" t="s">
        <v>11</v>
      </c>
      <c r="D117" s="21" t="s">
        <v>152</v>
      </c>
      <c r="E117" s="21">
        <f xml:space="preserve"> _xlfn.IFNA( INDEX(Drivers!$L$2:$R$104, MATCH(F_interface!$A117&amp;RIGHT(F_interface!E$2, 2), Drivers!$C$2:$C$94, 0), MATCH(F_interface!$J117, Drivers!$L$2:$R$2, 0)), 0)</f>
        <v>0.26967799999999997</v>
      </c>
      <c r="F117" s="21">
        <f xml:space="preserve"> _xlfn.IFNA( INDEX(Drivers!$L$2:$R$104, MATCH(F_interface!$A117&amp;RIGHT(F_interface!F$2, 2), Drivers!$C$2:$C$94, 0), MATCH(F_interface!$J117, Drivers!$L$2:$R$2, 0)), 0)</f>
        <v>0.26967799999999997</v>
      </c>
      <c r="G117" s="21">
        <f xml:space="preserve"> _xlfn.IFNA( INDEX(Drivers!$L$2:$R$104, MATCH(F_interface!$A117&amp;RIGHT(F_interface!G$2, 2), Drivers!$C$2:$C$94, 0), MATCH(F_interface!$J117, Drivers!$L$2:$R$2, 0)), 0)</f>
        <v>0.26967799999999997</v>
      </c>
      <c r="H117" s="21">
        <f xml:space="preserve"> _xlfn.IFNA( INDEX(Drivers!$L$2:$R$104, MATCH(F_interface!$A117&amp;RIGHT(F_interface!H$2, 2), Drivers!$C$2:$C$94, 0), MATCH(F_interface!$J117, Drivers!$L$2:$R$2, 0)), 0)</f>
        <v>0.26967799999999997</v>
      </c>
      <c r="I117" s="21">
        <f xml:space="preserve"> _xlfn.IFNA( INDEX(Drivers!$L$2:$R$104, MATCH(F_interface!$A117&amp;RIGHT(F_interface!I$2, 2), Drivers!$C$2:$C$94, 0), MATCH(F_interface!$J117, Drivers!$L$2:$R$2, 0)), 0)</f>
        <v>0.26967799999999997</v>
      </c>
      <c r="J117" s="122" t="s">
        <v>4</v>
      </c>
      <c r="K117" s="20" t="str">
        <f t="shared" si="5"/>
        <v>AFWC_EQ_LPCF62_PR19CA012</v>
      </c>
      <c r="L117" s="23"/>
      <c r="M117" s="23"/>
    </row>
    <row r="118" spans="1:13" x14ac:dyDescent="0.25">
      <c r="A118" s="120" t="s">
        <v>29</v>
      </c>
      <c r="B118" s="21" t="s">
        <v>164</v>
      </c>
      <c r="C118" s="21" t="s">
        <v>11</v>
      </c>
      <c r="D118" s="21" t="s">
        <v>152</v>
      </c>
      <c r="E118" s="21">
        <f xml:space="preserve"> _xlfn.IFNA( INDEX(Drivers!$L$2:$R$104, MATCH(F_interface!$A118&amp;RIGHT(F_interface!E$2, 2), Drivers!$C$2:$C$94, 0), MATCH(F_interface!$J118, Drivers!$L$2:$R$2, 0)), 0)</f>
        <v>0.23167399999999999</v>
      </c>
      <c r="F118" s="21">
        <f xml:space="preserve"> _xlfn.IFNA( INDEX(Drivers!$L$2:$R$104, MATCH(F_interface!$A118&amp;RIGHT(F_interface!F$2, 2), Drivers!$C$2:$C$94, 0), MATCH(F_interface!$J118, Drivers!$L$2:$R$2, 0)), 0)</f>
        <v>0.23167399999999999</v>
      </c>
      <c r="G118" s="21">
        <f xml:space="preserve"> _xlfn.IFNA( INDEX(Drivers!$L$2:$R$104, MATCH(F_interface!$A118&amp;RIGHT(F_interface!G$2, 2), Drivers!$C$2:$C$94, 0), MATCH(F_interface!$J118, Drivers!$L$2:$R$2, 0)), 0)</f>
        <v>0.23167399999999999</v>
      </c>
      <c r="H118" s="21">
        <f xml:space="preserve"> _xlfn.IFNA( INDEX(Drivers!$L$2:$R$104, MATCH(F_interface!$A118&amp;RIGHT(F_interface!H$2, 2), Drivers!$C$2:$C$94, 0), MATCH(F_interface!$J118, Drivers!$L$2:$R$2, 0)), 0)</f>
        <v>0.23167399999999999</v>
      </c>
      <c r="I118" s="21">
        <f xml:space="preserve"> _xlfn.IFNA( INDEX(Drivers!$L$2:$R$104, MATCH(F_interface!$A118&amp;RIGHT(F_interface!I$2, 2), Drivers!$C$2:$C$94, 0), MATCH(F_interface!$J118, Drivers!$L$2:$R$2, 0)), 0)</f>
        <v>0.23167399999999999</v>
      </c>
      <c r="J118" s="122" t="s">
        <v>4</v>
      </c>
      <c r="K118" s="20" t="str">
        <f t="shared" si="5"/>
        <v>BRLC_EQ_LPCF62_PR19CA012</v>
      </c>
      <c r="L118" s="23"/>
      <c r="M118" s="23"/>
    </row>
    <row r="119" spans="1:13" x14ac:dyDescent="0.25">
      <c r="A119" s="120" t="s">
        <v>30</v>
      </c>
      <c r="B119" s="21" t="s">
        <v>164</v>
      </c>
      <c r="C119" s="21" t="s">
        <v>11</v>
      </c>
      <c r="D119" s="21" t="s">
        <v>152</v>
      </c>
      <c r="E119" s="21">
        <f xml:space="preserve"> _xlfn.IFNA( INDEX(Drivers!$L$2:$R$104, MATCH(F_interface!$A119&amp;RIGHT(F_interface!E$2, 2), Drivers!$C$2:$C$94, 0), MATCH(F_interface!$J119, Drivers!$L$2:$R$2, 0)), 0)</f>
        <v>0.26331500000000002</v>
      </c>
      <c r="F119" s="21">
        <f xml:space="preserve"> _xlfn.IFNA( INDEX(Drivers!$L$2:$R$104, MATCH(F_interface!$A119&amp;RIGHT(F_interface!F$2, 2), Drivers!$C$2:$C$94, 0), MATCH(F_interface!$J119, Drivers!$L$2:$R$2, 0)), 0)</f>
        <v>0.26331500000000002</v>
      </c>
      <c r="G119" s="21">
        <f xml:space="preserve"> _xlfn.IFNA( INDEX(Drivers!$L$2:$R$104, MATCH(F_interface!$A119&amp;RIGHT(F_interface!G$2, 2), Drivers!$C$2:$C$94, 0), MATCH(F_interface!$J119, Drivers!$L$2:$R$2, 0)), 0)</f>
        <v>0.26331500000000002</v>
      </c>
      <c r="H119" s="21">
        <f xml:space="preserve"> _xlfn.IFNA( INDEX(Drivers!$L$2:$R$104, MATCH(F_interface!$A119&amp;RIGHT(F_interface!H$2, 2), Drivers!$C$2:$C$94, 0), MATCH(F_interface!$J119, Drivers!$L$2:$R$2, 0)), 0)</f>
        <v>0.26331500000000002</v>
      </c>
      <c r="I119" s="21">
        <f xml:space="preserve"> _xlfn.IFNA( INDEX(Drivers!$L$2:$R$104, MATCH(F_interface!$A119&amp;RIGHT(F_interface!I$2, 2), Drivers!$C$2:$C$94, 0), MATCH(F_interface!$J119, Drivers!$L$2:$R$2, 0)), 0)</f>
        <v>0.26331500000000002</v>
      </c>
      <c r="J119" s="122" t="s">
        <v>4</v>
      </c>
      <c r="K119" s="20" t="str">
        <f t="shared" ref="K119" si="9">A119&amp;B119</f>
        <v>DVWC_EQ_LPCF62_PR19CA012</v>
      </c>
      <c r="L119" s="23"/>
      <c r="M119" s="23"/>
    </row>
    <row r="120" spans="1:13" x14ac:dyDescent="0.25">
      <c r="A120" s="120" t="s">
        <v>31</v>
      </c>
      <c r="B120" s="21" t="s">
        <v>164</v>
      </c>
      <c r="C120" s="21" t="s">
        <v>11</v>
      </c>
      <c r="D120" s="21" t="s">
        <v>152</v>
      </c>
      <c r="E120" s="21">
        <f xml:space="preserve"> _xlfn.IFNA( INDEX(Drivers!$L$2:$R$104, MATCH(F_interface!$A120&amp;RIGHT(F_interface!E$2, 2), Drivers!$C$2:$C$94, 0), MATCH(F_interface!$J120, Drivers!$L$2:$R$2, 0)), 0)</f>
        <v>0.26490599999999997</v>
      </c>
      <c r="F120" s="21">
        <f xml:space="preserve"> _xlfn.IFNA( INDEX(Drivers!$L$2:$R$104, MATCH(F_interface!$A120&amp;RIGHT(F_interface!F$2, 2), Drivers!$C$2:$C$94, 0), MATCH(F_interface!$J120, Drivers!$L$2:$R$2, 0)), 0)</f>
        <v>0.26490599999999997</v>
      </c>
      <c r="G120" s="21">
        <f xml:space="preserve"> _xlfn.IFNA( INDEX(Drivers!$L$2:$R$104, MATCH(F_interface!$A120&amp;RIGHT(F_interface!G$2, 2), Drivers!$C$2:$C$94, 0), MATCH(F_interface!$J120, Drivers!$L$2:$R$2, 0)), 0)</f>
        <v>0.26490599999999997</v>
      </c>
      <c r="H120" s="21">
        <f xml:space="preserve"> _xlfn.IFNA( INDEX(Drivers!$L$2:$R$104, MATCH(F_interface!$A120&amp;RIGHT(F_interface!H$2, 2), Drivers!$C$2:$C$94, 0), MATCH(F_interface!$J120, Drivers!$L$2:$R$2, 0)), 0)</f>
        <v>0.26490599999999997</v>
      </c>
      <c r="I120" s="21">
        <f xml:space="preserve"> _xlfn.IFNA( INDEX(Drivers!$L$2:$R$104, MATCH(F_interface!$A120&amp;RIGHT(F_interface!I$2, 2), Drivers!$C$2:$C$94, 0), MATCH(F_interface!$J120, Drivers!$L$2:$R$2, 0)), 0)</f>
        <v>0.26490599999999997</v>
      </c>
      <c r="J120" s="122" t="s">
        <v>4</v>
      </c>
      <c r="K120" s="20" t="str">
        <f t="shared" si="5"/>
        <v>PRTC_EQ_LPCF62_PR19CA012</v>
      </c>
      <c r="L120" s="23"/>
      <c r="M120" s="23"/>
    </row>
    <row r="121" spans="1:13" x14ac:dyDescent="0.25">
      <c r="A121" s="120" t="s">
        <v>32</v>
      </c>
      <c r="B121" s="21" t="s">
        <v>164</v>
      </c>
      <c r="C121" s="21" t="s">
        <v>11</v>
      </c>
      <c r="D121" s="21" t="s">
        <v>152</v>
      </c>
      <c r="E121" s="21">
        <f xml:space="preserve"> _xlfn.IFNA( INDEX(Drivers!$L$2:$R$104, MATCH(F_interface!$A121&amp;RIGHT(F_interface!E$2, 2), Drivers!$C$2:$C$94, 0), MATCH(F_interface!$J121, Drivers!$L$2:$R$2, 0)), 0)</f>
        <v>0.20986199999999999</v>
      </c>
      <c r="F121" s="21">
        <f xml:space="preserve"> _xlfn.IFNA( INDEX(Drivers!$L$2:$R$104, MATCH(F_interface!$A121&amp;RIGHT(F_interface!F$2, 2), Drivers!$C$2:$C$94, 0), MATCH(F_interface!$J121, Drivers!$L$2:$R$2, 0)), 0)</f>
        <v>0.20986199999999999</v>
      </c>
      <c r="G121" s="21">
        <f xml:space="preserve"> _xlfn.IFNA( INDEX(Drivers!$L$2:$R$104, MATCH(F_interface!$A121&amp;RIGHT(F_interface!G$2, 2), Drivers!$C$2:$C$94, 0), MATCH(F_interface!$J121, Drivers!$L$2:$R$2, 0)), 0)</f>
        <v>0.20986199999999999</v>
      </c>
      <c r="H121" s="21">
        <f xml:space="preserve"> _xlfn.IFNA( INDEX(Drivers!$L$2:$R$104, MATCH(F_interface!$A121&amp;RIGHT(F_interface!H$2, 2), Drivers!$C$2:$C$94, 0), MATCH(F_interface!$J121, Drivers!$L$2:$R$2, 0)), 0)</f>
        <v>0.20986199999999999</v>
      </c>
      <c r="I121" s="21">
        <f xml:space="preserve"> _xlfn.IFNA( INDEX(Drivers!$L$2:$R$104, MATCH(F_interface!$A121&amp;RIGHT(F_interface!I$2, 2), Drivers!$C$2:$C$94, 0), MATCH(F_interface!$J121, Drivers!$L$2:$R$2, 0)), 0)</f>
        <v>0.20986199999999999</v>
      </c>
      <c r="J121" s="122" t="s">
        <v>4</v>
      </c>
      <c r="K121" s="20" t="str">
        <f t="shared" si="5"/>
        <v>SESC_EQ_LPCF62_PR19CA012</v>
      </c>
      <c r="L121" s="23"/>
      <c r="M121" s="23"/>
    </row>
    <row r="122" spans="1:13" x14ac:dyDescent="0.25">
      <c r="A122" s="120" t="s">
        <v>33</v>
      </c>
      <c r="B122" s="21" t="s">
        <v>164</v>
      </c>
      <c r="C122" s="21" t="s">
        <v>11</v>
      </c>
      <c r="D122" s="21" t="s">
        <v>152</v>
      </c>
      <c r="E122" s="21">
        <f xml:space="preserve"> _xlfn.IFNA( INDEX(Drivers!$L$2:$R$104, MATCH(F_interface!$A122&amp;RIGHT(F_interface!E$2, 2), Drivers!$C$2:$C$94, 0), MATCH(F_interface!$J122, Drivers!$L$2:$R$2, 0)), 0)</f>
        <v>0.21316199999999999</v>
      </c>
      <c r="F122" s="21">
        <f xml:space="preserve"> _xlfn.IFNA( INDEX(Drivers!$L$2:$R$104, MATCH(F_interface!$A122&amp;RIGHT(F_interface!F$2, 2), Drivers!$C$2:$C$94, 0), MATCH(F_interface!$J122, Drivers!$L$2:$R$2, 0)), 0)</f>
        <v>0.21316199999999999</v>
      </c>
      <c r="G122" s="21">
        <f xml:space="preserve"> _xlfn.IFNA( INDEX(Drivers!$L$2:$R$104, MATCH(F_interface!$A122&amp;RIGHT(F_interface!G$2, 2), Drivers!$C$2:$C$94, 0), MATCH(F_interface!$J122, Drivers!$L$2:$R$2, 0)), 0)</f>
        <v>0.21316199999999999</v>
      </c>
      <c r="H122" s="21">
        <f xml:space="preserve"> _xlfn.IFNA( INDEX(Drivers!$L$2:$R$104, MATCH(F_interface!$A122&amp;RIGHT(F_interface!H$2, 2), Drivers!$C$2:$C$94, 0), MATCH(F_interface!$J122, Drivers!$L$2:$R$2, 0)), 0)</f>
        <v>0.21316199999999999</v>
      </c>
      <c r="I122" s="21">
        <f xml:space="preserve"> _xlfn.IFNA( INDEX(Drivers!$L$2:$R$104, MATCH(F_interface!$A122&amp;RIGHT(F_interface!I$2, 2), Drivers!$C$2:$C$94, 0), MATCH(F_interface!$J122, Drivers!$L$2:$R$2, 0)), 0)</f>
        <v>0.21316199999999999</v>
      </c>
      <c r="J122" s="122" t="s">
        <v>4</v>
      </c>
      <c r="K122" s="20" t="str">
        <f t="shared" si="5"/>
        <v>SEWC_EQ_LPCF62_PR19CA012</v>
      </c>
      <c r="L122" s="23"/>
      <c r="M122" s="23"/>
    </row>
    <row r="123" spans="1:13" x14ac:dyDescent="0.25">
      <c r="A123" s="120" t="s">
        <v>34</v>
      </c>
      <c r="B123" s="21" t="s">
        <v>164</v>
      </c>
      <c r="C123" s="21" t="s">
        <v>11</v>
      </c>
      <c r="D123" s="21" t="s">
        <v>152</v>
      </c>
      <c r="E123" s="21">
        <f xml:space="preserve"> _xlfn.IFNA( INDEX(Drivers!$L$2:$R$104, MATCH(F_interface!$A123&amp;RIGHT(F_interface!E$2, 2), Drivers!$C$2:$C$94, 0), MATCH(F_interface!$J123, Drivers!$L$2:$R$2, 0)), 0)</f>
        <v>0.28280100000000002</v>
      </c>
      <c r="F123" s="21">
        <f xml:space="preserve"> _xlfn.IFNA( INDEX(Drivers!$L$2:$R$104, MATCH(F_interface!$A123&amp;RIGHT(F_interface!F$2, 2), Drivers!$C$2:$C$94, 0), MATCH(F_interface!$J123, Drivers!$L$2:$R$2, 0)), 0)</f>
        <v>0.28280100000000002</v>
      </c>
      <c r="G123" s="21">
        <f xml:space="preserve"> _xlfn.IFNA( INDEX(Drivers!$L$2:$R$104, MATCH(F_interface!$A123&amp;RIGHT(F_interface!G$2, 2), Drivers!$C$2:$C$94, 0), MATCH(F_interface!$J123, Drivers!$L$2:$R$2, 0)), 0)</f>
        <v>0.28280100000000002</v>
      </c>
      <c r="H123" s="21">
        <f xml:space="preserve"> _xlfn.IFNA( INDEX(Drivers!$L$2:$R$104, MATCH(F_interface!$A123&amp;RIGHT(F_interface!H$2, 2), Drivers!$C$2:$C$94, 0), MATCH(F_interface!$J123, Drivers!$L$2:$R$2, 0)), 0)</f>
        <v>0.28280100000000002</v>
      </c>
      <c r="I123" s="21">
        <f xml:space="preserve"> _xlfn.IFNA( INDEX(Drivers!$L$2:$R$104, MATCH(F_interface!$A123&amp;RIGHT(F_interface!I$2, 2), Drivers!$C$2:$C$94, 0), MATCH(F_interface!$J123, Drivers!$L$2:$R$2, 0)), 0)</f>
        <v>0.28280100000000002</v>
      </c>
      <c r="J123" s="122" t="s">
        <v>4</v>
      </c>
      <c r="K123" s="20" t="str">
        <f t="shared" si="5"/>
        <v>SSCC_EQ_LPCF62_PR19CA012</v>
      </c>
      <c r="L123" s="23"/>
      <c r="M123" s="23"/>
    </row>
    <row r="124" spans="1:13" x14ac:dyDescent="0.25">
      <c r="A124" s="120" t="s">
        <v>20</v>
      </c>
      <c r="B124" s="21" t="s">
        <v>165</v>
      </c>
      <c r="C124" s="21" t="s">
        <v>11</v>
      </c>
      <c r="D124" s="21" t="s">
        <v>152</v>
      </c>
      <c r="E124" s="21">
        <f xml:space="preserve"> _xlfn.IFNA( INDEX(Drivers!$L$2:$R$104, MATCH(F_interface!$A124&amp;RIGHT(F_interface!E$2, 2), Drivers!$C$2:$C$94, 0), MATCH(F_interface!$J124, Drivers!$L$2:$R$2, 0)), 0)</f>
        <v>0.12701471452047</v>
      </c>
      <c r="F124" s="21">
        <f xml:space="preserve"> _xlfn.IFNA( INDEX(Drivers!$L$2:$R$104, MATCH(F_interface!$A124&amp;RIGHT(F_interface!F$2, 2), Drivers!$C$2:$C$94, 0), MATCH(F_interface!$J124, Drivers!$L$2:$R$2, 0)), 0)</f>
        <v>0.12701471452047</v>
      </c>
      <c r="G124" s="21">
        <f xml:space="preserve"> _xlfn.IFNA( INDEX(Drivers!$L$2:$R$104, MATCH(F_interface!$A124&amp;RIGHT(F_interface!G$2, 2), Drivers!$C$2:$C$94, 0), MATCH(F_interface!$J124, Drivers!$L$2:$R$2, 0)), 0)</f>
        <v>0.12701471452047</v>
      </c>
      <c r="H124" s="21">
        <f xml:space="preserve"> _xlfn.IFNA( INDEX(Drivers!$L$2:$R$104, MATCH(F_interface!$A124&amp;RIGHT(F_interface!H$2, 2), Drivers!$C$2:$C$94, 0), MATCH(F_interface!$J124, Drivers!$L$2:$R$2, 0)), 0)</f>
        <v>0.12701471452047</v>
      </c>
      <c r="I124" s="21">
        <f xml:space="preserve"> _xlfn.IFNA( INDEX(Drivers!$L$2:$R$104, MATCH(F_interface!$A124&amp;RIGHT(F_interface!I$2, 2), Drivers!$C$2:$C$94, 0), MATCH(F_interface!$J124, Drivers!$L$2:$R$2, 0)), 0)</f>
        <v>0.12701471452047</v>
      </c>
      <c r="J124" s="122" t="s">
        <v>5</v>
      </c>
      <c r="K124" s="20" t="str">
        <f t="shared" si="5"/>
        <v>ANHC_INCOMESCORE_PR19CA012</v>
      </c>
      <c r="L124" s="23"/>
      <c r="M124" s="23"/>
    </row>
    <row r="125" spans="1:13" x14ac:dyDescent="0.25">
      <c r="A125" s="120" t="s">
        <v>157</v>
      </c>
      <c r="B125" s="21" t="s">
        <v>165</v>
      </c>
      <c r="C125" s="21" t="s">
        <v>11</v>
      </c>
      <c r="D125" s="21" t="s">
        <v>152</v>
      </c>
      <c r="E125" s="21">
        <f xml:space="preserve"> _xlfn.IFNA( INDEX(Drivers!$L$2:$R$104, MATCH(F_interface!$A125&amp;RIGHT(F_interface!E$2, 2), Drivers!$C$2:$C$94, 0), MATCH(F_interface!$J125, Drivers!$L$2:$R$2, 0)), 0)</f>
        <v>0</v>
      </c>
      <c r="F125" s="21">
        <f xml:space="preserve"> _xlfn.IFNA( INDEX(Drivers!$L$2:$R$104, MATCH(F_interface!$A125&amp;RIGHT(F_interface!F$2, 2), Drivers!$C$2:$C$94, 0), MATCH(F_interface!$J125, Drivers!$L$2:$R$2, 0)), 0)</f>
        <v>0</v>
      </c>
      <c r="G125" s="21">
        <f xml:space="preserve"> _xlfn.IFNA( INDEX(Drivers!$L$2:$R$104, MATCH(F_interface!$A125&amp;RIGHT(F_interface!G$2, 2), Drivers!$C$2:$C$94, 0), MATCH(F_interface!$J125, Drivers!$L$2:$R$2, 0)), 0)</f>
        <v>0</v>
      </c>
      <c r="H125" s="21">
        <f xml:space="preserve"> _xlfn.IFNA( INDEX(Drivers!$L$2:$R$104, MATCH(F_interface!$A125&amp;RIGHT(F_interface!H$2, 2), Drivers!$C$2:$C$94, 0), MATCH(F_interface!$J125, Drivers!$L$2:$R$2, 0)), 0)</f>
        <v>0</v>
      </c>
      <c r="I125" s="21">
        <f xml:space="preserve"> _xlfn.IFNA( INDEX(Drivers!$L$2:$R$104, MATCH(F_interface!$A125&amp;RIGHT(F_interface!I$2, 2), Drivers!$C$2:$C$94, 0), MATCH(F_interface!$J125, Drivers!$L$2:$R$2, 0)), 0)</f>
        <v>0</v>
      </c>
      <c r="J125" s="122" t="s">
        <v>5</v>
      </c>
      <c r="K125" s="20" t="str">
        <f t="shared" si="5"/>
        <v>HDDC_INCOMESCORE_PR19CA012</v>
      </c>
      <c r="L125" s="23"/>
      <c r="M125" s="23"/>
    </row>
    <row r="126" spans="1:13" x14ac:dyDescent="0.25">
      <c r="A126" s="120" t="s">
        <v>21</v>
      </c>
      <c r="B126" s="21" t="s">
        <v>165</v>
      </c>
      <c r="C126" s="21" t="s">
        <v>11</v>
      </c>
      <c r="D126" s="21" t="s">
        <v>152</v>
      </c>
      <c r="E126" s="21">
        <f xml:space="preserve"> _xlfn.IFNA( INDEX(Drivers!$L$2:$R$104, MATCH(F_interface!$A126&amp;RIGHT(F_interface!E$2, 2), Drivers!$C$2:$C$94, 0), MATCH(F_interface!$J126, Drivers!$L$2:$R$2, 0)), 0)</f>
        <v>0.17393574078757201</v>
      </c>
      <c r="F126" s="21">
        <f xml:space="preserve"> _xlfn.IFNA( INDEX(Drivers!$L$2:$R$104, MATCH(F_interface!$A126&amp;RIGHT(F_interface!F$2, 2), Drivers!$C$2:$C$94, 0), MATCH(F_interface!$J126, Drivers!$L$2:$R$2, 0)), 0)</f>
        <v>0.17393574078757201</v>
      </c>
      <c r="G126" s="21">
        <f xml:space="preserve"> _xlfn.IFNA( INDEX(Drivers!$L$2:$R$104, MATCH(F_interface!$A126&amp;RIGHT(F_interface!G$2, 2), Drivers!$C$2:$C$94, 0), MATCH(F_interface!$J126, Drivers!$L$2:$R$2, 0)), 0)</f>
        <v>0.17393574078757201</v>
      </c>
      <c r="H126" s="21">
        <f xml:space="preserve"> _xlfn.IFNA( INDEX(Drivers!$L$2:$R$104, MATCH(F_interface!$A126&amp;RIGHT(F_interface!H$2, 2), Drivers!$C$2:$C$94, 0), MATCH(F_interface!$J126, Drivers!$L$2:$R$2, 0)), 0)</f>
        <v>0.17393574078757201</v>
      </c>
      <c r="I126" s="21">
        <f xml:space="preserve"> _xlfn.IFNA( INDEX(Drivers!$L$2:$R$104, MATCH(F_interface!$A126&amp;RIGHT(F_interface!I$2, 2), Drivers!$C$2:$C$94, 0), MATCH(F_interface!$J126, Drivers!$L$2:$R$2, 0)), 0)</f>
        <v>0.17393574078757201</v>
      </c>
      <c r="J126" s="122" t="s">
        <v>5</v>
      </c>
      <c r="K126" s="20" t="str">
        <f t="shared" si="5"/>
        <v>NESC_INCOMESCORE_PR19CA012</v>
      </c>
      <c r="L126" s="23"/>
      <c r="M126" s="23"/>
    </row>
    <row r="127" spans="1:13" x14ac:dyDescent="0.25">
      <c r="A127" s="120" t="s">
        <v>22</v>
      </c>
      <c r="B127" s="21" t="s">
        <v>165</v>
      </c>
      <c r="C127" s="21" t="s">
        <v>11</v>
      </c>
      <c r="D127" s="21" t="s">
        <v>152</v>
      </c>
      <c r="E127" s="21">
        <f xml:space="preserve"> _xlfn.IFNA( INDEX(Drivers!$L$2:$R$104, MATCH(F_interface!$A127&amp;RIGHT(F_interface!E$2, 2), Drivers!$C$2:$C$94, 0), MATCH(F_interface!$J127, Drivers!$L$2:$R$2, 0)), 0)</f>
        <v>0.17345573914666701</v>
      </c>
      <c r="F127" s="21">
        <f xml:space="preserve"> _xlfn.IFNA( INDEX(Drivers!$L$2:$R$104, MATCH(F_interface!$A127&amp;RIGHT(F_interface!F$2, 2), Drivers!$C$2:$C$94, 0), MATCH(F_interface!$J127, Drivers!$L$2:$R$2, 0)), 0)</f>
        <v>0.17345573914666701</v>
      </c>
      <c r="G127" s="21">
        <f xml:space="preserve"> _xlfn.IFNA( INDEX(Drivers!$L$2:$R$104, MATCH(F_interface!$A127&amp;RIGHT(F_interface!G$2, 2), Drivers!$C$2:$C$94, 0), MATCH(F_interface!$J127, Drivers!$L$2:$R$2, 0)), 0)</f>
        <v>0.17345573914666701</v>
      </c>
      <c r="H127" s="21">
        <f xml:space="preserve"> _xlfn.IFNA( INDEX(Drivers!$L$2:$R$104, MATCH(F_interface!$A127&amp;RIGHT(F_interface!H$2, 2), Drivers!$C$2:$C$94, 0), MATCH(F_interface!$J127, Drivers!$L$2:$R$2, 0)), 0)</f>
        <v>0.17345573914666701</v>
      </c>
      <c r="I127" s="21">
        <f xml:space="preserve"> _xlfn.IFNA( INDEX(Drivers!$L$2:$R$104, MATCH(F_interface!$A127&amp;RIGHT(F_interface!I$2, 2), Drivers!$C$2:$C$94, 0), MATCH(F_interface!$J127, Drivers!$L$2:$R$2, 0)), 0)</f>
        <v>0.17345573914666701</v>
      </c>
      <c r="J127" s="122" t="s">
        <v>5</v>
      </c>
      <c r="K127" s="20" t="str">
        <f t="shared" si="5"/>
        <v>NWTC_INCOMESCORE_PR19CA012</v>
      </c>
      <c r="L127" s="23"/>
      <c r="M127" s="23"/>
    </row>
    <row r="128" spans="1:13" x14ac:dyDescent="0.25">
      <c r="A128" s="120" t="s">
        <v>23</v>
      </c>
      <c r="B128" s="21" t="s">
        <v>165</v>
      </c>
      <c r="C128" s="21" t="s">
        <v>11</v>
      </c>
      <c r="D128" s="21" t="s">
        <v>152</v>
      </c>
      <c r="E128" s="21">
        <f xml:space="preserve"> _xlfn.IFNA( INDEX(Drivers!$L$2:$R$104, MATCH(F_interface!$A128&amp;RIGHT(F_interface!E$2, 2), Drivers!$C$2:$C$94, 0), MATCH(F_interface!$J128, Drivers!$L$2:$R$2, 0)), 0)</f>
        <v>0.125016249068304</v>
      </c>
      <c r="F128" s="21">
        <f xml:space="preserve"> _xlfn.IFNA( INDEX(Drivers!$L$2:$R$104, MATCH(F_interface!$A128&amp;RIGHT(F_interface!F$2, 2), Drivers!$C$2:$C$94, 0), MATCH(F_interface!$J128, Drivers!$L$2:$R$2, 0)), 0)</f>
        <v>0.125016249068304</v>
      </c>
      <c r="G128" s="21">
        <f xml:space="preserve"> _xlfn.IFNA( INDEX(Drivers!$L$2:$R$104, MATCH(F_interface!$A128&amp;RIGHT(F_interface!G$2, 2), Drivers!$C$2:$C$94, 0), MATCH(F_interface!$J128, Drivers!$L$2:$R$2, 0)), 0)</f>
        <v>0.125016249068304</v>
      </c>
      <c r="H128" s="21">
        <f xml:space="preserve"> _xlfn.IFNA( INDEX(Drivers!$L$2:$R$104, MATCH(F_interface!$A128&amp;RIGHT(F_interface!H$2, 2), Drivers!$C$2:$C$94, 0), MATCH(F_interface!$J128, Drivers!$L$2:$R$2, 0)), 0)</f>
        <v>0.125016249068304</v>
      </c>
      <c r="I128" s="21">
        <f xml:space="preserve"> _xlfn.IFNA( INDEX(Drivers!$L$2:$R$104, MATCH(F_interface!$A128&amp;RIGHT(F_interface!I$2, 2), Drivers!$C$2:$C$94, 0), MATCH(F_interface!$J128, Drivers!$L$2:$R$2, 0)), 0)</f>
        <v>0.125016249068304</v>
      </c>
      <c r="J128" s="122" t="s">
        <v>5</v>
      </c>
      <c r="K128" s="20" t="str">
        <f t="shared" si="5"/>
        <v>SRNC_INCOMESCORE_PR19CA012</v>
      </c>
      <c r="L128" s="23"/>
      <c r="M128" s="23"/>
    </row>
    <row r="129" spans="1:13" x14ac:dyDescent="0.25">
      <c r="A129" s="120" t="s">
        <v>156</v>
      </c>
      <c r="B129" s="21" t="s">
        <v>165</v>
      </c>
      <c r="C129" s="21" t="s">
        <v>11</v>
      </c>
      <c r="D129" s="21" t="s">
        <v>152</v>
      </c>
      <c r="E129" s="21">
        <f xml:space="preserve"> _xlfn.IFNA( INDEX(Drivers!$L$2:$R$104, MATCH(F_interface!$A129&amp;RIGHT(F_interface!E$2, 2), Drivers!$C$2:$C$94, 0), MATCH(F_interface!$J129, Drivers!$L$2:$R$2, 0)), 0)</f>
        <v>0</v>
      </c>
      <c r="F129" s="21">
        <f xml:space="preserve"> _xlfn.IFNA( INDEX(Drivers!$L$2:$R$104, MATCH(F_interface!$A129&amp;RIGHT(F_interface!F$2, 2), Drivers!$C$2:$C$94, 0), MATCH(F_interface!$J129, Drivers!$L$2:$R$2, 0)), 0)</f>
        <v>0</v>
      </c>
      <c r="G129" s="21">
        <f xml:space="preserve"> _xlfn.IFNA( INDEX(Drivers!$L$2:$R$104, MATCH(F_interface!$A129&amp;RIGHT(F_interface!G$2, 2), Drivers!$C$2:$C$94, 0), MATCH(F_interface!$J129, Drivers!$L$2:$R$2, 0)), 0)</f>
        <v>0</v>
      </c>
      <c r="H129" s="21">
        <f xml:space="preserve"> _xlfn.IFNA( INDEX(Drivers!$L$2:$R$104, MATCH(F_interface!$A129&amp;RIGHT(F_interface!H$2, 2), Drivers!$C$2:$C$94, 0), MATCH(F_interface!$J129, Drivers!$L$2:$R$2, 0)), 0)</f>
        <v>0</v>
      </c>
      <c r="I129" s="21">
        <f xml:space="preserve"> _xlfn.IFNA( INDEX(Drivers!$L$2:$R$104, MATCH(F_interface!$A129&amp;RIGHT(F_interface!I$2, 2), Drivers!$C$2:$C$94, 0), MATCH(F_interface!$J129, Drivers!$L$2:$R$2, 0)), 0)</f>
        <v>0</v>
      </c>
      <c r="J129" s="122" t="s">
        <v>5</v>
      </c>
      <c r="K129" s="20" t="str">
        <f t="shared" si="5"/>
        <v>SVEC_INCOMESCORE_PR19CA012</v>
      </c>
      <c r="L129" s="23"/>
      <c r="M129" s="23"/>
    </row>
    <row r="130" spans="1:13" x14ac:dyDescent="0.25">
      <c r="A130" s="120" t="s">
        <v>232</v>
      </c>
      <c r="B130" s="21" t="s">
        <v>165</v>
      </c>
      <c r="C130" s="21" t="s">
        <v>11</v>
      </c>
      <c r="D130" s="21" t="s">
        <v>152</v>
      </c>
      <c r="E130" s="21">
        <f xml:space="preserve"> _xlfn.IFNA( INDEX(Drivers!$L$2:$R$104, MATCH(F_interface!$A130&amp;RIGHT(F_interface!E$2, 2), Drivers!$C$2:$C$94, 0), MATCH(F_interface!$J130, Drivers!$L$2:$R$2, 0)), 0)</f>
        <v>0.15578296074864401</v>
      </c>
      <c r="F130" s="21">
        <f xml:space="preserve"> _xlfn.IFNA( INDEX(Drivers!$L$2:$R$104, MATCH(F_interface!$A130&amp;RIGHT(F_interface!F$2, 2), Drivers!$C$2:$C$94, 0), MATCH(F_interface!$J130, Drivers!$L$2:$R$2, 0)), 0)</f>
        <v>0.15578296074864401</v>
      </c>
      <c r="G130" s="21">
        <f xml:space="preserve"> _xlfn.IFNA( INDEX(Drivers!$L$2:$R$104, MATCH(F_interface!$A130&amp;RIGHT(F_interface!G$2, 2), Drivers!$C$2:$C$94, 0), MATCH(F_interface!$J130, Drivers!$L$2:$R$2, 0)), 0)</f>
        <v>0.15578296074864401</v>
      </c>
      <c r="H130" s="21">
        <f xml:space="preserve"> _xlfn.IFNA( INDEX(Drivers!$L$2:$R$104, MATCH(F_interface!$A130&amp;RIGHT(F_interface!H$2, 2), Drivers!$C$2:$C$94, 0), MATCH(F_interface!$J130, Drivers!$L$2:$R$2, 0)), 0)</f>
        <v>0.15578296074864401</v>
      </c>
      <c r="I130" s="21">
        <f xml:space="preserve"> _xlfn.IFNA( INDEX(Drivers!$L$2:$R$104, MATCH(F_interface!$A130&amp;RIGHT(F_interface!I$2, 2), Drivers!$C$2:$C$94, 0), MATCH(F_interface!$J130, Drivers!$L$2:$R$2, 0)), 0)</f>
        <v>0.15578296074864401</v>
      </c>
      <c r="J130" s="122" t="s">
        <v>5</v>
      </c>
      <c r="K130" s="20" t="str">
        <f t="shared" ref="K130:K131" si="10">A130&amp;B130</f>
        <v>SVHC_INCOMESCORE_PR19CA012</v>
      </c>
      <c r="L130" s="23"/>
      <c r="M130" s="23"/>
    </row>
    <row r="131" spans="1:13" x14ac:dyDescent="0.25">
      <c r="A131" s="120" t="s">
        <v>24</v>
      </c>
      <c r="B131" s="21" t="s">
        <v>165</v>
      </c>
      <c r="C131" s="21" t="s">
        <v>11</v>
      </c>
      <c r="D131" s="21" t="s">
        <v>152</v>
      </c>
      <c r="E131" s="21">
        <f xml:space="preserve"> _xlfn.IFNA( INDEX(Drivers!$L$2:$R$104, MATCH(F_interface!$A131&amp;RIGHT(F_interface!E$2, 2), Drivers!$C$2:$C$94, 0), MATCH(F_interface!$J131, Drivers!$L$2:$R$2, 0)), 0)</f>
        <v>0.15631676327006899</v>
      </c>
      <c r="F131" s="21">
        <f xml:space="preserve"> _xlfn.IFNA( INDEX(Drivers!$L$2:$R$104, MATCH(F_interface!$A131&amp;RIGHT(F_interface!F$2, 2), Drivers!$C$2:$C$94, 0), MATCH(F_interface!$J131, Drivers!$L$2:$R$2, 0)), 0)</f>
        <v>0.15631676327006899</v>
      </c>
      <c r="G131" s="21">
        <f xml:space="preserve"> _xlfn.IFNA( INDEX(Drivers!$L$2:$R$104, MATCH(F_interface!$A131&amp;RIGHT(F_interface!G$2, 2), Drivers!$C$2:$C$94, 0), MATCH(F_interface!$J131, Drivers!$L$2:$R$2, 0)), 0)</f>
        <v>0.15631676327006899</v>
      </c>
      <c r="H131" s="21">
        <f xml:space="preserve"> _xlfn.IFNA( INDEX(Drivers!$L$2:$R$104, MATCH(F_interface!$A131&amp;RIGHT(F_interface!H$2, 2), Drivers!$C$2:$C$94, 0), MATCH(F_interface!$J131, Drivers!$L$2:$R$2, 0)), 0)</f>
        <v>0.15631676327006899</v>
      </c>
      <c r="I131" s="21">
        <f xml:space="preserve"> _xlfn.IFNA( INDEX(Drivers!$L$2:$R$104, MATCH(F_interface!$A131&amp;RIGHT(F_interface!I$2, 2), Drivers!$C$2:$C$94, 0), MATCH(F_interface!$J131, Drivers!$L$2:$R$2, 0)), 0)</f>
        <v>0.15631676327006899</v>
      </c>
      <c r="J131" s="122" t="s">
        <v>5</v>
      </c>
      <c r="K131" s="20" t="str">
        <f t="shared" si="10"/>
        <v>SVTC_INCOMESCORE_PR19CA012</v>
      </c>
      <c r="L131" s="23"/>
      <c r="M131" s="23"/>
    </row>
    <row r="132" spans="1:13" x14ac:dyDescent="0.25">
      <c r="A132" s="120" t="s">
        <v>35</v>
      </c>
      <c r="B132" s="21" t="s">
        <v>165</v>
      </c>
      <c r="C132" s="21" t="s">
        <v>11</v>
      </c>
      <c r="D132" s="21" t="s">
        <v>152</v>
      </c>
      <c r="E132" s="21">
        <f xml:space="preserve"> _xlfn.IFNA( INDEX(Drivers!$L$2:$R$104, MATCH(F_interface!$A132&amp;RIGHT(F_interface!E$2, 2), Drivers!$C$2:$C$94, 0), MATCH(F_interface!$J132, Drivers!$L$2:$R$2, 0)), 0)</f>
        <v>0.130228384421084</v>
      </c>
      <c r="F132" s="21">
        <f xml:space="preserve"> _xlfn.IFNA( INDEX(Drivers!$L$2:$R$104, MATCH(F_interface!$A132&amp;RIGHT(F_interface!F$2, 2), Drivers!$C$2:$C$94, 0), MATCH(F_interface!$J132, Drivers!$L$2:$R$2, 0)), 0)</f>
        <v>0.130228384421084</v>
      </c>
      <c r="G132" s="21">
        <f xml:space="preserve"> _xlfn.IFNA( INDEX(Drivers!$L$2:$R$104, MATCH(F_interface!$A132&amp;RIGHT(F_interface!G$2, 2), Drivers!$C$2:$C$94, 0), MATCH(F_interface!$J132, Drivers!$L$2:$R$2, 0)), 0)</f>
        <v>0.130228384421084</v>
      </c>
      <c r="H132" s="21">
        <f xml:space="preserve"> _xlfn.IFNA( INDEX(Drivers!$L$2:$R$104, MATCH(F_interface!$A132&amp;RIGHT(F_interface!H$2, 2), Drivers!$C$2:$C$94, 0), MATCH(F_interface!$J132, Drivers!$L$2:$R$2, 0)), 0)</f>
        <v>0.130228384421084</v>
      </c>
      <c r="I132" s="21">
        <f xml:space="preserve"> _xlfn.IFNA( INDEX(Drivers!$L$2:$R$104, MATCH(F_interface!$A132&amp;RIGHT(F_interface!I$2, 2), Drivers!$C$2:$C$94, 0), MATCH(F_interface!$J132, Drivers!$L$2:$R$2, 0)), 0)</f>
        <v>0.130228384421084</v>
      </c>
      <c r="J132" s="122" t="s">
        <v>5</v>
      </c>
      <c r="K132" s="20" t="str">
        <f t="shared" si="5"/>
        <v>SWBC_INCOMESCORE_PR19CA012</v>
      </c>
      <c r="L132" s="23"/>
      <c r="M132" s="23"/>
    </row>
    <row r="133" spans="1:13" x14ac:dyDescent="0.25">
      <c r="A133" s="120" t="s">
        <v>25</v>
      </c>
      <c r="B133" s="21" t="s">
        <v>165</v>
      </c>
      <c r="C133" s="21" t="s">
        <v>11</v>
      </c>
      <c r="D133" s="21" t="s">
        <v>152</v>
      </c>
      <c r="E133" s="21">
        <f xml:space="preserve"> _xlfn.IFNA( INDEX(Drivers!$L$2:$R$104, MATCH(F_interface!$A133&amp;RIGHT(F_interface!E$2, 2), Drivers!$C$2:$C$94, 0), MATCH(F_interface!$J133, Drivers!$L$2:$R$2, 0)), 0)</f>
        <v>0.142212570915843</v>
      </c>
      <c r="F133" s="21">
        <f xml:space="preserve"> _xlfn.IFNA( INDEX(Drivers!$L$2:$R$104, MATCH(F_interface!$A133&amp;RIGHT(F_interface!F$2, 2), Drivers!$C$2:$C$94, 0), MATCH(F_interface!$J133, Drivers!$L$2:$R$2, 0)), 0)</f>
        <v>0.142212570915843</v>
      </c>
      <c r="G133" s="21">
        <f xml:space="preserve"> _xlfn.IFNA( INDEX(Drivers!$L$2:$R$104, MATCH(F_interface!$A133&amp;RIGHT(F_interface!G$2, 2), Drivers!$C$2:$C$94, 0), MATCH(F_interface!$J133, Drivers!$L$2:$R$2, 0)), 0)</f>
        <v>0.142212570915843</v>
      </c>
      <c r="H133" s="21">
        <f xml:space="preserve"> _xlfn.IFNA( INDEX(Drivers!$L$2:$R$104, MATCH(F_interface!$A133&amp;RIGHT(F_interface!H$2, 2), Drivers!$C$2:$C$94, 0), MATCH(F_interface!$J133, Drivers!$L$2:$R$2, 0)), 0)</f>
        <v>0.142212570915843</v>
      </c>
      <c r="I133" s="21">
        <f xml:space="preserve"> _xlfn.IFNA( INDEX(Drivers!$L$2:$R$104, MATCH(F_interface!$A133&amp;RIGHT(F_interface!I$2, 2), Drivers!$C$2:$C$94, 0), MATCH(F_interface!$J133, Drivers!$L$2:$R$2, 0)), 0)</f>
        <v>0.142212570915843</v>
      </c>
      <c r="J133" s="122" t="s">
        <v>5</v>
      </c>
      <c r="K133" s="20" t="str">
        <f t="shared" si="5"/>
        <v>TMSC_INCOMESCORE_PR19CA012</v>
      </c>
      <c r="L133" s="23"/>
      <c r="M133" s="23"/>
    </row>
    <row r="134" spans="1:13" x14ac:dyDescent="0.25">
      <c r="A134" s="120" t="s">
        <v>41</v>
      </c>
      <c r="B134" s="21" t="s">
        <v>165</v>
      </c>
      <c r="C134" s="21" t="s">
        <v>11</v>
      </c>
      <c r="D134" s="21" t="s">
        <v>152</v>
      </c>
      <c r="E134" s="21">
        <f xml:space="preserve"> _xlfn.IFNA( INDEX(Drivers!$L$2:$R$104, MATCH(F_interface!$A134&amp;RIGHT(F_interface!E$2, 2), Drivers!$C$2:$C$94, 0), MATCH(F_interface!$J134, Drivers!$L$2:$R$2, 0)), 0)</f>
        <v>0.157473898728237</v>
      </c>
      <c r="F134" s="21">
        <f xml:space="preserve"> _xlfn.IFNA( INDEX(Drivers!$L$2:$R$104, MATCH(F_interface!$A134&amp;RIGHT(F_interface!F$2, 2), Drivers!$C$2:$C$94, 0), MATCH(F_interface!$J134, Drivers!$L$2:$R$2, 0)), 0)</f>
        <v>0.157473898728237</v>
      </c>
      <c r="G134" s="21">
        <f xml:space="preserve"> _xlfn.IFNA( INDEX(Drivers!$L$2:$R$104, MATCH(F_interface!$A134&amp;RIGHT(F_interface!G$2, 2), Drivers!$C$2:$C$94, 0), MATCH(F_interface!$J134, Drivers!$L$2:$R$2, 0)), 0)</f>
        <v>0.157473898728237</v>
      </c>
      <c r="H134" s="21">
        <f xml:space="preserve"> _xlfn.IFNA( INDEX(Drivers!$L$2:$R$104, MATCH(F_interface!$A134&amp;RIGHT(F_interface!H$2, 2), Drivers!$C$2:$C$94, 0), MATCH(F_interface!$J134, Drivers!$L$2:$R$2, 0)), 0)</f>
        <v>0.157473898728237</v>
      </c>
      <c r="I134" s="21">
        <f xml:space="preserve"> _xlfn.IFNA( INDEX(Drivers!$L$2:$R$104, MATCH(F_interface!$A134&amp;RIGHT(F_interface!I$2, 2), Drivers!$C$2:$C$94, 0), MATCH(F_interface!$J134, Drivers!$L$2:$R$2, 0)), 0)</f>
        <v>0.157473898728237</v>
      </c>
      <c r="J134" s="122" t="s">
        <v>5</v>
      </c>
      <c r="K134" s="20" t="str">
        <f t="shared" si="5"/>
        <v>WSHC_INCOMESCORE_PR19CA012</v>
      </c>
      <c r="L134" s="23"/>
      <c r="M134" s="23"/>
    </row>
    <row r="135" spans="1:13" x14ac:dyDescent="0.25">
      <c r="A135" s="120" t="s">
        <v>26</v>
      </c>
      <c r="B135" s="21" t="s">
        <v>165</v>
      </c>
      <c r="C135" s="21" t="s">
        <v>11</v>
      </c>
      <c r="D135" s="21" t="s">
        <v>152</v>
      </c>
      <c r="E135" s="21">
        <f xml:space="preserve"> _xlfn.IFNA( INDEX(Drivers!$L$2:$R$104, MATCH(F_interface!$A135&amp;RIGHT(F_interface!E$2, 2), Drivers!$C$2:$C$94, 0), MATCH(F_interface!$J135, Drivers!$L$2:$R$2, 0)), 0)</f>
        <v>0.10973999387637599</v>
      </c>
      <c r="F135" s="21">
        <f xml:space="preserve"> _xlfn.IFNA( INDEX(Drivers!$L$2:$R$104, MATCH(F_interface!$A135&amp;RIGHT(F_interface!F$2, 2), Drivers!$C$2:$C$94, 0), MATCH(F_interface!$J135, Drivers!$L$2:$R$2, 0)), 0)</f>
        <v>0.10973999387637599</v>
      </c>
      <c r="G135" s="21">
        <f xml:space="preserve"> _xlfn.IFNA( INDEX(Drivers!$L$2:$R$104, MATCH(F_interface!$A135&amp;RIGHT(F_interface!G$2, 2), Drivers!$C$2:$C$94, 0), MATCH(F_interface!$J135, Drivers!$L$2:$R$2, 0)), 0)</f>
        <v>0.10973999387637599</v>
      </c>
      <c r="H135" s="21">
        <f xml:space="preserve"> _xlfn.IFNA( INDEX(Drivers!$L$2:$R$104, MATCH(F_interface!$A135&amp;RIGHT(F_interface!H$2, 2), Drivers!$C$2:$C$94, 0), MATCH(F_interface!$J135, Drivers!$L$2:$R$2, 0)), 0)</f>
        <v>0.10973999387637599</v>
      </c>
      <c r="I135" s="21">
        <f xml:space="preserve"> _xlfn.IFNA( INDEX(Drivers!$L$2:$R$104, MATCH(F_interface!$A135&amp;RIGHT(F_interface!I$2, 2), Drivers!$C$2:$C$94, 0), MATCH(F_interface!$J135, Drivers!$L$2:$R$2, 0)), 0)</f>
        <v>0.10973999387637599</v>
      </c>
      <c r="J135" s="122" t="s">
        <v>5</v>
      </c>
      <c r="K135" s="20" t="str">
        <f t="shared" si="5"/>
        <v>WSXC_INCOMESCORE_PR19CA012</v>
      </c>
      <c r="L135" s="23"/>
      <c r="M135" s="23"/>
    </row>
    <row r="136" spans="1:13" x14ac:dyDescent="0.25">
      <c r="A136" s="120" t="s">
        <v>27</v>
      </c>
      <c r="B136" s="21" t="s">
        <v>165</v>
      </c>
      <c r="C136" s="21" t="s">
        <v>11</v>
      </c>
      <c r="D136" s="21" t="s">
        <v>152</v>
      </c>
      <c r="E136" s="21">
        <f xml:space="preserve"> _xlfn.IFNA( INDEX(Drivers!$L$2:$R$104, MATCH(F_interface!$A136&amp;RIGHT(F_interface!E$2, 2), Drivers!$C$2:$C$94, 0), MATCH(F_interface!$J136, Drivers!$L$2:$R$2, 0)), 0)</f>
        <v>0.16058658878283499</v>
      </c>
      <c r="F136" s="21">
        <f xml:space="preserve"> _xlfn.IFNA( INDEX(Drivers!$L$2:$R$104, MATCH(F_interface!$A136&amp;RIGHT(F_interface!F$2, 2), Drivers!$C$2:$C$94, 0), MATCH(F_interface!$J136, Drivers!$L$2:$R$2, 0)), 0)</f>
        <v>0.16058658878283499</v>
      </c>
      <c r="G136" s="21">
        <f xml:space="preserve"> _xlfn.IFNA( INDEX(Drivers!$L$2:$R$104, MATCH(F_interface!$A136&amp;RIGHT(F_interface!G$2, 2), Drivers!$C$2:$C$94, 0), MATCH(F_interface!$J136, Drivers!$L$2:$R$2, 0)), 0)</f>
        <v>0.16058658878283499</v>
      </c>
      <c r="H136" s="21">
        <f xml:space="preserve"> _xlfn.IFNA( INDEX(Drivers!$L$2:$R$104, MATCH(F_interface!$A136&amp;RIGHT(F_interface!H$2, 2), Drivers!$C$2:$C$94, 0), MATCH(F_interface!$J136, Drivers!$L$2:$R$2, 0)), 0)</f>
        <v>0.16058658878283499</v>
      </c>
      <c r="I136" s="21">
        <f xml:space="preserve"> _xlfn.IFNA( INDEX(Drivers!$L$2:$R$104, MATCH(F_interface!$A136&amp;RIGHT(F_interface!I$2, 2), Drivers!$C$2:$C$94, 0), MATCH(F_interface!$J136, Drivers!$L$2:$R$2, 0)), 0)</f>
        <v>0.16058658878283499</v>
      </c>
      <c r="J136" s="122" t="s">
        <v>5</v>
      </c>
      <c r="K136" s="20" t="str">
        <f t="shared" si="5"/>
        <v>YKYC_INCOMESCORE_PR19CA012</v>
      </c>
      <c r="L136" s="23"/>
      <c r="M136" s="23"/>
    </row>
    <row r="137" spans="1:13" x14ac:dyDescent="0.25">
      <c r="A137" s="120" t="s">
        <v>28</v>
      </c>
      <c r="B137" s="21" t="s">
        <v>165</v>
      </c>
      <c r="C137" s="21" t="s">
        <v>11</v>
      </c>
      <c r="D137" s="21" t="s">
        <v>152</v>
      </c>
      <c r="E137" s="21">
        <f xml:space="preserve"> _xlfn.IFNA( INDEX(Drivers!$L$2:$R$104, MATCH(F_interface!$A137&amp;RIGHT(F_interface!E$2, 2), Drivers!$C$2:$C$94, 0), MATCH(F_interface!$J137, Drivers!$L$2:$R$2, 0)), 0)</f>
        <v>0.12333792174925599</v>
      </c>
      <c r="F137" s="21">
        <f xml:space="preserve"> _xlfn.IFNA( INDEX(Drivers!$L$2:$R$104, MATCH(F_interface!$A137&amp;RIGHT(F_interface!F$2, 2), Drivers!$C$2:$C$94, 0), MATCH(F_interface!$J137, Drivers!$L$2:$R$2, 0)), 0)</f>
        <v>0.12333792174925599</v>
      </c>
      <c r="G137" s="21">
        <f xml:space="preserve"> _xlfn.IFNA( INDEX(Drivers!$L$2:$R$104, MATCH(F_interface!$A137&amp;RIGHT(F_interface!G$2, 2), Drivers!$C$2:$C$94, 0), MATCH(F_interface!$J137, Drivers!$L$2:$R$2, 0)), 0)</f>
        <v>0.12333792174925599</v>
      </c>
      <c r="H137" s="21">
        <f xml:space="preserve"> _xlfn.IFNA( INDEX(Drivers!$L$2:$R$104, MATCH(F_interface!$A137&amp;RIGHT(F_interface!H$2, 2), Drivers!$C$2:$C$94, 0), MATCH(F_interface!$J137, Drivers!$L$2:$R$2, 0)), 0)</f>
        <v>0.12333792174925599</v>
      </c>
      <c r="I137" s="21">
        <f xml:space="preserve"> _xlfn.IFNA( INDEX(Drivers!$L$2:$R$104, MATCH(F_interface!$A137&amp;RIGHT(F_interface!I$2, 2), Drivers!$C$2:$C$94, 0), MATCH(F_interface!$J137, Drivers!$L$2:$R$2, 0)), 0)</f>
        <v>0.12333792174925599</v>
      </c>
      <c r="J137" s="122" t="s">
        <v>5</v>
      </c>
      <c r="K137" s="20" t="str">
        <f t="shared" si="5"/>
        <v>AFWC_INCOMESCORE_PR19CA012</v>
      </c>
      <c r="L137" s="23"/>
      <c r="M137" s="23"/>
    </row>
    <row r="138" spans="1:13" x14ac:dyDescent="0.25">
      <c r="A138" s="120" t="s">
        <v>29</v>
      </c>
      <c r="B138" s="21" t="s">
        <v>165</v>
      </c>
      <c r="C138" s="21" t="s">
        <v>11</v>
      </c>
      <c r="D138" s="21" t="s">
        <v>152</v>
      </c>
      <c r="E138" s="21">
        <f xml:space="preserve"> _xlfn.IFNA( INDEX(Drivers!$L$2:$R$104, MATCH(F_interface!$A138&amp;RIGHT(F_interface!E$2, 2), Drivers!$C$2:$C$94, 0), MATCH(F_interface!$J138, Drivers!$L$2:$R$2, 0)), 0)</f>
        <v>0.125774820528717</v>
      </c>
      <c r="F138" s="21">
        <f xml:space="preserve"> _xlfn.IFNA( INDEX(Drivers!$L$2:$R$104, MATCH(F_interface!$A138&amp;RIGHT(F_interface!F$2, 2), Drivers!$C$2:$C$94, 0), MATCH(F_interface!$J138, Drivers!$L$2:$R$2, 0)), 0)</f>
        <v>0.125774820528717</v>
      </c>
      <c r="G138" s="21">
        <f xml:space="preserve"> _xlfn.IFNA( INDEX(Drivers!$L$2:$R$104, MATCH(F_interface!$A138&amp;RIGHT(F_interface!G$2, 2), Drivers!$C$2:$C$94, 0), MATCH(F_interface!$J138, Drivers!$L$2:$R$2, 0)), 0)</f>
        <v>0.125774820528717</v>
      </c>
      <c r="H138" s="21">
        <f xml:space="preserve"> _xlfn.IFNA( INDEX(Drivers!$L$2:$R$104, MATCH(F_interface!$A138&amp;RIGHT(F_interface!H$2, 2), Drivers!$C$2:$C$94, 0), MATCH(F_interface!$J138, Drivers!$L$2:$R$2, 0)), 0)</f>
        <v>0.125774820528717</v>
      </c>
      <c r="I138" s="21">
        <f xml:space="preserve"> _xlfn.IFNA( INDEX(Drivers!$L$2:$R$104, MATCH(F_interface!$A138&amp;RIGHT(F_interface!I$2, 2), Drivers!$C$2:$C$94, 0), MATCH(F_interface!$J138, Drivers!$L$2:$R$2, 0)), 0)</f>
        <v>0.125774820528717</v>
      </c>
      <c r="J138" s="122" t="s">
        <v>5</v>
      </c>
      <c r="K138" s="20" t="str">
        <f t="shared" si="5"/>
        <v>BRLC_INCOMESCORE_PR19CA012</v>
      </c>
      <c r="L138" s="23"/>
      <c r="M138" s="23"/>
    </row>
    <row r="139" spans="1:13" x14ac:dyDescent="0.25">
      <c r="A139" s="120" t="s">
        <v>30</v>
      </c>
      <c r="B139" s="21" t="s">
        <v>165</v>
      </c>
      <c r="C139" s="21" t="s">
        <v>11</v>
      </c>
      <c r="D139" s="21" t="s">
        <v>152</v>
      </c>
      <c r="E139" s="21">
        <f xml:space="preserve"> _xlfn.IFNA( INDEX(Drivers!$L$2:$R$104, MATCH(F_interface!$A139&amp;RIGHT(F_interface!E$2, 2), Drivers!$C$2:$C$94, 0), MATCH(F_interface!$J139, Drivers!$L$2:$R$2, 0)), 0)</f>
        <v>0.13768395221218899</v>
      </c>
      <c r="F139" s="21">
        <f xml:space="preserve"> _xlfn.IFNA( INDEX(Drivers!$L$2:$R$104, MATCH(F_interface!$A139&amp;RIGHT(F_interface!F$2, 2), Drivers!$C$2:$C$94, 0), MATCH(F_interface!$J139, Drivers!$L$2:$R$2, 0)), 0)</f>
        <v>0.13768395221218899</v>
      </c>
      <c r="G139" s="21">
        <f xml:space="preserve"> _xlfn.IFNA( INDEX(Drivers!$L$2:$R$104, MATCH(F_interface!$A139&amp;RIGHT(F_interface!G$2, 2), Drivers!$C$2:$C$94, 0), MATCH(F_interface!$J139, Drivers!$L$2:$R$2, 0)), 0)</f>
        <v>0.13768395221218899</v>
      </c>
      <c r="H139" s="21">
        <f xml:space="preserve"> _xlfn.IFNA( INDEX(Drivers!$L$2:$R$104, MATCH(F_interface!$A139&amp;RIGHT(F_interface!H$2, 2), Drivers!$C$2:$C$94, 0), MATCH(F_interface!$J139, Drivers!$L$2:$R$2, 0)), 0)</f>
        <v>0.13768395221218899</v>
      </c>
      <c r="I139" s="21">
        <f xml:space="preserve"> _xlfn.IFNA( INDEX(Drivers!$L$2:$R$104, MATCH(F_interface!$A139&amp;RIGHT(F_interface!I$2, 2), Drivers!$C$2:$C$94, 0), MATCH(F_interface!$J139, Drivers!$L$2:$R$2, 0)), 0)</f>
        <v>0.13768395221218899</v>
      </c>
      <c r="J139" s="122" t="s">
        <v>5</v>
      </c>
      <c r="K139" s="20" t="str">
        <f t="shared" ref="K139" si="11">A139&amp;B139</f>
        <v>DVWC_INCOMESCORE_PR19CA012</v>
      </c>
      <c r="L139" s="23"/>
      <c r="M139" s="23"/>
    </row>
    <row r="140" spans="1:13" x14ac:dyDescent="0.25">
      <c r="A140" s="120" t="s">
        <v>31</v>
      </c>
      <c r="B140" s="21" t="s">
        <v>165</v>
      </c>
      <c r="C140" s="21" t="s">
        <v>11</v>
      </c>
      <c r="D140" s="21" t="s">
        <v>152</v>
      </c>
      <c r="E140" s="21">
        <f xml:space="preserve"> _xlfn.IFNA( INDEX(Drivers!$L$2:$R$104, MATCH(F_interface!$A140&amp;RIGHT(F_interface!E$2, 2), Drivers!$C$2:$C$94, 0), MATCH(F_interface!$J140, Drivers!$L$2:$R$2, 0)), 0)</f>
        <v>0.11678703095125199</v>
      </c>
      <c r="F140" s="21">
        <f xml:space="preserve"> _xlfn.IFNA( INDEX(Drivers!$L$2:$R$104, MATCH(F_interface!$A140&amp;RIGHT(F_interface!F$2, 2), Drivers!$C$2:$C$94, 0), MATCH(F_interface!$J140, Drivers!$L$2:$R$2, 0)), 0)</f>
        <v>0.11678703095125199</v>
      </c>
      <c r="G140" s="21">
        <f xml:space="preserve"> _xlfn.IFNA( INDEX(Drivers!$L$2:$R$104, MATCH(F_interface!$A140&amp;RIGHT(F_interface!G$2, 2), Drivers!$C$2:$C$94, 0), MATCH(F_interface!$J140, Drivers!$L$2:$R$2, 0)), 0)</f>
        <v>0.11678703095125199</v>
      </c>
      <c r="H140" s="21">
        <f xml:space="preserve"> _xlfn.IFNA( INDEX(Drivers!$L$2:$R$104, MATCH(F_interface!$A140&amp;RIGHT(F_interface!H$2, 2), Drivers!$C$2:$C$94, 0), MATCH(F_interface!$J140, Drivers!$L$2:$R$2, 0)), 0)</f>
        <v>0.11678703095125199</v>
      </c>
      <c r="I140" s="21">
        <f xml:space="preserve"> _xlfn.IFNA( INDEX(Drivers!$L$2:$R$104, MATCH(F_interface!$A140&amp;RIGHT(F_interface!I$2, 2), Drivers!$C$2:$C$94, 0), MATCH(F_interface!$J140, Drivers!$L$2:$R$2, 0)), 0)</f>
        <v>0.11678703095125199</v>
      </c>
      <c r="J140" s="122" t="s">
        <v>5</v>
      </c>
      <c r="K140" s="20" t="str">
        <f t="shared" si="5"/>
        <v>PRTC_INCOMESCORE_PR19CA012</v>
      </c>
      <c r="L140" s="23"/>
      <c r="M140" s="23"/>
    </row>
    <row r="141" spans="1:13" x14ac:dyDescent="0.25">
      <c r="A141" s="120" t="s">
        <v>32</v>
      </c>
      <c r="B141" s="21" t="s">
        <v>165</v>
      </c>
      <c r="C141" s="21" t="s">
        <v>11</v>
      </c>
      <c r="D141" s="21" t="s">
        <v>152</v>
      </c>
      <c r="E141" s="21">
        <f xml:space="preserve"> _xlfn.IFNA( INDEX(Drivers!$L$2:$R$104, MATCH(F_interface!$A141&amp;RIGHT(F_interface!E$2, 2), Drivers!$C$2:$C$94, 0), MATCH(F_interface!$J141, Drivers!$L$2:$R$2, 0)), 0)</f>
        <v>9.6072079609599903E-2</v>
      </c>
      <c r="F141" s="21">
        <f xml:space="preserve"> _xlfn.IFNA( INDEX(Drivers!$L$2:$R$104, MATCH(F_interface!$A141&amp;RIGHT(F_interface!F$2, 2), Drivers!$C$2:$C$94, 0), MATCH(F_interface!$J141, Drivers!$L$2:$R$2, 0)), 0)</f>
        <v>9.6072079609599903E-2</v>
      </c>
      <c r="G141" s="21">
        <f xml:space="preserve"> _xlfn.IFNA( INDEX(Drivers!$L$2:$R$104, MATCH(F_interface!$A141&amp;RIGHT(F_interface!G$2, 2), Drivers!$C$2:$C$94, 0), MATCH(F_interface!$J141, Drivers!$L$2:$R$2, 0)), 0)</f>
        <v>9.6072079609599903E-2</v>
      </c>
      <c r="H141" s="21">
        <f xml:space="preserve"> _xlfn.IFNA( INDEX(Drivers!$L$2:$R$104, MATCH(F_interface!$A141&amp;RIGHT(F_interface!H$2, 2), Drivers!$C$2:$C$94, 0), MATCH(F_interface!$J141, Drivers!$L$2:$R$2, 0)), 0)</f>
        <v>9.6072079609599903E-2</v>
      </c>
      <c r="I141" s="21">
        <f xml:space="preserve"> _xlfn.IFNA( INDEX(Drivers!$L$2:$R$104, MATCH(F_interface!$A141&amp;RIGHT(F_interface!I$2, 2), Drivers!$C$2:$C$94, 0), MATCH(F_interface!$J141, Drivers!$L$2:$R$2, 0)), 0)</f>
        <v>9.6072079609599903E-2</v>
      </c>
      <c r="J141" s="122" t="s">
        <v>5</v>
      </c>
      <c r="K141" s="20" t="str">
        <f t="shared" si="5"/>
        <v>SESC_INCOMESCORE_PR19CA012</v>
      </c>
      <c r="L141" s="23"/>
      <c r="M141" s="23"/>
    </row>
    <row r="142" spans="1:13" x14ac:dyDescent="0.25">
      <c r="A142" s="120" t="s">
        <v>33</v>
      </c>
      <c r="B142" s="21" t="s">
        <v>165</v>
      </c>
      <c r="C142" s="21" t="s">
        <v>11</v>
      </c>
      <c r="D142" s="21" t="s">
        <v>152</v>
      </c>
      <c r="E142" s="21">
        <f xml:space="preserve"> _xlfn.IFNA( INDEX(Drivers!$L$2:$R$104, MATCH(F_interface!$A142&amp;RIGHT(F_interface!E$2, 2), Drivers!$C$2:$C$94, 0), MATCH(F_interface!$J142, Drivers!$L$2:$R$2, 0)), 0)</f>
        <v>9.5258229755804197E-2</v>
      </c>
      <c r="F142" s="21">
        <f xml:space="preserve"> _xlfn.IFNA( INDEX(Drivers!$L$2:$R$104, MATCH(F_interface!$A142&amp;RIGHT(F_interface!F$2, 2), Drivers!$C$2:$C$94, 0), MATCH(F_interface!$J142, Drivers!$L$2:$R$2, 0)), 0)</f>
        <v>9.5258229755804197E-2</v>
      </c>
      <c r="G142" s="21">
        <f xml:space="preserve"> _xlfn.IFNA( INDEX(Drivers!$L$2:$R$104, MATCH(F_interface!$A142&amp;RIGHT(F_interface!G$2, 2), Drivers!$C$2:$C$94, 0), MATCH(F_interface!$J142, Drivers!$L$2:$R$2, 0)), 0)</f>
        <v>9.5258229755804197E-2</v>
      </c>
      <c r="H142" s="21">
        <f xml:space="preserve"> _xlfn.IFNA( INDEX(Drivers!$L$2:$R$104, MATCH(F_interface!$A142&amp;RIGHT(F_interface!H$2, 2), Drivers!$C$2:$C$94, 0), MATCH(F_interface!$J142, Drivers!$L$2:$R$2, 0)), 0)</f>
        <v>9.5258229755804197E-2</v>
      </c>
      <c r="I142" s="21">
        <f xml:space="preserve"> _xlfn.IFNA( INDEX(Drivers!$L$2:$R$104, MATCH(F_interface!$A142&amp;RIGHT(F_interface!I$2, 2), Drivers!$C$2:$C$94, 0), MATCH(F_interface!$J142, Drivers!$L$2:$R$2, 0)), 0)</f>
        <v>9.5258229755804197E-2</v>
      </c>
      <c r="J142" s="122" t="s">
        <v>5</v>
      </c>
      <c r="K142" s="20" t="str">
        <f t="shared" si="5"/>
        <v>SEWC_INCOMESCORE_PR19CA012</v>
      </c>
      <c r="L142" s="23"/>
      <c r="M142" s="23"/>
    </row>
    <row r="143" spans="1:13" x14ac:dyDescent="0.25">
      <c r="A143" s="120" t="s">
        <v>34</v>
      </c>
      <c r="B143" s="21" t="s">
        <v>165</v>
      </c>
      <c r="C143" s="21" t="s">
        <v>11</v>
      </c>
      <c r="D143" s="21" t="s">
        <v>152</v>
      </c>
      <c r="E143" s="21">
        <f xml:space="preserve"> _xlfn.IFNA( INDEX(Drivers!$L$2:$R$104, MATCH(F_interface!$A143&amp;RIGHT(F_interface!E$2, 2), Drivers!$C$2:$C$94, 0), MATCH(F_interface!$J143, Drivers!$L$2:$R$2, 0)), 0)</f>
        <v>0.161233595410335</v>
      </c>
      <c r="F143" s="21">
        <f xml:space="preserve"> _xlfn.IFNA( INDEX(Drivers!$L$2:$R$104, MATCH(F_interface!$A143&amp;RIGHT(F_interface!F$2, 2), Drivers!$C$2:$C$94, 0), MATCH(F_interface!$J143, Drivers!$L$2:$R$2, 0)), 0)</f>
        <v>0.161233595410335</v>
      </c>
      <c r="G143" s="21">
        <f xml:space="preserve"> _xlfn.IFNA( INDEX(Drivers!$L$2:$R$104, MATCH(F_interface!$A143&amp;RIGHT(F_interface!G$2, 2), Drivers!$C$2:$C$94, 0), MATCH(F_interface!$J143, Drivers!$L$2:$R$2, 0)), 0)</f>
        <v>0.161233595410335</v>
      </c>
      <c r="H143" s="21">
        <f xml:space="preserve"> _xlfn.IFNA( INDEX(Drivers!$L$2:$R$104, MATCH(F_interface!$A143&amp;RIGHT(F_interface!H$2, 2), Drivers!$C$2:$C$94, 0), MATCH(F_interface!$J143, Drivers!$L$2:$R$2, 0)), 0)</f>
        <v>0.161233595410335</v>
      </c>
      <c r="I143" s="21">
        <f xml:space="preserve"> _xlfn.IFNA( INDEX(Drivers!$L$2:$R$104, MATCH(F_interface!$A143&amp;RIGHT(F_interface!I$2, 2), Drivers!$C$2:$C$94, 0), MATCH(F_interface!$J143, Drivers!$L$2:$R$2, 0)), 0)</f>
        <v>0.161233595410335</v>
      </c>
      <c r="J143" s="122" t="s">
        <v>5</v>
      </c>
      <c r="K143" s="20" t="str">
        <f t="shared" si="5"/>
        <v>SSCC_INCOMESCORE_PR19CA012</v>
      </c>
      <c r="L143" s="23"/>
      <c r="M143" s="23"/>
    </row>
    <row r="144" spans="1:13" x14ac:dyDescent="0.25">
      <c r="A144" s="120" t="s">
        <v>20</v>
      </c>
      <c r="B144" s="21" t="s">
        <v>166</v>
      </c>
      <c r="C144" s="21" t="s">
        <v>11</v>
      </c>
      <c r="D144" s="21" t="s">
        <v>152</v>
      </c>
      <c r="E144" s="21">
        <f xml:space="preserve"> _xlfn.IFNA(INDEX(Drivers!$L$2:$R$104, MATCH(F_interface!$A144&amp;RIGHT(F_interface!E$2, 2), Drivers!$C$2:$C$94, 0), MATCH(F_interface!$J144, Drivers!$L$2:$R$2, 0)),0)</f>
        <v>0.119304082480962</v>
      </c>
      <c r="F144" s="21">
        <f xml:space="preserve"> _xlfn.IFNA(INDEX(Drivers!$L$2:$R$104, MATCH(F_interface!$A144&amp;RIGHT(F_interface!F$2, 2), Drivers!$C$2:$C$94, 0), MATCH(F_interface!$J144, Drivers!$L$2:$R$2, 0)),0)</f>
        <v>0.119304082480962</v>
      </c>
      <c r="G144" s="21">
        <f xml:space="preserve"> _xlfn.IFNA(INDEX(Drivers!$L$2:$R$104, MATCH(F_interface!$A144&amp;RIGHT(F_interface!G$2, 2), Drivers!$C$2:$C$94, 0), MATCH(F_interface!$J144, Drivers!$L$2:$R$2, 0)),0)</f>
        <v>0.119304082480962</v>
      </c>
      <c r="H144" s="21">
        <f xml:space="preserve"> _xlfn.IFNA(INDEX(Drivers!$L$2:$R$104, MATCH(F_interface!$A144&amp;RIGHT(F_interface!H$2, 2), Drivers!$C$2:$C$94, 0), MATCH(F_interface!$J144, Drivers!$L$2:$R$2, 0)),0)</f>
        <v>0.119304082480962</v>
      </c>
      <c r="I144" s="21">
        <f xml:space="preserve"> _xlfn.IFNA(INDEX(Drivers!$L$2:$R$104, MATCH(F_interface!$A144&amp;RIGHT(F_interface!I$2, 2), Drivers!$C$2:$C$94, 0), MATCH(F_interface!$J144, Drivers!$L$2:$R$2, 0)),0)</f>
        <v>0.119304082480962</v>
      </c>
      <c r="J144" s="122" t="s">
        <v>6</v>
      </c>
      <c r="K144" s="20" t="str">
        <f>A144&amp;B144</f>
        <v>ANHC_TOTALMIGRATION_PR19CA012</v>
      </c>
      <c r="L144" s="23"/>
      <c r="M144" s="23"/>
    </row>
    <row r="145" spans="1:13" x14ac:dyDescent="0.25">
      <c r="A145" s="120" t="s">
        <v>157</v>
      </c>
      <c r="B145" s="21" t="s">
        <v>166</v>
      </c>
      <c r="C145" s="21" t="s">
        <v>11</v>
      </c>
      <c r="D145" s="21" t="s">
        <v>152</v>
      </c>
      <c r="E145" s="21">
        <f xml:space="preserve"> _xlfn.IFNA(INDEX(Drivers!$L$2:$R$104, MATCH(F_interface!$A145&amp;RIGHT(F_interface!E$2, 2), Drivers!$C$2:$C$94, 0), MATCH(F_interface!$J145, Drivers!$L$2:$R$2, 0)),0)</f>
        <v>0</v>
      </c>
      <c r="F145" s="21">
        <f xml:space="preserve"> _xlfn.IFNA(INDEX(Drivers!$L$2:$R$104, MATCH(F_interface!$A145&amp;RIGHT(F_interface!F$2, 2), Drivers!$C$2:$C$94, 0), MATCH(F_interface!$J145, Drivers!$L$2:$R$2, 0)),0)</f>
        <v>0</v>
      </c>
      <c r="G145" s="21">
        <f xml:space="preserve"> _xlfn.IFNA(INDEX(Drivers!$L$2:$R$104, MATCH(F_interface!$A145&amp;RIGHT(F_interface!G$2, 2), Drivers!$C$2:$C$94, 0), MATCH(F_interface!$J145, Drivers!$L$2:$R$2, 0)),0)</f>
        <v>0</v>
      </c>
      <c r="H145" s="21">
        <f xml:space="preserve"> _xlfn.IFNA(INDEX(Drivers!$L$2:$R$104, MATCH(F_interface!$A145&amp;RIGHT(F_interface!H$2, 2), Drivers!$C$2:$C$94, 0), MATCH(F_interface!$J145, Drivers!$L$2:$R$2, 0)),0)</f>
        <v>0</v>
      </c>
      <c r="I145" s="21">
        <f xml:space="preserve"> _xlfn.IFNA(INDEX(Drivers!$L$2:$R$104, MATCH(F_interface!$A145&amp;RIGHT(F_interface!I$2, 2), Drivers!$C$2:$C$94, 0), MATCH(F_interface!$J145, Drivers!$L$2:$R$2, 0)),0)</f>
        <v>0</v>
      </c>
      <c r="J145" s="122" t="s">
        <v>6</v>
      </c>
      <c r="K145" s="20" t="str">
        <f t="shared" ref="K145:K209" si="12">A145&amp;B145</f>
        <v>HDDC_TOTALMIGRATION_PR19CA012</v>
      </c>
      <c r="L145" s="23"/>
      <c r="M145" s="23"/>
    </row>
    <row r="146" spans="1:13" x14ac:dyDescent="0.25">
      <c r="A146" s="120" t="s">
        <v>21</v>
      </c>
      <c r="B146" s="21" t="s">
        <v>166</v>
      </c>
      <c r="C146" s="21" t="s">
        <v>11</v>
      </c>
      <c r="D146" s="21" t="s">
        <v>152</v>
      </c>
      <c r="E146" s="21">
        <f xml:space="preserve"> _xlfn.IFNA(INDEX(Drivers!$L$2:$R$104, MATCH(F_interface!$A146&amp;RIGHT(F_interface!E$2, 2), Drivers!$C$2:$C$94, 0), MATCH(F_interface!$J146, Drivers!$L$2:$R$2, 0)),0)</f>
        <v>9.6672483697440303E-2</v>
      </c>
      <c r="F146" s="21">
        <f xml:space="preserve"> _xlfn.IFNA(INDEX(Drivers!$L$2:$R$104, MATCH(F_interface!$A146&amp;RIGHT(F_interface!F$2, 2), Drivers!$C$2:$C$94, 0), MATCH(F_interface!$J146, Drivers!$L$2:$R$2, 0)),0)</f>
        <v>9.6672483697440303E-2</v>
      </c>
      <c r="G146" s="21">
        <f xml:space="preserve"> _xlfn.IFNA(INDEX(Drivers!$L$2:$R$104, MATCH(F_interface!$A146&amp;RIGHT(F_interface!G$2, 2), Drivers!$C$2:$C$94, 0), MATCH(F_interface!$J146, Drivers!$L$2:$R$2, 0)),0)</f>
        <v>9.6672483697440303E-2</v>
      </c>
      <c r="H146" s="21">
        <f xml:space="preserve"> _xlfn.IFNA(INDEX(Drivers!$L$2:$R$104, MATCH(F_interface!$A146&amp;RIGHT(F_interface!H$2, 2), Drivers!$C$2:$C$94, 0), MATCH(F_interface!$J146, Drivers!$L$2:$R$2, 0)),0)</f>
        <v>9.6672483697440303E-2</v>
      </c>
      <c r="I146" s="21">
        <f xml:space="preserve"> _xlfn.IFNA(INDEX(Drivers!$L$2:$R$104, MATCH(F_interface!$A146&amp;RIGHT(F_interface!I$2, 2), Drivers!$C$2:$C$94, 0), MATCH(F_interface!$J146, Drivers!$L$2:$R$2, 0)),0)</f>
        <v>9.6672483697440303E-2</v>
      </c>
      <c r="J146" s="122" t="s">
        <v>6</v>
      </c>
      <c r="K146" s="20" t="str">
        <f t="shared" si="12"/>
        <v>NESC_TOTALMIGRATION_PR19CA012</v>
      </c>
      <c r="L146" s="23"/>
      <c r="M146" s="23"/>
    </row>
    <row r="147" spans="1:13" x14ac:dyDescent="0.25">
      <c r="A147" s="120" t="s">
        <v>22</v>
      </c>
      <c r="B147" s="21" t="s">
        <v>166</v>
      </c>
      <c r="C147" s="21" t="s">
        <v>11</v>
      </c>
      <c r="D147" s="21" t="s">
        <v>152</v>
      </c>
      <c r="E147" s="21">
        <f xml:space="preserve"> _xlfn.IFNA(INDEX(Drivers!$L$2:$R$104, MATCH(F_interface!$A147&amp;RIGHT(F_interface!E$2, 2), Drivers!$C$2:$C$94, 0), MATCH(F_interface!$J147, Drivers!$L$2:$R$2, 0)),0)</f>
        <v>0.113714629927796</v>
      </c>
      <c r="F147" s="21">
        <f xml:space="preserve"> _xlfn.IFNA(INDEX(Drivers!$L$2:$R$104, MATCH(F_interface!$A147&amp;RIGHT(F_interface!F$2, 2), Drivers!$C$2:$C$94, 0), MATCH(F_interface!$J147, Drivers!$L$2:$R$2, 0)),0)</f>
        <v>0.113714629927796</v>
      </c>
      <c r="G147" s="21">
        <f xml:space="preserve"> _xlfn.IFNA(INDEX(Drivers!$L$2:$R$104, MATCH(F_interface!$A147&amp;RIGHT(F_interface!G$2, 2), Drivers!$C$2:$C$94, 0), MATCH(F_interface!$J147, Drivers!$L$2:$R$2, 0)),0)</f>
        <v>0.113714629927796</v>
      </c>
      <c r="H147" s="21">
        <f xml:space="preserve"> _xlfn.IFNA(INDEX(Drivers!$L$2:$R$104, MATCH(F_interface!$A147&amp;RIGHT(F_interface!H$2, 2), Drivers!$C$2:$C$94, 0), MATCH(F_interface!$J147, Drivers!$L$2:$R$2, 0)),0)</f>
        <v>0.113714629927796</v>
      </c>
      <c r="I147" s="21">
        <f xml:space="preserve"> _xlfn.IFNA(INDEX(Drivers!$L$2:$R$104, MATCH(F_interface!$A147&amp;RIGHT(F_interface!I$2, 2), Drivers!$C$2:$C$94, 0), MATCH(F_interface!$J147, Drivers!$L$2:$R$2, 0)),0)</f>
        <v>0.113714629927796</v>
      </c>
      <c r="J147" s="122" t="s">
        <v>6</v>
      </c>
      <c r="K147" s="20" t="str">
        <f t="shared" si="12"/>
        <v>NWTC_TOTALMIGRATION_PR19CA012</v>
      </c>
      <c r="L147" s="23"/>
      <c r="M147" s="23"/>
    </row>
    <row r="148" spans="1:13" x14ac:dyDescent="0.25">
      <c r="A148" s="120" t="s">
        <v>23</v>
      </c>
      <c r="B148" s="21" t="s">
        <v>166</v>
      </c>
      <c r="C148" s="21" t="s">
        <v>11</v>
      </c>
      <c r="D148" s="21" t="s">
        <v>152</v>
      </c>
      <c r="E148" s="21">
        <f xml:space="preserve"> _xlfn.IFNA(INDEX(Drivers!$L$2:$R$104, MATCH(F_interface!$A148&amp;RIGHT(F_interface!E$2, 2), Drivers!$C$2:$C$94, 0), MATCH(F_interface!$J148, Drivers!$L$2:$R$2, 0)),0)</f>
        <v>0.131668055636184</v>
      </c>
      <c r="F148" s="21">
        <f xml:space="preserve"> _xlfn.IFNA(INDEX(Drivers!$L$2:$R$104, MATCH(F_interface!$A148&amp;RIGHT(F_interface!F$2, 2), Drivers!$C$2:$C$94, 0), MATCH(F_interface!$J148, Drivers!$L$2:$R$2, 0)),0)</f>
        <v>0.131668055636184</v>
      </c>
      <c r="G148" s="21">
        <f xml:space="preserve"> _xlfn.IFNA(INDEX(Drivers!$L$2:$R$104, MATCH(F_interface!$A148&amp;RIGHT(F_interface!G$2, 2), Drivers!$C$2:$C$94, 0), MATCH(F_interface!$J148, Drivers!$L$2:$R$2, 0)),0)</f>
        <v>0.131668055636184</v>
      </c>
      <c r="H148" s="21">
        <f xml:space="preserve"> _xlfn.IFNA(INDEX(Drivers!$L$2:$R$104, MATCH(F_interface!$A148&amp;RIGHT(F_interface!H$2, 2), Drivers!$C$2:$C$94, 0), MATCH(F_interface!$J148, Drivers!$L$2:$R$2, 0)),0)</f>
        <v>0.131668055636184</v>
      </c>
      <c r="I148" s="21">
        <f xml:space="preserve"> _xlfn.IFNA(INDEX(Drivers!$L$2:$R$104, MATCH(F_interface!$A148&amp;RIGHT(F_interface!I$2, 2), Drivers!$C$2:$C$94, 0), MATCH(F_interface!$J148, Drivers!$L$2:$R$2, 0)),0)</f>
        <v>0.131668055636184</v>
      </c>
      <c r="J148" s="122" t="s">
        <v>6</v>
      </c>
      <c r="K148" s="20" t="str">
        <f t="shared" si="12"/>
        <v>SRNC_TOTALMIGRATION_PR19CA012</v>
      </c>
      <c r="L148" s="23"/>
      <c r="M148" s="23"/>
    </row>
    <row r="149" spans="1:13" x14ac:dyDescent="0.25">
      <c r="A149" s="120" t="s">
        <v>156</v>
      </c>
      <c r="B149" s="21" t="s">
        <v>166</v>
      </c>
      <c r="C149" s="21" t="s">
        <v>11</v>
      </c>
      <c r="D149" s="21" t="s">
        <v>152</v>
      </c>
      <c r="E149" s="21">
        <f xml:space="preserve"> _xlfn.IFNA(INDEX(Drivers!$L$2:$R$104, MATCH(F_interface!$A149&amp;RIGHT(F_interface!E$2, 2), Drivers!$C$2:$C$94, 0), MATCH(F_interface!$J149, Drivers!$L$2:$R$2, 0)),0)</f>
        <v>0</v>
      </c>
      <c r="F149" s="21">
        <f xml:space="preserve"> _xlfn.IFNA(INDEX(Drivers!$L$2:$R$104, MATCH(F_interface!$A149&amp;RIGHT(F_interface!F$2, 2), Drivers!$C$2:$C$94, 0), MATCH(F_interface!$J149, Drivers!$L$2:$R$2, 0)),0)</f>
        <v>0</v>
      </c>
      <c r="G149" s="21">
        <f xml:space="preserve"> _xlfn.IFNA(INDEX(Drivers!$L$2:$R$104, MATCH(F_interface!$A149&amp;RIGHT(F_interface!G$2, 2), Drivers!$C$2:$C$94, 0), MATCH(F_interface!$J149, Drivers!$L$2:$R$2, 0)),0)</f>
        <v>0</v>
      </c>
      <c r="H149" s="21">
        <f xml:space="preserve"> _xlfn.IFNA(INDEX(Drivers!$L$2:$R$104, MATCH(F_interface!$A149&amp;RIGHT(F_interface!H$2, 2), Drivers!$C$2:$C$94, 0), MATCH(F_interface!$J149, Drivers!$L$2:$R$2, 0)),0)</f>
        <v>0</v>
      </c>
      <c r="I149" s="21">
        <f xml:space="preserve"> _xlfn.IFNA(INDEX(Drivers!$L$2:$R$104, MATCH(F_interface!$A149&amp;RIGHT(F_interface!I$2, 2), Drivers!$C$2:$C$94, 0), MATCH(F_interface!$J149, Drivers!$L$2:$R$2, 0)),0)</f>
        <v>0</v>
      </c>
      <c r="J149" s="122" t="s">
        <v>6</v>
      </c>
      <c r="K149" s="20" t="str">
        <f t="shared" si="12"/>
        <v>SVEC_TOTALMIGRATION_PR19CA012</v>
      </c>
      <c r="L149" s="23"/>
      <c r="M149" s="23"/>
    </row>
    <row r="150" spans="1:13" x14ac:dyDescent="0.25">
      <c r="A150" s="120" t="s">
        <v>232</v>
      </c>
      <c r="B150" s="21" t="s">
        <v>166</v>
      </c>
      <c r="C150" s="21" t="s">
        <v>11</v>
      </c>
      <c r="D150" s="21" t="s">
        <v>152</v>
      </c>
      <c r="E150" s="21">
        <f xml:space="preserve"> _xlfn.IFNA(INDEX(Drivers!$L$2:$R$104, MATCH(F_interface!$A150&amp;RIGHT(F_interface!E$2, 2), Drivers!$C$2:$C$94, 0), MATCH(F_interface!$J150, Drivers!$L$2:$R$2, 0)),0)</f>
        <v>0.117154863552659</v>
      </c>
      <c r="F150" s="21">
        <f xml:space="preserve"> _xlfn.IFNA(INDEX(Drivers!$L$2:$R$104, MATCH(F_interface!$A150&amp;RIGHT(F_interface!F$2, 2), Drivers!$C$2:$C$94, 0), MATCH(F_interface!$J150, Drivers!$L$2:$R$2, 0)),0)</f>
        <v>0.117154863552659</v>
      </c>
      <c r="G150" s="21">
        <f xml:space="preserve"> _xlfn.IFNA(INDEX(Drivers!$L$2:$R$104, MATCH(F_interface!$A150&amp;RIGHT(F_interface!G$2, 2), Drivers!$C$2:$C$94, 0), MATCH(F_interface!$J150, Drivers!$L$2:$R$2, 0)),0)</f>
        <v>0.117154863552659</v>
      </c>
      <c r="H150" s="21">
        <f xml:space="preserve"> _xlfn.IFNA(INDEX(Drivers!$L$2:$R$104, MATCH(F_interface!$A150&amp;RIGHT(F_interface!H$2, 2), Drivers!$C$2:$C$94, 0), MATCH(F_interface!$J150, Drivers!$L$2:$R$2, 0)),0)</f>
        <v>0.117154863552659</v>
      </c>
      <c r="I150" s="21">
        <f xml:space="preserve"> _xlfn.IFNA(INDEX(Drivers!$L$2:$R$104, MATCH(F_interface!$A150&amp;RIGHT(F_interface!I$2, 2), Drivers!$C$2:$C$94, 0), MATCH(F_interface!$J150, Drivers!$L$2:$R$2, 0)),0)</f>
        <v>0.117154863552659</v>
      </c>
      <c r="J150" s="122" t="s">
        <v>6</v>
      </c>
      <c r="K150" s="20" t="str">
        <f t="shared" ref="K150:K151" si="13">A150&amp;B150</f>
        <v>SVHC_TOTALMIGRATION_PR19CA012</v>
      </c>
      <c r="L150" s="23"/>
      <c r="M150" s="23"/>
    </row>
    <row r="151" spans="1:13" x14ac:dyDescent="0.25">
      <c r="A151" s="120" t="s">
        <v>24</v>
      </c>
      <c r="B151" s="21" t="s">
        <v>166</v>
      </c>
      <c r="C151" s="21" t="s">
        <v>11</v>
      </c>
      <c r="D151" s="21" t="s">
        <v>152</v>
      </c>
      <c r="E151" s="21">
        <f xml:space="preserve"> _xlfn.IFNA(INDEX(Drivers!$L$2:$R$104, MATCH(F_interface!$A151&amp;RIGHT(F_interface!E$2, 2), Drivers!$C$2:$C$94, 0), MATCH(F_interface!$J151, Drivers!$L$2:$R$2, 0)),0)</f>
        <v>0.11876864082534</v>
      </c>
      <c r="F151" s="21">
        <f xml:space="preserve"> _xlfn.IFNA(INDEX(Drivers!$L$2:$R$104, MATCH(F_interface!$A151&amp;RIGHT(F_interface!F$2, 2), Drivers!$C$2:$C$94, 0), MATCH(F_interface!$J151, Drivers!$L$2:$R$2, 0)),0)</f>
        <v>0.11876864082534</v>
      </c>
      <c r="G151" s="21">
        <f xml:space="preserve"> _xlfn.IFNA(INDEX(Drivers!$L$2:$R$104, MATCH(F_interface!$A151&amp;RIGHT(F_interface!G$2, 2), Drivers!$C$2:$C$94, 0), MATCH(F_interface!$J151, Drivers!$L$2:$R$2, 0)),0)</f>
        <v>0.11876864082534</v>
      </c>
      <c r="H151" s="21">
        <f xml:space="preserve"> _xlfn.IFNA(INDEX(Drivers!$L$2:$R$104, MATCH(F_interface!$A151&amp;RIGHT(F_interface!H$2, 2), Drivers!$C$2:$C$94, 0), MATCH(F_interface!$J151, Drivers!$L$2:$R$2, 0)),0)</f>
        <v>0.11876864082534</v>
      </c>
      <c r="I151" s="21">
        <f xml:space="preserve"> _xlfn.IFNA(INDEX(Drivers!$L$2:$R$104, MATCH(F_interface!$A151&amp;RIGHT(F_interface!I$2, 2), Drivers!$C$2:$C$94, 0), MATCH(F_interface!$J151, Drivers!$L$2:$R$2, 0)),0)</f>
        <v>0.11876864082534</v>
      </c>
      <c r="J151" s="122" t="s">
        <v>6</v>
      </c>
      <c r="K151" s="20" t="str">
        <f t="shared" si="13"/>
        <v>SVTC_TOTALMIGRATION_PR19CA012</v>
      </c>
      <c r="L151" s="23"/>
      <c r="M151" s="23"/>
    </row>
    <row r="152" spans="1:13" x14ac:dyDescent="0.25">
      <c r="A152" s="120" t="s">
        <v>35</v>
      </c>
      <c r="B152" s="21" t="s">
        <v>166</v>
      </c>
      <c r="C152" s="21" t="s">
        <v>11</v>
      </c>
      <c r="D152" s="21" t="s">
        <v>152</v>
      </c>
      <c r="E152" s="21">
        <f xml:space="preserve"> _xlfn.IFNA(INDEX(Drivers!$L$2:$R$104, MATCH(F_interface!$A152&amp;RIGHT(F_interface!E$2, 2), Drivers!$C$2:$C$94, 0), MATCH(F_interface!$J152, Drivers!$L$2:$R$2, 0)),0)</f>
        <v>0.10516150912811401</v>
      </c>
      <c r="F152" s="21">
        <f xml:space="preserve"> _xlfn.IFNA(INDEX(Drivers!$L$2:$R$104, MATCH(F_interface!$A152&amp;RIGHT(F_interface!F$2, 2), Drivers!$C$2:$C$94, 0), MATCH(F_interface!$J152, Drivers!$L$2:$R$2, 0)),0)</f>
        <v>0.10516150912811401</v>
      </c>
      <c r="G152" s="21">
        <f xml:space="preserve"> _xlfn.IFNA(INDEX(Drivers!$L$2:$R$104, MATCH(F_interface!$A152&amp;RIGHT(F_interface!G$2, 2), Drivers!$C$2:$C$94, 0), MATCH(F_interface!$J152, Drivers!$L$2:$R$2, 0)),0)</f>
        <v>0.10516150912811401</v>
      </c>
      <c r="H152" s="21">
        <f xml:space="preserve"> _xlfn.IFNA(INDEX(Drivers!$L$2:$R$104, MATCH(F_interface!$A152&amp;RIGHT(F_interface!H$2, 2), Drivers!$C$2:$C$94, 0), MATCH(F_interface!$J152, Drivers!$L$2:$R$2, 0)),0)</f>
        <v>0.10516150912811401</v>
      </c>
      <c r="I152" s="21">
        <f xml:space="preserve"> _xlfn.IFNA(INDEX(Drivers!$L$2:$R$104, MATCH(F_interface!$A152&amp;RIGHT(F_interface!I$2, 2), Drivers!$C$2:$C$94, 0), MATCH(F_interface!$J152, Drivers!$L$2:$R$2, 0)),0)</f>
        <v>0.10516150912811401</v>
      </c>
      <c r="J152" s="122" t="s">
        <v>6</v>
      </c>
      <c r="K152" s="20" t="str">
        <f t="shared" si="12"/>
        <v>SWBC_TOTALMIGRATION_PR19CA012</v>
      </c>
      <c r="L152" s="23"/>
      <c r="M152" s="23"/>
    </row>
    <row r="153" spans="1:13" x14ac:dyDescent="0.25">
      <c r="A153" s="120" t="s">
        <v>25</v>
      </c>
      <c r="B153" s="21" t="s">
        <v>166</v>
      </c>
      <c r="C153" s="21" t="s">
        <v>11</v>
      </c>
      <c r="D153" s="21" t="s">
        <v>152</v>
      </c>
      <c r="E153" s="21">
        <f xml:space="preserve"> _xlfn.IFNA(INDEX(Drivers!$L$2:$R$104, MATCH(F_interface!$A153&amp;RIGHT(F_interface!E$2, 2), Drivers!$C$2:$C$94, 0), MATCH(F_interface!$J153, Drivers!$L$2:$R$2, 0)),0)</f>
        <v>0.182864869197637</v>
      </c>
      <c r="F153" s="21">
        <f xml:space="preserve"> _xlfn.IFNA(INDEX(Drivers!$L$2:$R$104, MATCH(F_interface!$A153&amp;RIGHT(F_interface!F$2, 2), Drivers!$C$2:$C$94, 0), MATCH(F_interface!$J153, Drivers!$L$2:$R$2, 0)),0)</f>
        <v>0.182864869197637</v>
      </c>
      <c r="G153" s="21">
        <f xml:space="preserve"> _xlfn.IFNA(INDEX(Drivers!$L$2:$R$104, MATCH(F_interface!$A153&amp;RIGHT(F_interface!G$2, 2), Drivers!$C$2:$C$94, 0), MATCH(F_interface!$J153, Drivers!$L$2:$R$2, 0)),0)</f>
        <v>0.182864869197637</v>
      </c>
      <c r="H153" s="21">
        <f xml:space="preserve"> _xlfn.IFNA(INDEX(Drivers!$L$2:$R$104, MATCH(F_interface!$A153&amp;RIGHT(F_interface!H$2, 2), Drivers!$C$2:$C$94, 0), MATCH(F_interface!$J153, Drivers!$L$2:$R$2, 0)),0)</f>
        <v>0.182864869197637</v>
      </c>
      <c r="I153" s="21">
        <f xml:space="preserve"> _xlfn.IFNA(INDEX(Drivers!$L$2:$R$104, MATCH(F_interface!$A153&amp;RIGHT(F_interface!I$2, 2), Drivers!$C$2:$C$94, 0), MATCH(F_interface!$J153, Drivers!$L$2:$R$2, 0)),0)</f>
        <v>0.182864869197637</v>
      </c>
      <c r="J153" s="122" t="s">
        <v>6</v>
      </c>
      <c r="K153" s="20" t="str">
        <f t="shared" si="12"/>
        <v>TMSC_TOTALMIGRATION_PR19CA012</v>
      </c>
      <c r="L153" s="23"/>
      <c r="M153" s="23"/>
    </row>
    <row r="154" spans="1:13" x14ac:dyDescent="0.25">
      <c r="A154" s="120" t="s">
        <v>41</v>
      </c>
      <c r="B154" s="21" t="s">
        <v>166</v>
      </c>
      <c r="C154" s="21" t="s">
        <v>11</v>
      </c>
      <c r="D154" s="21" t="s">
        <v>152</v>
      </c>
      <c r="E154" s="21">
        <f xml:space="preserve"> _xlfn.IFNA(INDEX(Drivers!$L$2:$R$104, MATCH(F_interface!$A154&amp;RIGHT(F_interface!E$2, 2), Drivers!$C$2:$C$94, 0), MATCH(F_interface!$J154, Drivers!$L$2:$R$2, 0)),0)</f>
        <v>9.5180095976945503E-2</v>
      </c>
      <c r="F154" s="21">
        <f xml:space="preserve"> _xlfn.IFNA(INDEX(Drivers!$L$2:$R$104, MATCH(F_interface!$A154&amp;RIGHT(F_interface!F$2, 2), Drivers!$C$2:$C$94, 0), MATCH(F_interface!$J154, Drivers!$L$2:$R$2, 0)),0)</f>
        <v>9.5180095976945503E-2</v>
      </c>
      <c r="G154" s="21">
        <f xml:space="preserve"> _xlfn.IFNA(INDEX(Drivers!$L$2:$R$104, MATCH(F_interface!$A154&amp;RIGHT(F_interface!G$2, 2), Drivers!$C$2:$C$94, 0), MATCH(F_interface!$J154, Drivers!$L$2:$R$2, 0)),0)</f>
        <v>9.5180095976945503E-2</v>
      </c>
      <c r="H154" s="21">
        <f xml:space="preserve"> _xlfn.IFNA(INDEX(Drivers!$L$2:$R$104, MATCH(F_interface!$A154&amp;RIGHT(F_interface!H$2, 2), Drivers!$C$2:$C$94, 0), MATCH(F_interface!$J154, Drivers!$L$2:$R$2, 0)),0)</f>
        <v>9.5180095976945503E-2</v>
      </c>
      <c r="I154" s="21">
        <f xml:space="preserve"> _xlfn.IFNA(INDEX(Drivers!$L$2:$R$104, MATCH(F_interface!$A154&amp;RIGHT(F_interface!I$2, 2), Drivers!$C$2:$C$94, 0), MATCH(F_interface!$J154, Drivers!$L$2:$R$2, 0)),0)</f>
        <v>9.5180095976945503E-2</v>
      </c>
      <c r="J154" s="122" t="s">
        <v>6</v>
      </c>
      <c r="K154" s="20" t="str">
        <f t="shared" si="12"/>
        <v>WSHC_TOTALMIGRATION_PR19CA012</v>
      </c>
      <c r="L154" s="23"/>
      <c r="M154" s="23"/>
    </row>
    <row r="155" spans="1:13" x14ac:dyDescent="0.25">
      <c r="A155" s="120" t="s">
        <v>26</v>
      </c>
      <c r="B155" s="21" t="s">
        <v>166</v>
      </c>
      <c r="C155" s="21" t="s">
        <v>11</v>
      </c>
      <c r="D155" s="21" t="s">
        <v>152</v>
      </c>
      <c r="E155" s="21">
        <f xml:space="preserve"> _xlfn.IFNA(INDEX(Drivers!$L$2:$R$104, MATCH(F_interface!$A155&amp;RIGHT(F_interface!E$2, 2), Drivers!$C$2:$C$94, 0), MATCH(F_interface!$J155, Drivers!$L$2:$R$2, 0)),0)</f>
        <v>0.125150932073511</v>
      </c>
      <c r="F155" s="21">
        <f xml:space="preserve"> _xlfn.IFNA(INDEX(Drivers!$L$2:$R$104, MATCH(F_interface!$A155&amp;RIGHT(F_interface!F$2, 2), Drivers!$C$2:$C$94, 0), MATCH(F_interface!$J155, Drivers!$L$2:$R$2, 0)),0)</f>
        <v>0.125150932073511</v>
      </c>
      <c r="G155" s="21">
        <f xml:space="preserve"> _xlfn.IFNA(INDEX(Drivers!$L$2:$R$104, MATCH(F_interface!$A155&amp;RIGHT(F_interface!G$2, 2), Drivers!$C$2:$C$94, 0), MATCH(F_interface!$J155, Drivers!$L$2:$R$2, 0)),0)</f>
        <v>0.125150932073511</v>
      </c>
      <c r="H155" s="21">
        <f xml:space="preserve"> _xlfn.IFNA(INDEX(Drivers!$L$2:$R$104, MATCH(F_interface!$A155&amp;RIGHT(F_interface!H$2, 2), Drivers!$C$2:$C$94, 0), MATCH(F_interface!$J155, Drivers!$L$2:$R$2, 0)),0)</f>
        <v>0.125150932073511</v>
      </c>
      <c r="I155" s="21">
        <f xml:space="preserve"> _xlfn.IFNA(INDEX(Drivers!$L$2:$R$104, MATCH(F_interface!$A155&amp;RIGHT(F_interface!I$2, 2), Drivers!$C$2:$C$94, 0), MATCH(F_interface!$J155, Drivers!$L$2:$R$2, 0)),0)</f>
        <v>0.125150932073511</v>
      </c>
      <c r="J155" s="122" t="s">
        <v>6</v>
      </c>
      <c r="K155" s="20" t="str">
        <f t="shared" si="12"/>
        <v>WSXC_TOTALMIGRATION_PR19CA012</v>
      </c>
      <c r="L155" s="23"/>
      <c r="M155" s="23"/>
    </row>
    <row r="156" spans="1:13" x14ac:dyDescent="0.25">
      <c r="A156" s="120" t="s">
        <v>27</v>
      </c>
      <c r="B156" s="21" t="s">
        <v>166</v>
      </c>
      <c r="C156" s="21" t="s">
        <v>11</v>
      </c>
      <c r="D156" s="21" t="s">
        <v>152</v>
      </c>
      <c r="E156" s="21">
        <f xml:space="preserve"> _xlfn.IFNA(INDEX(Drivers!$L$2:$R$104, MATCH(F_interface!$A156&amp;RIGHT(F_interface!E$2, 2), Drivers!$C$2:$C$94, 0), MATCH(F_interface!$J156, Drivers!$L$2:$R$2, 0)),0)</f>
        <v>0.103633066017287</v>
      </c>
      <c r="F156" s="21">
        <f xml:space="preserve"> _xlfn.IFNA(INDEX(Drivers!$L$2:$R$104, MATCH(F_interface!$A156&amp;RIGHT(F_interface!F$2, 2), Drivers!$C$2:$C$94, 0), MATCH(F_interface!$J156, Drivers!$L$2:$R$2, 0)),0)</f>
        <v>0.103633066017287</v>
      </c>
      <c r="G156" s="21">
        <f xml:space="preserve"> _xlfn.IFNA(INDEX(Drivers!$L$2:$R$104, MATCH(F_interface!$A156&amp;RIGHT(F_interface!G$2, 2), Drivers!$C$2:$C$94, 0), MATCH(F_interface!$J156, Drivers!$L$2:$R$2, 0)),0)</f>
        <v>0.103633066017287</v>
      </c>
      <c r="H156" s="21">
        <f xml:space="preserve"> _xlfn.IFNA(INDEX(Drivers!$L$2:$R$104, MATCH(F_interface!$A156&amp;RIGHT(F_interface!H$2, 2), Drivers!$C$2:$C$94, 0), MATCH(F_interface!$J156, Drivers!$L$2:$R$2, 0)),0)</f>
        <v>0.103633066017287</v>
      </c>
      <c r="I156" s="21">
        <f xml:space="preserve"> _xlfn.IFNA(INDEX(Drivers!$L$2:$R$104, MATCH(F_interface!$A156&amp;RIGHT(F_interface!I$2, 2), Drivers!$C$2:$C$94, 0), MATCH(F_interface!$J156, Drivers!$L$2:$R$2, 0)),0)</f>
        <v>0.103633066017287</v>
      </c>
      <c r="J156" s="122" t="s">
        <v>6</v>
      </c>
      <c r="K156" s="20" t="str">
        <f t="shared" si="12"/>
        <v>YKYC_TOTALMIGRATION_PR19CA012</v>
      </c>
      <c r="L156" s="23"/>
      <c r="M156" s="23"/>
    </row>
    <row r="157" spans="1:13" x14ac:dyDescent="0.25">
      <c r="A157" s="120" t="s">
        <v>28</v>
      </c>
      <c r="B157" s="21" t="s">
        <v>166</v>
      </c>
      <c r="C157" s="21" t="s">
        <v>11</v>
      </c>
      <c r="D157" s="21" t="s">
        <v>152</v>
      </c>
      <c r="E157" s="21">
        <f xml:space="preserve"> _xlfn.IFNA(INDEX(Drivers!$L$2:$R$104, MATCH(F_interface!$A157&amp;RIGHT(F_interface!E$2, 2), Drivers!$C$2:$C$94, 0), MATCH(F_interface!$J157, Drivers!$L$2:$R$2, 0)),0)</f>
        <v>0.15669624937585799</v>
      </c>
      <c r="F157" s="21">
        <f xml:space="preserve"> _xlfn.IFNA(INDEX(Drivers!$L$2:$R$104, MATCH(F_interface!$A157&amp;RIGHT(F_interface!F$2, 2), Drivers!$C$2:$C$94, 0), MATCH(F_interface!$J157, Drivers!$L$2:$R$2, 0)),0)</f>
        <v>0.15669624937585799</v>
      </c>
      <c r="G157" s="21">
        <f xml:space="preserve"> _xlfn.IFNA(INDEX(Drivers!$L$2:$R$104, MATCH(F_interface!$A157&amp;RIGHT(F_interface!G$2, 2), Drivers!$C$2:$C$94, 0), MATCH(F_interface!$J157, Drivers!$L$2:$R$2, 0)),0)</f>
        <v>0.15669624937585799</v>
      </c>
      <c r="H157" s="21">
        <f xml:space="preserve"> _xlfn.IFNA(INDEX(Drivers!$L$2:$R$104, MATCH(F_interface!$A157&amp;RIGHT(F_interface!H$2, 2), Drivers!$C$2:$C$94, 0), MATCH(F_interface!$J157, Drivers!$L$2:$R$2, 0)),0)</f>
        <v>0.15669624937585799</v>
      </c>
      <c r="I157" s="21">
        <f xml:space="preserve"> _xlfn.IFNA(INDEX(Drivers!$L$2:$R$104, MATCH(F_interface!$A157&amp;RIGHT(F_interface!I$2, 2), Drivers!$C$2:$C$94, 0), MATCH(F_interface!$J157, Drivers!$L$2:$R$2, 0)),0)</f>
        <v>0.15669624937585799</v>
      </c>
      <c r="J157" s="122" t="s">
        <v>6</v>
      </c>
      <c r="K157" s="20" t="str">
        <f t="shared" si="12"/>
        <v>AFWC_TOTALMIGRATION_PR19CA012</v>
      </c>
      <c r="L157" s="23"/>
      <c r="M157" s="23"/>
    </row>
    <row r="158" spans="1:13" x14ac:dyDescent="0.25">
      <c r="A158" s="120" t="s">
        <v>29</v>
      </c>
      <c r="B158" s="21" t="s">
        <v>166</v>
      </c>
      <c r="C158" s="21" t="s">
        <v>11</v>
      </c>
      <c r="D158" s="21" t="s">
        <v>152</v>
      </c>
      <c r="E158" s="21">
        <f xml:space="preserve"> _xlfn.IFNA(INDEX(Drivers!$L$2:$R$104, MATCH(F_interface!$A158&amp;RIGHT(F_interface!E$2, 2), Drivers!$C$2:$C$94, 0), MATCH(F_interface!$J158, Drivers!$L$2:$R$2, 0)),0)</f>
        <v>0.15142448640353401</v>
      </c>
      <c r="F158" s="21">
        <f xml:space="preserve"> _xlfn.IFNA(INDEX(Drivers!$L$2:$R$104, MATCH(F_interface!$A158&amp;RIGHT(F_interface!F$2, 2), Drivers!$C$2:$C$94, 0), MATCH(F_interface!$J158, Drivers!$L$2:$R$2, 0)),0)</f>
        <v>0.15142448640353401</v>
      </c>
      <c r="G158" s="21">
        <f xml:space="preserve"> _xlfn.IFNA(INDEX(Drivers!$L$2:$R$104, MATCH(F_interface!$A158&amp;RIGHT(F_interface!G$2, 2), Drivers!$C$2:$C$94, 0), MATCH(F_interface!$J158, Drivers!$L$2:$R$2, 0)),0)</f>
        <v>0.15142448640353401</v>
      </c>
      <c r="H158" s="21">
        <f xml:space="preserve"> _xlfn.IFNA(INDEX(Drivers!$L$2:$R$104, MATCH(F_interface!$A158&amp;RIGHT(F_interface!H$2, 2), Drivers!$C$2:$C$94, 0), MATCH(F_interface!$J158, Drivers!$L$2:$R$2, 0)),0)</f>
        <v>0.15142448640353401</v>
      </c>
      <c r="I158" s="21">
        <f xml:space="preserve"> _xlfn.IFNA(INDEX(Drivers!$L$2:$R$104, MATCH(F_interface!$A158&amp;RIGHT(F_interface!I$2, 2), Drivers!$C$2:$C$94, 0), MATCH(F_interface!$J158, Drivers!$L$2:$R$2, 0)),0)</f>
        <v>0.15142448640353401</v>
      </c>
      <c r="J158" s="122" t="s">
        <v>6</v>
      </c>
      <c r="K158" s="20" t="str">
        <f t="shared" si="12"/>
        <v>BRLC_TOTALMIGRATION_PR19CA012</v>
      </c>
      <c r="L158" s="23"/>
      <c r="M158" s="23"/>
    </row>
    <row r="159" spans="1:13" x14ac:dyDescent="0.25">
      <c r="A159" s="120" t="s">
        <v>30</v>
      </c>
      <c r="B159" s="21" t="s">
        <v>166</v>
      </c>
      <c r="C159" s="21" t="s">
        <v>11</v>
      </c>
      <c r="D159" s="21" t="s">
        <v>152</v>
      </c>
      <c r="E159" s="21">
        <f xml:space="preserve"> _xlfn.IFNA(INDEX(Drivers!$L$2:$R$104, MATCH(F_interface!$A159&amp;RIGHT(F_interface!E$2, 2), Drivers!$C$2:$C$94, 0), MATCH(F_interface!$J159, Drivers!$L$2:$R$2, 0)),0)</f>
        <v>8.7605364305305897E-2</v>
      </c>
      <c r="F159" s="21">
        <f xml:space="preserve"> _xlfn.IFNA(INDEX(Drivers!$L$2:$R$104, MATCH(F_interface!$A159&amp;RIGHT(F_interface!F$2, 2), Drivers!$C$2:$C$94, 0), MATCH(F_interface!$J159, Drivers!$L$2:$R$2, 0)),0)</f>
        <v>8.7605364305305897E-2</v>
      </c>
      <c r="G159" s="21">
        <f xml:space="preserve"> _xlfn.IFNA(INDEX(Drivers!$L$2:$R$104, MATCH(F_interface!$A159&amp;RIGHT(F_interface!G$2, 2), Drivers!$C$2:$C$94, 0), MATCH(F_interface!$J159, Drivers!$L$2:$R$2, 0)),0)</f>
        <v>8.7605364305305897E-2</v>
      </c>
      <c r="H159" s="21">
        <f xml:space="preserve"> _xlfn.IFNA(INDEX(Drivers!$L$2:$R$104, MATCH(F_interface!$A159&amp;RIGHT(F_interface!H$2, 2), Drivers!$C$2:$C$94, 0), MATCH(F_interface!$J159, Drivers!$L$2:$R$2, 0)),0)</f>
        <v>8.7605364305305897E-2</v>
      </c>
      <c r="I159" s="21">
        <f xml:space="preserve"> _xlfn.IFNA(INDEX(Drivers!$L$2:$R$104, MATCH(F_interface!$A159&amp;RIGHT(F_interface!I$2, 2), Drivers!$C$2:$C$94, 0), MATCH(F_interface!$J159, Drivers!$L$2:$R$2, 0)),0)</f>
        <v>8.7605364305305897E-2</v>
      </c>
      <c r="J159" s="122" t="s">
        <v>6</v>
      </c>
      <c r="K159" s="20" t="str">
        <f t="shared" ref="K159" si="14">A159&amp;B159</f>
        <v>DVWC_TOTALMIGRATION_PR19CA012</v>
      </c>
      <c r="L159" s="23"/>
      <c r="M159" s="23"/>
    </row>
    <row r="160" spans="1:13" x14ac:dyDescent="0.25">
      <c r="A160" s="120" t="s">
        <v>31</v>
      </c>
      <c r="B160" s="21" t="s">
        <v>166</v>
      </c>
      <c r="C160" s="21" t="s">
        <v>11</v>
      </c>
      <c r="D160" s="21" t="s">
        <v>152</v>
      </c>
      <c r="E160" s="21">
        <f xml:space="preserve"> _xlfn.IFNA(INDEX(Drivers!$L$2:$R$104, MATCH(F_interface!$A160&amp;RIGHT(F_interface!E$2, 2), Drivers!$C$2:$C$94, 0), MATCH(F_interface!$J160, Drivers!$L$2:$R$2, 0)),0)</f>
        <v>0.13986830994174701</v>
      </c>
      <c r="F160" s="21">
        <f xml:space="preserve"> _xlfn.IFNA(INDEX(Drivers!$L$2:$R$104, MATCH(F_interface!$A160&amp;RIGHT(F_interface!F$2, 2), Drivers!$C$2:$C$94, 0), MATCH(F_interface!$J160, Drivers!$L$2:$R$2, 0)),0)</f>
        <v>0.13986830994174701</v>
      </c>
      <c r="G160" s="21">
        <f xml:space="preserve"> _xlfn.IFNA(INDEX(Drivers!$L$2:$R$104, MATCH(F_interface!$A160&amp;RIGHT(F_interface!G$2, 2), Drivers!$C$2:$C$94, 0), MATCH(F_interface!$J160, Drivers!$L$2:$R$2, 0)),0)</f>
        <v>0.13986830994174701</v>
      </c>
      <c r="H160" s="21">
        <f xml:space="preserve"> _xlfn.IFNA(INDEX(Drivers!$L$2:$R$104, MATCH(F_interface!$A160&amp;RIGHT(F_interface!H$2, 2), Drivers!$C$2:$C$94, 0), MATCH(F_interface!$J160, Drivers!$L$2:$R$2, 0)),0)</f>
        <v>0.13986830994174701</v>
      </c>
      <c r="I160" s="21">
        <f xml:space="preserve"> _xlfn.IFNA(INDEX(Drivers!$L$2:$R$104, MATCH(F_interface!$A160&amp;RIGHT(F_interface!I$2, 2), Drivers!$C$2:$C$94, 0), MATCH(F_interface!$J160, Drivers!$L$2:$R$2, 0)),0)</f>
        <v>0.13986830994174701</v>
      </c>
      <c r="J160" s="122" t="s">
        <v>6</v>
      </c>
      <c r="K160" s="20" t="str">
        <f t="shared" si="12"/>
        <v>PRTC_TOTALMIGRATION_PR19CA012</v>
      </c>
      <c r="L160" s="23"/>
      <c r="M160" s="23"/>
    </row>
    <row r="161" spans="1:13" x14ac:dyDescent="0.25">
      <c r="A161" s="120" t="s">
        <v>32</v>
      </c>
      <c r="B161" s="21" t="s">
        <v>166</v>
      </c>
      <c r="C161" s="21" t="s">
        <v>11</v>
      </c>
      <c r="D161" s="21" t="s">
        <v>152</v>
      </c>
      <c r="E161" s="21">
        <f xml:space="preserve"> _xlfn.IFNA(INDEX(Drivers!$L$2:$R$104, MATCH(F_interface!$A161&amp;RIGHT(F_interface!E$2, 2), Drivers!$C$2:$C$94, 0), MATCH(F_interface!$J161, Drivers!$L$2:$R$2, 0)),0)</f>
        <v>0.13955975676094101</v>
      </c>
      <c r="F161" s="21">
        <f xml:space="preserve"> _xlfn.IFNA(INDEX(Drivers!$L$2:$R$104, MATCH(F_interface!$A161&amp;RIGHT(F_interface!F$2, 2), Drivers!$C$2:$C$94, 0), MATCH(F_interface!$J161, Drivers!$L$2:$R$2, 0)),0)</f>
        <v>0.13955975676094101</v>
      </c>
      <c r="G161" s="21">
        <f xml:space="preserve"> _xlfn.IFNA(INDEX(Drivers!$L$2:$R$104, MATCH(F_interface!$A161&amp;RIGHT(F_interface!G$2, 2), Drivers!$C$2:$C$94, 0), MATCH(F_interface!$J161, Drivers!$L$2:$R$2, 0)),0)</f>
        <v>0.13955975676094101</v>
      </c>
      <c r="H161" s="21">
        <f xml:space="preserve"> _xlfn.IFNA(INDEX(Drivers!$L$2:$R$104, MATCH(F_interface!$A161&amp;RIGHT(F_interface!H$2, 2), Drivers!$C$2:$C$94, 0), MATCH(F_interface!$J161, Drivers!$L$2:$R$2, 0)),0)</f>
        <v>0.13955975676094101</v>
      </c>
      <c r="I161" s="21">
        <f xml:space="preserve"> _xlfn.IFNA(INDEX(Drivers!$L$2:$R$104, MATCH(F_interface!$A161&amp;RIGHT(F_interface!I$2, 2), Drivers!$C$2:$C$94, 0), MATCH(F_interface!$J161, Drivers!$L$2:$R$2, 0)),0)</f>
        <v>0.13955975676094101</v>
      </c>
      <c r="J161" s="122" t="s">
        <v>6</v>
      </c>
      <c r="K161" s="20" t="str">
        <f t="shared" si="12"/>
        <v>SESC_TOTALMIGRATION_PR19CA012</v>
      </c>
      <c r="L161" s="23"/>
      <c r="M161" s="23"/>
    </row>
    <row r="162" spans="1:13" x14ac:dyDescent="0.25">
      <c r="A162" s="120" t="s">
        <v>33</v>
      </c>
      <c r="B162" s="21" t="s">
        <v>166</v>
      </c>
      <c r="C162" s="21" t="s">
        <v>11</v>
      </c>
      <c r="D162" s="21" t="s">
        <v>152</v>
      </c>
      <c r="E162" s="21">
        <f xml:space="preserve"> _xlfn.IFNA(INDEX(Drivers!$L$2:$R$104, MATCH(F_interface!$A162&amp;RIGHT(F_interface!E$2, 2), Drivers!$C$2:$C$94, 0), MATCH(F_interface!$J162, Drivers!$L$2:$R$2, 0)),0)</f>
        <v>0.123831087996989</v>
      </c>
      <c r="F162" s="21">
        <f xml:space="preserve"> _xlfn.IFNA(INDEX(Drivers!$L$2:$R$104, MATCH(F_interface!$A162&amp;RIGHT(F_interface!F$2, 2), Drivers!$C$2:$C$94, 0), MATCH(F_interface!$J162, Drivers!$L$2:$R$2, 0)),0)</f>
        <v>0.123831087996989</v>
      </c>
      <c r="G162" s="21">
        <f xml:space="preserve"> _xlfn.IFNA(INDEX(Drivers!$L$2:$R$104, MATCH(F_interface!$A162&amp;RIGHT(F_interface!G$2, 2), Drivers!$C$2:$C$94, 0), MATCH(F_interface!$J162, Drivers!$L$2:$R$2, 0)),0)</f>
        <v>0.123831087996989</v>
      </c>
      <c r="H162" s="21">
        <f xml:space="preserve"> _xlfn.IFNA(INDEX(Drivers!$L$2:$R$104, MATCH(F_interface!$A162&amp;RIGHT(F_interface!H$2, 2), Drivers!$C$2:$C$94, 0), MATCH(F_interface!$J162, Drivers!$L$2:$R$2, 0)),0)</f>
        <v>0.123831087996989</v>
      </c>
      <c r="I162" s="21">
        <f xml:space="preserve"> _xlfn.IFNA(INDEX(Drivers!$L$2:$R$104, MATCH(F_interface!$A162&amp;RIGHT(F_interface!I$2, 2), Drivers!$C$2:$C$94, 0), MATCH(F_interface!$J162, Drivers!$L$2:$R$2, 0)),0)</f>
        <v>0.123831087996989</v>
      </c>
      <c r="J162" s="122" t="s">
        <v>6</v>
      </c>
      <c r="K162" s="20" t="str">
        <f t="shared" si="12"/>
        <v>SEWC_TOTALMIGRATION_PR19CA012</v>
      </c>
      <c r="L162" s="23"/>
      <c r="M162" s="23"/>
    </row>
    <row r="163" spans="1:13" x14ac:dyDescent="0.25">
      <c r="A163" s="120" t="s">
        <v>34</v>
      </c>
      <c r="B163" s="21" t="s">
        <v>166</v>
      </c>
      <c r="C163" s="21" t="s">
        <v>11</v>
      </c>
      <c r="D163" s="21" t="s">
        <v>152</v>
      </c>
      <c r="E163" s="21">
        <f xml:space="preserve"> _xlfn.IFNA(INDEX(Drivers!$L$2:$R$104, MATCH(F_interface!$A163&amp;RIGHT(F_interface!E$2, 2), Drivers!$C$2:$C$94, 0), MATCH(F_interface!$J163, Drivers!$L$2:$R$2, 0)),0)</f>
        <v>0.110933844981182</v>
      </c>
      <c r="F163" s="21">
        <f xml:space="preserve"> _xlfn.IFNA(INDEX(Drivers!$L$2:$R$104, MATCH(F_interface!$A163&amp;RIGHT(F_interface!F$2, 2), Drivers!$C$2:$C$94, 0), MATCH(F_interface!$J163, Drivers!$L$2:$R$2, 0)),0)</f>
        <v>0.110933844981182</v>
      </c>
      <c r="G163" s="21">
        <f xml:space="preserve"> _xlfn.IFNA(INDEX(Drivers!$L$2:$R$104, MATCH(F_interface!$A163&amp;RIGHT(F_interface!G$2, 2), Drivers!$C$2:$C$94, 0), MATCH(F_interface!$J163, Drivers!$L$2:$R$2, 0)),0)</f>
        <v>0.110933844981182</v>
      </c>
      <c r="H163" s="21">
        <f xml:space="preserve"> _xlfn.IFNA(INDEX(Drivers!$L$2:$R$104, MATCH(F_interface!$A163&amp;RIGHT(F_interface!H$2, 2), Drivers!$C$2:$C$94, 0), MATCH(F_interface!$J163, Drivers!$L$2:$R$2, 0)),0)</f>
        <v>0.110933844981182</v>
      </c>
      <c r="I163" s="21">
        <f xml:space="preserve"> _xlfn.IFNA(INDEX(Drivers!$L$2:$R$104, MATCH(F_interface!$A163&amp;RIGHT(F_interface!I$2, 2), Drivers!$C$2:$C$94, 0), MATCH(F_interface!$J163, Drivers!$L$2:$R$2, 0)),0)</f>
        <v>0.110933844981182</v>
      </c>
      <c r="J163" s="122" t="s">
        <v>6</v>
      </c>
      <c r="K163" s="20" t="str">
        <f t="shared" si="12"/>
        <v>SSCC_TOTALMIGRATION_PR19CA012</v>
      </c>
      <c r="L163" s="23"/>
      <c r="M163" s="23"/>
    </row>
    <row r="164" spans="1:13" x14ac:dyDescent="0.25">
      <c r="A164" s="120" t="s">
        <v>20</v>
      </c>
      <c r="B164" s="21" t="s">
        <v>171</v>
      </c>
      <c r="C164" s="20" t="s">
        <v>16</v>
      </c>
      <c r="D164" s="21" t="s">
        <v>152</v>
      </c>
      <c r="E164" s="20">
        <f>_xlfn.IFNA(Controls!$L$17,0)</f>
        <v>0.88106700252838566</v>
      </c>
      <c r="F164" s="20">
        <f>_xlfn.IFNA(Controls!$L$17,0)</f>
        <v>0.88106700252838566</v>
      </c>
      <c r="G164" s="20">
        <f>_xlfn.IFNA(Controls!$L$17,0)</f>
        <v>0.88106700252838566</v>
      </c>
      <c r="H164" s="20">
        <f>_xlfn.IFNA(Controls!$L$17,0)</f>
        <v>0.88106700252838566</v>
      </c>
      <c r="I164" s="20">
        <f>_xlfn.IFNA(Controls!$L$17,0)</f>
        <v>0.88106700252838566</v>
      </c>
      <c r="J164" s="122" t="s">
        <v>158</v>
      </c>
      <c r="K164" s="20" t="str">
        <f t="shared" si="12"/>
        <v>ANHC_CU_5_PR19CA012</v>
      </c>
      <c r="L164" s="23"/>
      <c r="M164" s="23"/>
    </row>
    <row r="165" spans="1:13" x14ac:dyDescent="0.25">
      <c r="A165" s="120" t="s">
        <v>157</v>
      </c>
      <c r="B165" s="21" t="s">
        <v>171</v>
      </c>
      <c r="C165" s="20" t="s">
        <v>16</v>
      </c>
      <c r="D165" s="21" t="s">
        <v>228</v>
      </c>
      <c r="E165" s="20">
        <f>_xlfn.IFNA(Controls!$L$17,0)</f>
        <v>0.88106700252838566</v>
      </c>
      <c r="F165" s="20">
        <f>_xlfn.IFNA(Controls!$L$17,0)</f>
        <v>0.88106700252838566</v>
      </c>
      <c r="G165" s="20">
        <f>_xlfn.IFNA(Controls!$L$17,0)</f>
        <v>0.88106700252838566</v>
      </c>
      <c r="H165" s="20">
        <f>_xlfn.IFNA(Controls!$L$17,0)</f>
        <v>0.88106700252838566</v>
      </c>
      <c r="I165" s="20">
        <f>_xlfn.IFNA(Controls!$L$17,0)</f>
        <v>0.88106700252838566</v>
      </c>
      <c r="J165" s="122" t="s">
        <v>158</v>
      </c>
      <c r="K165" s="20" t="str">
        <f t="shared" si="12"/>
        <v>HDDC_CU_5_PR19CA012</v>
      </c>
      <c r="L165" s="23"/>
      <c r="M165" s="23"/>
    </row>
    <row r="166" spans="1:13" x14ac:dyDescent="0.25">
      <c r="A166" s="120" t="s">
        <v>21</v>
      </c>
      <c r="B166" s="21" t="s">
        <v>171</v>
      </c>
      <c r="C166" s="20" t="s">
        <v>16</v>
      </c>
      <c r="D166" s="21" t="s">
        <v>152</v>
      </c>
      <c r="E166" s="20">
        <f>_xlfn.IFNA(Controls!$L$17,0)</f>
        <v>0.88106700252838566</v>
      </c>
      <c r="F166" s="20">
        <f>_xlfn.IFNA(Controls!$L$17,0)</f>
        <v>0.88106700252838566</v>
      </c>
      <c r="G166" s="20">
        <f>_xlfn.IFNA(Controls!$L$17,0)</f>
        <v>0.88106700252838566</v>
      </c>
      <c r="H166" s="20">
        <f>_xlfn.IFNA(Controls!$L$17,0)</f>
        <v>0.88106700252838566</v>
      </c>
      <c r="I166" s="20">
        <f>_xlfn.IFNA(Controls!$L$17,0)</f>
        <v>0.88106700252838566</v>
      </c>
      <c r="J166" s="122" t="s">
        <v>158</v>
      </c>
      <c r="K166" s="20" t="str">
        <f t="shared" si="12"/>
        <v>NESC_CU_5_PR19CA012</v>
      </c>
      <c r="L166" s="23"/>
      <c r="M166" s="23"/>
    </row>
    <row r="167" spans="1:13" x14ac:dyDescent="0.25">
      <c r="A167" s="120" t="s">
        <v>22</v>
      </c>
      <c r="B167" s="21" t="s">
        <v>171</v>
      </c>
      <c r="C167" s="20" t="s">
        <v>16</v>
      </c>
      <c r="D167" s="21" t="s">
        <v>152</v>
      </c>
      <c r="E167" s="20">
        <f>_xlfn.IFNA(Controls!$L$17,0)</f>
        <v>0.88106700252838566</v>
      </c>
      <c r="F167" s="20">
        <f>_xlfn.IFNA(Controls!$L$17,0)</f>
        <v>0.88106700252838566</v>
      </c>
      <c r="G167" s="20">
        <f>_xlfn.IFNA(Controls!$L$17,0)</f>
        <v>0.88106700252838566</v>
      </c>
      <c r="H167" s="20">
        <f>_xlfn.IFNA(Controls!$L$17,0)</f>
        <v>0.88106700252838566</v>
      </c>
      <c r="I167" s="20">
        <f>_xlfn.IFNA(Controls!$L$17,0)</f>
        <v>0.88106700252838566</v>
      </c>
      <c r="J167" s="122" t="s">
        <v>158</v>
      </c>
      <c r="K167" s="20" t="str">
        <f t="shared" si="12"/>
        <v>NWTC_CU_5_PR19CA012</v>
      </c>
      <c r="L167" s="23"/>
      <c r="M167" s="23"/>
    </row>
    <row r="168" spans="1:13" x14ac:dyDescent="0.25">
      <c r="A168" s="120" t="s">
        <v>23</v>
      </c>
      <c r="B168" s="21" t="s">
        <v>171</v>
      </c>
      <c r="C168" s="20" t="s">
        <v>16</v>
      </c>
      <c r="D168" s="21" t="s">
        <v>152</v>
      </c>
      <c r="E168" s="20">
        <f>_xlfn.IFNA(Controls!$L$17,0)</f>
        <v>0.88106700252838566</v>
      </c>
      <c r="F168" s="20">
        <f>_xlfn.IFNA(Controls!$L$17,0)</f>
        <v>0.88106700252838566</v>
      </c>
      <c r="G168" s="20">
        <f>_xlfn.IFNA(Controls!$L$17,0)</f>
        <v>0.88106700252838566</v>
      </c>
      <c r="H168" s="20">
        <f>_xlfn.IFNA(Controls!$L$17,0)</f>
        <v>0.88106700252838566</v>
      </c>
      <c r="I168" s="20">
        <f>_xlfn.IFNA(Controls!$L$17,0)</f>
        <v>0.88106700252838566</v>
      </c>
      <c r="J168" s="122" t="s">
        <v>158</v>
      </c>
      <c r="K168" s="20" t="str">
        <f t="shared" si="12"/>
        <v>SRNC_CU_5_PR19CA012</v>
      </c>
      <c r="L168" s="23"/>
      <c r="M168" s="23"/>
    </row>
    <row r="169" spans="1:13" x14ac:dyDescent="0.25">
      <c r="A169" s="120" t="s">
        <v>156</v>
      </c>
      <c r="B169" s="21" t="s">
        <v>171</v>
      </c>
      <c r="C169" s="20" t="s">
        <v>16</v>
      </c>
      <c r="D169" s="21" t="s">
        <v>152</v>
      </c>
      <c r="E169" s="20">
        <f>_xlfn.IFNA(Controls!$L$17,0)</f>
        <v>0.88106700252838566</v>
      </c>
      <c r="F169" s="20">
        <f>_xlfn.IFNA(Controls!$L$17,0)</f>
        <v>0.88106700252838566</v>
      </c>
      <c r="G169" s="20">
        <f>_xlfn.IFNA(Controls!$L$17,0)</f>
        <v>0.88106700252838566</v>
      </c>
      <c r="H169" s="20">
        <f>_xlfn.IFNA(Controls!$L$17,0)</f>
        <v>0.88106700252838566</v>
      </c>
      <c r="I169" s="20">
        <f>_xlfn.IFNA(Controls!$L$17,0)</f>
        <v>0.88106700252838566</v>
      </c>
      <c r="J169" s="122" t="s">
        <v>158</v>
      </c>
      <c r="K169" s="20" t="str">
        <f t="shared" si="12"/>
        <v>SVEC_CU_5_PR19CA012</v>
      </c>
      <c r="L169" s="23"/>
      <c r="M169" s="23"/>
    </row>
    <row r="170" spans="1:13" x14ac:dyDescent="0.25">
      <c r="A170" s="120" t="s">
        <v>232</v>
      </c>
      <c r="B170" s="21" t="s">
        <v>171</v>
      </c>
      <c r="C170" s="20" t="s">
        <v>16</v>
      </c>
      <c r="D170" s="21" t="s">
        <v>152</v>
      </c>
      <c r="E170" s="20">
        <f>_xlfn.IFNA(Controls!$L$17,0)</f>
        <v>0.88106700252838566</v>
      </c>
      <c r="F170" s="20">
        <f>_xlfn.IFNA(Controls!$L$17,0)</f>
        <v>0.88106700252838566</v>
      </c>
      <c r="G170" s="20">
        <f>_xlfn.IFNA(Controls!$L$17,0)</f>
        <v>0.88106700252838566</v>
      </c>
      <c r="H170" s="20">
        <f>_xlfn.IFNA(Controls!$L$17,0)</f>
        <v>0.88106700252838566</v>
      </c>
      <c r="I170" s="20">
        <f>_xlfn.IFNA(Controls!$L$17,0)</f>
        <v>0.88106700252838566</v>
      </c>
      <c r="J170" s="122" t="s">
        <v>158</v>
      </c>
      <c r="K170" s="20" t="str">
        <f t="shared" ref="K170:K171" si="15">A170&amp;B170</f>
        <v>SVHC_CU_5_PR19CA012</v>
      </c>
      <c r="L170" s="23"/>
      <c r="M170" s="23"/>
    </row>
    <row r="171" spans="1:13" x14ac:dyDescent="0.25">
      <c r="A171" s="120" t="s">
        <v>24</v>
      </c>
      <c r="B171" s="21" t="s">
        <v>171</v>
      </c>
      <c r="C171" s="20" t="s">
        <v>16</v>
      </c>
      <c r="D171" s="21" t="s">
        <v>152</v>
      </c>
      <c r="E171" s="20">
        <f>_xlfn.IFNA(Controls!$L$17,0)</f>
        <v>0.88106700252838566</v>
      </c>
      <c r="F171" s="20">
        <f>_xlfn.IFNA(Controls!$L$17,0)</f>
        <v>0.88106700252838566</v>
      </c>
      <c r="G171" s="20">
        <f>_xlfn.IFNA(Controls!$L$17,0)</f>
        <v>0.88106700252838566</v>
      </c>
      <c r="H171" s="20">
        <f>_xlfn.IFNA(Controls!$L$17,0)</f>
        <v>0.88106700252838566</v>
      </c>
      <c r="I171" s="20">
        <f>_xlfn.IFNA(Controls!$L$17,0)</f>
        <v>0.88106700252838566</v>
      </c>
      <c r="J171" s="122" t="s">
        <v>158</v>
      </c>
      <c r="K171" s="20" t="str">
        <f t="shared" si="15"/>
        <v>SVTC_CU_5_PR19CA012</v>
      </c>
      <c r="L171" s="23"/>
      <c r="M171" s="23"/>
    </row>
    <row r="172" spans="1:13" x14ac:dyDescent="0.25">
      <c r="A172" s="21" t="s">
        <v>35</v>
      </c>
      <c r="B172" s="21" t="s">
        <v>171</v>
      </c>
      <c r="C172" s="20" t="s">
        <v>16</v>
      </c>
      <c r="D172" s="21" t="s">
        <v>152</v>
      </c>
      <c r="E172" s="20">
        <f>_xlfn.IFNA(Controls!$L$17,0)</f>
        <v>0.88106700252838566</v>
      </c>
      <c r="F172" s="20">
        <f>_xlfn.IFNA(Controls!$L$17,0)</f>
        <v>0.88106700252838566</v>
      </c>
      <c r="G172" s="20">
        <f>_xlfn.IFNA(Controls!$L$17,0)</f>
        <v>0.88106700252838566</v>
      </c>
      <c r="H172" s="20">
        <f>_xlfn.IFNA(Controls!$L$17,0)</f>
        <v>0.88106700252838566</v>
      </c>
      <c r="I172" s="20">
        <f>_xlfn.IFNA(Controls!$L$17,0)</f>
        <v>0.88106700252838566</v>
      </c>
      <c r="J172" s="20" t="s">
        <v>158</v>
      </c>
      <c r="K172" s="20" t="str">
        <f t="shared" si="12"/>
        <v>SWBC_CU_5_PR19CA012</v>
      </c>
      <c r="L172" s="23"/>
      <c r="M172" s="23"/>
    </row>
    <row r="173" spans="1:13" x14ac:dyDescent="0.25">
      <c r="A173" s="21" t="s">
        <v>25</v>
      </c>
      <c r="B173" s="21" t="s">
        <v>171</v>
      </c>
      <c r="C173" s="20" t="s">
        <v>16</v>
      </c>
      <c r="D173" s="21" t="s">
        <v>152</v>
      </c>
      <c r="E173" s="20">
        <f>_xlfn.IFNA(Controls!$L$17,0)</f>
        <v>0.88106700252838566</v>
      </c>
      <c r="F173" s="20">
        <f>_xlfn.IFNA(Controls!$L$17,0)</f>
        <v>0.88106700252838566</v>
      </c>
      <c r="G173" s="20">
        <f>_xlfn.IFNA(Controls!$L$17,0)</f>
        <v>0.88106700252838566</v>
      </c>
      <c r="H173" s="20">
        <f>_xlfn.IFNA(Controls!$L$17,0)</f>
        <v>0.88106700252838566</v>
      </c>
      <c r="I173" s="20">
        <f>_xlfn.IFNA(Controls!$L$17,0)</f>
        <v>0.88106700252838566</v>
      </c>
      <c r="J173" s="20" t="s">
        <v>158</v>
      </c>
      <c r="K173" s="20" t="str">
        <f t="shared" si="12"/>
        <v>TMSC_CU_5_PR19CA012</v>
      </c>
      <c r="L173" s="23"/>
      <c r="M173" s="23"/>
    </row>
    <row r="174" spans="1:13" x14ac:dyDescent="0.25">
      <c r="A174" s="21" t="s">
        <v>41</v>
      </c>
      <c r="B174" s="21" t="s">
        <v>171</v>
      </c>
      <c r="C174" s="20" t="s">
        <v>16</v>
      </c>
      <c r="D174" s="21" t="s">
        <v>152</v>
      </c>
      <c r="E174" s="20">
        <f>_xlfn.IFNA(Controls!$L$17,0)</f>
        <v>0.88106700252838566</v>
      </c>
      <c r="F174" s="20">
        <f>_xlfn.IFNA(Controls!$L$17,0)</f>
        <v>0.88106700252838566</v>
      </c>
      <c r="G174" s="20">
        <f>_xlfn.IFNA(Controls!$L$17,0)</f>
        <v>0.88106700252838566</v>
      </c>
      <c r="H174" s="20">
        <f>_xlfn.IFNA(Controls!$L$17,0)</f>
        <v>0.88106700252838566</v>
      </c>
      <c r="I174" s="20">
        <f>_xlfn.IFNA(Controls!$L$17,0)</f>
        <v>0.88106700252838566</v>
      </c>
      <c r="J174" s="20" t="s">
        <v>158</v>
      </c>
      <c r="K174" s="20" t="str">
        <f t="shared" si="12"/>
        <v>WSHC_CU_5_PR19CA012</v>
      </c>
      <c r="L174" s="23"/>
      <c r="M174" s="23"/>
    </row>
    <row r="175" spans="1:13" x14ac:dyDescent="0.25">
      <c r="A175" s="21" t="s">
        <v>26</v>
      </c>
      <c r="B175" s="21" t="s">
        <v>171</v>
      </c>
      <c r="C175" s="20" t="s">
        <v>16</v>
      </c>
      <c r="D175" s="21" t="s">
        <v>152</v>
      </c>
      <c r="E175" s="20">
        <f>_xlfn.IFNA(Controls!$L$17,0)</f>
        <v>0.88106700252838566</v>
      </c>
      <c r="F175" s="20">
        <f>_xlfn.IFNA(Controls!$L$17,0)</f>
        <v>0.88106700252838566</v>
      </c>
      <c r="G175" s="20">
        <f>_xlfn.IFNA(Controls!$L$17,0)</f>
        <v>0.88106700252838566</v>
      </c>
      <c r="H175" s="20">
        <f>_xlfn.IFNA(Controls!$L$17,0)</f>
        <v>0.88106700252838566</v>
      </c>
      <c r="I175" s="20">
        <f>_xlfn.IFNA(Controls!$L$17,0)</f>
        <v>0.88106700252838566</v>
      </c>
      <c r="J175" s="20" t="s">
        <v>158</v>
      </c>
      <c r="K175" s="20" t="str">
        <f t="shared" si="12"/>
        <v>WSXC_CU_5_PR19CA012</v>
      </c>
      <c r="L175" s="23"/>
      <c r="M175" s="23"/>
    </row>
    <row r="176" spans="1:13" x14ac:dyDescent="0.25">
      <c r="A176" s="21" t="s">
        <v>27</v>
      </c>
      <c r="B176" s="21" t="s">
        <v>171</v>
      </c>
      <c r="C176" s="20" t="s">
        <v>16</v>
      </c>
      <c r="D176" s="21" t="s">
        <v>152</v>
      </c>
      <c r="E176" s="20">
        <f>_xlfn.IFNA(Controls!$L$17,0)</f>
        <v>0.88106700252838566</v>
      </c>
      <c r="F176" s="20">
        <f>_xlfn.IFNA(Controls!$L$17,0)</f>
        <v>0.88106700252838566</v>
      </c>
      <c r="G176" s="20">
        <f>_xlfn.IFNA(Controls!$L$17,0)</f>
        <v>0.88106700252838566</v>
      </c>
      <c r="H176" s="20">
        <f>_xlfn.IFNA(Controls!$L$17,0)</f>
        <v>0.88106700252838566</v>
      </c>
      <c r="I176" s="20">
        <f>_xlfn.IFNA(Controls!$L$17,0)</f>
        <v>0.88106700252838566</v>
      </c>
      <c r="J176" s="20" t="s">
        <v>158</v>
      </c>
      <c r="K176" s="20" t="str">
        <f t="shared" si="12"/>
        <v>YKYC_CU_5_PR19CA012</v>
      </c>
      <c r="L176" s="23"/>
      <c r="M176" s="23"/>
    </row>
    <row r="177" spans="1:13" x14ac:dyDescent="0.25">
      <c r="A177" s="21" t="s">
        <v>28</v>
      </c>
      <c r="B177" s="21" t="s">
        <v>171</v>
      </c>
      <c r="C177" s="20" t="s">
        <v>16</v>
      </c>
      <c r="D177" s="21" t="s">
        <v>152</v>
      </c>
      <c r="E177" s="20">
        <f>_xlfn.IFNA(Controls!$L$17,0)</f>
        <v>0.88106700252838566</v>
      </c>
      <c r="F177" s="20">
        <f>_xlfn.IFNA(Controls!$L$17,0)</f>
        <v>0.88106700252838566</v>
      </c>
      <c r="G177" s="20">
        <f>_xlfn.IFNA(Controls!$L$17,0)</f>
        <v>0.88106700252838566</v>
      </c>
      <c r="H177" s="20">
        <f>_xlfn.IFNA(Controls!$L$17,0)</f>
        <v>0.88106700252838566</v>
      </c>
      <c r="I177" s="20">
        <f>_xlfn.IFNA(Controls!$L$17,0)</f>
        <v>0.88106700252838566</v>
      </c>
      <c r="J177" s="20" t="s">
        <v>158</v>
      </c>
      <c r="K177" s="20" t="str">
        <f t="shared" si="12"/>
        <v>AFWC_CU_5_PR19CA012</v>
      </c>
      <c r="L177" s="23"/>
      <c r="M177" s="23"/>
    </row>
    <row r="178" spans="1:13" x14ac:dyDescent="0.25">
      <c r="A178" s="21" t="s">
        <v>29</v>
      </c>
      <c r="B178" s="21" t="s">
        <v>171</v>
      </c>
      <c r="C178" s="20" t="s">
        <v>16</v>
      </c>
      <c r="D178" s="21" t="s">
        <v>152</v>
      </c>
      <c r="E178" s="20">
        <f>_xlfn.IFNA(Controls!$L$17,0)</f>
        <v>0.88106700252838566</v>
      </c>
      <c r="F178" s="20">
        <f>_xlfn.IFNA(Controls!$L$17,0)</f>
        <v>0.88106700252838566</v>
      </c>
      <c r="G178" s="20">
        <f>_xlfn.IFNA(Controls!$L$17,0)</f>
        <v>0.88106700252838566</v>
      </c>
      <c r="H178" s="20">
        <f>_xlfn.IFNA(Controls!$L$17,0)</f>
        <v>0.88106700252838566</v>
      </c>
      <c r="I178" s="20">
        <f>_xlfn.IFNA(Controls!$L$17,0)</f>
        <v>0.88106700252838566</v>
      </c>
      <c r="J178" s="20" t="s">
        <v>158</v>
      </c>
      <c r="K178" s="20" t="str">
        <f t="shared" si="12"/>
        <v>BRLC_CU_5_PR19CA012</v>
      </c>
      <c r="L178" s="23"/>
      <c r="M178" s="23"/>
    </row>
    <row r="179" spans="1:13" x14ac:dyDescent="0.25">
      <c r="A179" s="21" t="s">
        <v>30</v>
      </c>
      <c r="B179" s="21" t="s">
        <v>171</v>
      </c>
      <c r="C179" s="20" t="s">
        <v>16</v>
      </c>
      <c r="D179" s="21" t="s">
        <v>152</v>
      </c>
      <c r="E179" s="20">
        <f>_xlfn.IFNA(Controls!$L$17,0)</f>
        <v>0.88106700252838566</v>
      </c>
      <c r="F179" s="20">
        <f>_xlfn.IFNA(Controls!$L$17,0)</f>
        <v>0.88106700252838566</v>
      </c>
      <c r="G179" s="20">
        <f>_xlfn.IFNA(Controls!$L$17,0)</f>
        <v>0.88106700252838566</v>
      </c>
      <c r="H179" s="20">
        <f>_xlfn.IFNA(Controls!$L$17,0)</f>
        <v>0.88106700252838566</v>
      </c>
      <c r="I179" s="20">
        <f>_xlfn.IFNA(Controls!$L$17,0)</f>
        <v>0.88106700252838566</v>
      </c>
      <c r="J179" s="20" t="s">
        <v>158</v>
      </c>
      <c r="K179" s="20" t="str">
        <f t="shared" ref="K179" si="16">A179&amp;B179</f>
        <v>DVWC_CU_5_PR19CA012</v>
      </c>
      <c r="L179" s="23"/>
      <c r="M179" s="23"/>
    </row>
    <row r="180" spans="1:13" x14ac:dyDescent="0.25">
      <c r="A180" s="21" t="s">
        <v>31</v>
      </c>
      <c r="B180" s="21" t="s">
        <v>171</v>
      </c>
      <c r="C180" s="20" t="s">
        <v>16</v>
      </c>
      <c r="D180" s="21" t="s">
        <v>152</v>
      </c>
      <c r="E180" s="20">
        <f>_xlfn.IFNA(Controls!$L$17,0)</f>
        <v>0.88106700252838566</v>
      </c>
      <c r="F180" s="20">
        <f>_xlfn.IFNA(Controls!$L$17,0)</f>
        <v>0.88106700252838566</v>
      </c>
      <c r="G180" s="20">
        <f>_xlfn.IFNA(Controls!$L$17,0)</f>
        <v>0.88106700252838566</v>
      </c>
      <c r="H180" s="20">
        <f>_xlfn.IFNA(Controls!$L$17,0)</f>
        <v>0.88106700252838566</v>
      </c>
      <c r="I180" s="20">
        <f>_xlfn.IFNA(Controls!$L$17,0)</f>
        <v>0.88106700252838566</v>
      </c>
      <c r="J180" s="20" t="s">
        <v>158</v>
      </c>
      <c r="K180" s="20" t="str">
        <f t="shared" si="12"/>
        <v>PRTC_CU_5_PR19CA012</v>
      </c>
      <c r="L180" s="23"/>
      <c r="M180" s="23"/>
    </row>
    <row r="181" spans="1:13" x14ac:dyDescent="0.25">
      <c r="A181" s="21" t="s">
        <v>32</v>
      </c>
      <c r="B181" s="21" t="s">
        <v>171</v>
      </c>
      <c r="C181" s="20" t="s">
        <v>16</v>
      </c>
      <c r="D181" s="21" t="s">
        <v>152</v>
      </c>
      <c r="E181" s="20">
        <f>_xlfn.IFNA(Controls!$L$17,0)</f>
        <v>0.88106700252838566</v>
      </c>
      <c r="F181" s="20">
        <f>_xlfn.IFNA(Controls!$L$17,0)</f>
        <v>0.88106700252838566</v>
      </c>
      <c r="G181" s="20">
        <f>_xlfn.IFNA(Controls!$L$17,0)</f>
        <v>0.88106700252838566</v>
      </c>
      <c r="H181" s="20">
        <f>_xlfn.IFNA(Controls!$L$17,0)</f>
        <v>0.88106700252838566</v>
      </c>
      <c r="I181" s="20">
        <f>_xlfn.IFNA(Controls!$L$17,0)</f>
        <v>0.88106700252838566</v>
      </c>
      <c r="J181" s="20" t="s">
        <v>158</v>
      </c>
      <c r="K181" s="20" t="str">
        <f t="shared" si="12"/>
        <v>SESC_CU_5_PR19CA012</v>
      </c>
      <c r="L181" s="23"/>
      <c r="M181" s="23"/>
    </row>
    <row r="182" spans="1:13" x14ac:dyDescent="0.25">
      <c r="A182" s="21" t="s">
        <v>33</v>
      </c>
      <c r="B182" s="21" t="s">
        <v>171</v>
      </c>
      <c r="C182" s="20" t="s">
        <v>16</v>
      </c>
      <c r="D182" s="21" t="s">
        <v>152</v>
      </c>
      <c r="E182" s="20">
        <f>_xlfn.IFNA(Controls!$L$17,0)</f>
        <v>0.88106700252838566</v>
      </c>
      <c r="F182" s="20">
        <f>_xlfn.IFNA(Controls!$L$17,0)</f>
        <v>0.88106700252838566</v>
      </c>
      <c r="G182" s="20">
        <f>_xlfn.IFNA(Controls!$L$17,0)</f>
        <v>0.88106700252838566</v>
      </c>
      <c r="H182" s="20">
        <f>_xlfn.IFNA(Controls!$L$17,0)</f>
        <v>0.88106700252838566</v>
      </c>
      <c r="I182" s="20">
        <f>_xlfn.IFNA(Controls!$L$17,0)</f>
        <v>0.88106700252838566</v>
      </c>
      <c r="J182" s="20" t="s">
        <v>158</v>
      </c>
      <c r="K182" s="20" t="str">
        <f t="shared" si="12"/>
        <v>SEWC_CU_5_PR19CA012</v>
      </c>
      <c r="L182" s="23"/>
      <c r="M182" s="23"/>
    </row>
    <row r="183" spans="1:13" x14ac:dyDescent="0.25">
      <c r="A183" s="21" t="s">
        <v>34</v>
      </c>
      <c r="B183" s="21" t="s">
        <v>171</v>
      </c>
      <c r="C183" s="20" t="s">
        <v>16</v>
      </c>
      <c r="D183" s="21" t="s">
        <v>152</v>
      </c>
      <c r="E183" s="20">
        <f>_xlfn.IFNA(Controls!$L$17,0)</f>
        <v>0.88106700252838566</v>
      </c>
      <c r="F183" s="20">
        <f>_xlfn.IFNA(Controls!$L$17,0)</f>
        <v>0.88106700252838566</v>
      </c>
      <c r="G183" s="20">
        <f>_xlfn.IFNA(Controls!$L$17,0)</f>
        <v>0.88106700252838566</v>
      </c>
      <c r="H183" s="20">
        <f>_xlfn.IFNA(Controls!$L$17,0)</f>
        <v>0.88106700252838566</v>
      </c>
      <c r="I183" s="20">
        <f>_xlfn.IFNA(Controls!$L$17,0)</f>
        <v>0.88106700252838566</v>
      </c>
      <c r="J183" s="20" t="s">
        <v>158</v>
      </c>
      <c r="K183" s="20" t="str">
        <f t="shared" si="12"/>
        <v>SSCC_CU_5_PR19CA012</v>
      </c>
      <c r="L183" s="23"/>
      <c r="M183" s="23"/>
    </row>
    <row r="184" spans="1:13" x14ac:dyDescent="0.25">
      <c r="A184" s="120" t="s">
        <v>20</v>
      </c>
      <c r="B184" s="21" t="s">
        <v>167</v>
      </c>
      <c r="C184" s="20" t="s">
        <v>11</v>
      </c>
      <c r="D184" s="21" t="s">
        <v>152</v>
      </c>
      <c r="E184" s="21">
        <f xml:space="preserve"> _xlfn.IFNA('Modelled costs'!$L$3,0)</f>
        <v>0.5</v>
      </c>
      <c r="F184" s="21">
        <f xml:space="preserve"> _xlfn.IFNA('Modelled costs'!$L$3,0)</f>
        <v>0.5</v>
      </c>
      <c r="G184" s="21">
        <f xml:space="preserve"> _xlfn.IFNA('Modelled costs'!$L$3,0)</f>
        <v>0.5</v>
      </c>
      <c r="H184" s="21">
        <f xml:space="preserve"> _xlfn.IFNA('Modelled costs'!$L$3,0)</f>
        <v>0.5</v>
      </c>
      <c r="I184" s="21">
        <f xml:space="preserve"> _xlfn.IFNA('Modelled costs'!$L$3,0)</f>
        <v>0.5</v>
      </c>
      <c r="J184" s="20" t="s">
        <v>146</v>
      </c>
      <c r="K184" s="20" t="str">
        <f t="shared" si="12"/>
        <v>ANHC_WEIGHT_ROC_PR19CA012</v>
      </c>
      <c r="L184" s="23"/>
      <c r="M184" s="23"/>
    </row>
    <row r="185" spans="1:13" x14ac:dyDescent="0.25">
      <c r="A185" s="120" t="s">
        <v>157</v>
      </c>
      <c r="B185" s="21" t="s">
        <v>167</v>
      </c>
      <c r="C185" s="20" t="s">
        <v>11</v>
      </c>
      <c r="D185" s="21" t="s">
        <v>152</v>
      </c>
      <c r="E185" s="21">
        <f xml:space="preserve"> _xlfn.IFNA('Modelled costs'!$L$3,0)</f>
        <v>0.5</v>
      </c>
      <c r="F185" s="21">
        <f xml:space="preserve"> _xlfn.IFNA('Modelled costs'!$L$3,0)</f>
        <v>0.5</v>
      </c>
      <c r="G185" s="21">
        <f xml:space="preserve"> _xlfn.IFNA('Modelled costs'!$L$3,0)</f>
        <v>0.5</v>
      </c>
      <c r="H185" s="21">
        <f xml:space="preserve"> _xlfn.IFNA('Modelled costs'!$L$3,0)</f>
        <v>0.5</v>
      </c>
      <c r="I185" s="21">
        <f xml:space="preserve"> _xlfn.IFNA('Modelled costs'!$L$3,0)</f>
        <v>0.5</v>
      </c>
      <c r="J185" s="20" t="s">
        <v>146</v>
      </c>
      <c r="K185" s="20" t="str">
        <f t="shared" si="12"/>
        <v>HDDC_WEIGHT_ROC_PR19CA012</v>
      </c>
      <c r="L185" s="23"/>
      <c r="M185" s="23"/>
    </row>
    <row r="186" spans="1:13" x14ac:dyDescent="0.25">
      <c r="A186" s="120" t="s">
        <v>21</v>
      </c>
      <c r="B186" s="21" t="s">
        <v>167</v>
      </c>
      <c r="C186" s="20" t="s">
        <v>11</v>
      </c>
      <c r="D186" s="21" t="s">
        <v>152</v>
      </c>
      <c r="E186" s="21">
        <f xml:space="preserve"> _xlfn.IFNA('Modelled costs'!$L$3,0)</f>
        <v>0.5</v>
      </c>
      <c r="F186" s="21">
        <f xml:space="preserve"> _xlfn.IFNA('Modelled costs'!$L$3,0)</f>
        <v>0.5</v>
      </c>
      <c r="G186" s="21">
        <f xml:space="preserve"> _xlfn.IFNA('Modelled costs'!$L$3,0)</f>
        <v>0.5</v>
      </c>
      <c r="H186" s="21">
        <f xml:space="preserve"> _xlfn.IFNA('Modelled costs'!$L$3,0)</f>
        <v>0.5</v>
      </c>
      <c r="I186" s="21">
        <f xml:space="preserve"> _xlfn.IFNA('Modelled costs'!$L$3,0)</f>
        <v>0.5</v>
      </c>
      <c r="J186" s="20" t="s">
        <v>146</v>
      </c>
      <c r="K186" s="20" t="str">
        <f t="shared" si="12"/>
        <v>NESC_WEIGHT_ROC_PR19CA012</v>
      </c>
      <c r="L186" s="23"/>
      <c r="M186" s="23"/>
    </row>
    <row r="187" spans="1:13" x14ac:dyDescent="0.25">
      <c r="A187" s="120" t="s">
        <v>22</v>
      </c>
      <c r="B187" s="21" t="s">
        <v>167</v>
      </c>
      <c r="C187" s="20" t="s">
        <v>11</v>
      </c>
      <c r="D187" s="21" t="s">
        <v>152</v>
      </c>
      <c r="E187" s="21">
        <f xml:space="preserve"> _xlfn.IFNA('Modelled costs'!$L$3,0)</f>
        <v>0.5</v>
      </c>
      <c r="F187" s="21">
        <f xml:space="preserve"> _xlfn.IFNA('Modelled costs'!$L$3,0)</f>
        <v>0.5</v>
      </c>
      <c r="G187" s="21">
        <f xml:space="preserve"> _xlfn.IFNA('Modelled costs'!$L$3,0)</f>
        <v>0.5</v>
      </c>
      <c r="H187" s="21">
        <f xml:space="preserve"> _xlfn.IFNA('Modelled costs'!$L$3,0)</f>
        <v>0.5</v>
      </c>
      <c r="I187" s="21">
        <f xml:space="preserve"> _xlfn.IFNA('Modelled costs'!$L$3,0)</f>
        <v>0.5</v>
      </c>
      <c r="J187" s="20" t="s">
        <v>146</v>
      </c>
      <c r="K187" s="20" t="str">
        <f t="shared" si="12"/>
        <v>NWTC_WEIGHT_ROC_PR19CA012</v>
      </c>
      <c r="L187" s="23"/>
      <c r="M187" s="23"/>
    </row>
    <row r="188" spans="1:13" x14ac:dyDescent="0.25">
      <c r="A188" s="120" t="s">
        <v>23</v>
      </c>
      <c r="B188" s="21" t="s">
        <v>167</v>
      </c>
      <c r="C188" s="20" t="s">
        <v>11</v>
      </c>
      <c r="D188" s="21" t="s">
        <v>152</v>
      </c>
      <c r="E188" s="21">
        <f xml:space="preserve"> _xlfn.IFNA('Modelled costs'!$L$3,0)</f>
        <v>0.5</v>
      </c>
      <c r="F188" s="21">
        <f xml:space="preserve"> _xlfn.IFNA('Modelled costs'!$L$3,0)</f>
        <v>0.5</v>
      </c>
      <c r="G188" s="21">
        <f xml:space="preserve"> _xlfn.IFNA('Modelled costs'!$L$3,0)</f>
        <v>0.5</v>
      </c>
      <c r="H188" s="21">
        <f xml:space="preserve"> _xlfn.IFNA('Modelled costs'!$L$3,0)</f>
        <v>0.5</v>
      </c>
      <c r="I188" s="21">
        <f xml:space="preserve"> _xlfn.IFNA('Modelled costs'!$L$3,0)</f>
        <v>0.5</v>
      </c>
      <c r="J188" s="20" t="s">
        <v>146</v>
      </c>
      <c r="K188" s="20" t="str">
        <f t="shared" si="12"/>
        <v>SRNC_WEIGHT_ROC_PR19CA012</v>
      </c>
      <c r="L188" s="23"/>
      <c r="M188" s="23"/>
    </row>
    <row r="189" spans="1:13" x14ac:dyDescent="0.25">
      <c r="A189" s="120" t="s">
        <v>156</v>
      </c>
      <c r="B189" s="21" t="s">
        <v>167</v>
      </c>
      <c r="C189" s="20" t="s">
        <v>11</v>
      </c>
      <c r="D189" s="21" t="s">
        <v>152</v>
      </c>
      <c r="E189" s="21">
        <f xml:space="preserve"> _xlfn.IFNA('Modelled costs'!$L$3,0)</f>
        <v>0.5</v>
      </c>
      <c r="F189" s="21">
        <f xml:space="preserve"> _xlfn.IFNA('Modelled costs'!$L$3,0)</f>
        <v>0.5</v>
      </c>
      <c r="G189" s="21">
        <f xml:space="preserve"> _xlfn.IFNA('Modelled costs'!$L$3,0)</f>
        <v>0.5</v>
      </c>
      <c r="H189" s="21">
        <f xml:space="preserve"> _xlfn.IFNA('Modelled costs'!$L$3,0)</f>
        <v>0.5</v>
      </c>
      <c r="I189" s="21">
        <f xml:space="preserve"> _xlfn.IFNA('Modelled costs'!$L$3,0)</f>
        <v>0.5</v>
      </c>
      <c r="J189" s="20" t="s">
        <v>146</v>
      </c>
      <c r="K189" s="20" t="str">
        <f t="shared" si="12"/>
        <v>SVEC_WEIGHT_ROC_PR19CA012</v>
      </c>
      <c r="L189" s="23"/>
      <c r="M189" s="23"/>
    </row>
    <row r="190" spans="1:13" x14ac:dyDescent="0.25">
      <c r="A190" s="120" t="s">
        <v>232</v>
      </c>
      <c r="B190" s="21" t="s">
        <v>167</v>
      </c>
      <c r="C190" s="20" t="s">
        <v>11</v>
      </c>
      <c r="D190" s="21" t="s">
        <v>152</v>
      </c>
      <c r="E190" s="21">
        <f xml:space="preserve"> _xlfn.IFNA('Modelled costs'!$L$3,0)</f>
        <v>0.5</v>
      </c>
      <c r="F190" s="21">
        <f xml:space="preserve"> _xlfn.IFNA('Modelled costs'!$L$3,0)</f>
        <v>0.5</v>
      </c>
      <c r="G190" s="21">
        <f xml:space="preserve"> _xlfn.IFNA('Modelled costs'!$L$3,0)</f>
        <v>0.5</v>
      </c>
      <c r="H190" s="21">
        <f xml:space="preserve"> _xlfn.IFNA('Modelled costs'!$L$3,0)</f>
        <v>0.5</v>
      </c>
      <c r="I190" s="21">
        <f xml:space="preserve"> _xlfn.IFNA('Modelled costs'!$L$3,0)</f>
        <v>0.5</v>
      </c>
      <c r="J190" s="20" t="s">
        <v>146</v>
      </c>
      <c r="K190" s="20" t="str">
        <f t="shared" ref="K190:K191" si="17">A190&amp;B190</f>
        <v>SVHC_WEIGHT_ROC_PR19CA012</v>
      </c>
      <c r="L190" s="23"/>
      <c r="M190" s="23"/>
    </row>
    <row r="191" spans="1:13" x14ac:dyDescent="0.25">
      <c r="A191" s="120" t="s">
        <v>24</v>
      </c>
      <c r="B191" s="21" t="s">
        <v>167</v>
      </c>
      <c r="C191" s="20" t="s">
        <v>11</v>
      </c>
      <c r="D191" s="21" t="s">
        <v>152</v>
      </c>
      <c r="E191" s="21">
        <f xml:space="preserve"> _xlfn.IFNA('Modelled costs'!$L$3,0)</f>
        <v>0.5</v>
      </c>
      <c r="F191" s="21">
        <f xml:space="preserve"> _xlfn.IFNA('Modelled costs'!$L$3,0)</f>
        <v>0.5</v>
      </c>
      <c r="G191" s="21">
        <f xml:space="preserve"> _xlfn.IFNA('Modelled costs'!$L$3,0)</f>
        <v>0.5</v>
      </c>
      <c r="H191" s="21">
        <f xml:space="preserve"> _xlfn.IFNA('Modelled costs'!$L$3,0)</f>
        <v>0.5</v>
      </c>
      <c r="I191" s="21">
        <f xml:space="preserve"> _xlfn.IFNA('Modelled costs'!$L$3,0)</f>
        <v>0.5</v>
      </c>
      <c r="J191" s="20" t="s">
        <v>146</v>
      </c>
      <c r="K191" s="20" t="str">
        <f t="shared" si="17"/>
        <v>SVTC_WEIGHT_ROC_PR19CA012</v>
      </c>
      <c r="L191" s="23"/>
      <c r="M191" s="23"/>
    </row>
    <row r="192" spans="1:13" x14ac:dyDescent="0.25">
      <c r="A192" s="21" t="s">
        <v>35</v>
      </c>
      <c r="B192" s="21" t="s">
        <v>167</v>
      </c>
      <c r="C192" s="20" t="s">
        <v>11</v>
      </c>
      <c r="D192" s="21" t="s">
        <v>152</v>
      </c>
      <c r="E192" s="21">
        <f xml:space="preserve"> _xlfn.IFNA('Modelled costs'!$L$3,0)</f>
        <v>0.5</v>
      </c>
      <c r="F192" s="21">
        <f xml:space="preserve"> _xlfn.IFNA('Modelled costs'!$L$3,0)</f>
        <v>0.5</v>
      </c>
      <c r="G192" s="21">
        <f xml:space="preserve"> _xlfn.IFNA('Modelled costs'!$L$3,0)</f>
        <v>0.5</v>
      </c>
      <c r="H192" s="21">
        <f xml:space="preserve"> _xlfn.IFNA('Modelled costs'!$L$3,0)</f>
        <v>0.5</v>
      </c>
      <c r="I192" s="21">
        <f xml:space="preserve"> _xlfn.IFNA('Modelled costs'!$L$3,0)</f>
        <v>0.5</v>
      </c>
      <c r="J192" s="20" t="s">
        <v>146</v>
      </c>
      <c r="K192" s="20" t="str">
        <f t="shared" si="12"/>
        <v>SWBC_WEIGHT_ROC_PR19CA012</v>
      </c>
      <c r="L192" s="23"/>
      <c r="M192" s="23"/>
    </row>
    <row r="193" spans="1:13" x14ac:dyDescent="0.25">
      <c r="A193" s="21" t="s">
        <v>25</v>
      </c>
      <c r="B193" s="21" t="s">
        <v>167</v>
      </c>
      <c r="C193" s="20" t="s">
        <v>11</v>
      </c>
      <c r="D193" s="21" t="s">
        <v>152</v>
      </c>
      <c r="E193" s="21">
        <f xml:space="preserve"> _xlfn.IFNA('Modelled costs'!$L$3,0)</f>
        <v>0.5</v>
      </c>
      <c r="F193" s="21">
        <f xml:space="preserve"> _xlfn.IFNA('Modelled costs'!$L$3,0)</f>
        <v>0.5</v>
      </c>
      <c r="G193" s="21">
        <f xml:space="preserve"> _xlfn.IFNA('Modelled costs'!$L$3,0)</f>
        <v>0.5</v>
      </c>
      <c r="H193" s="21">
        <f xml:space="preserve"> _xlfn.IFNA('Modelled costs'!$L$3,0)</f>
        <v>0.5</v>
      </c>
      <c r="I193" s="21">
        <f xml:space="preserve"> _xlfn.IFNA('Modelled costs'!$L$3,0)</f>
        <v>0.5</v>
      </c>
      <c r="J193" s="20" t="s">
        <v>146</v>
      </c>
      <c r="K193" s="20" t="str">
        <f t="shared" si="12"/>
        <v>TMSC_WEIGHT_ROC_PR19CA012</v>
      </c>
      <c r="L193" s="23"/>
      <c r="M193" s="23"/>
    </row>
    <row r="194" spans="1:13" x14ac:dyDescent="0.25">
      <c r="A194" s="21" t="s">
        <v>41</v>
      </c>
      <c r="B194" s="21" t="s">
        <v>167</v>
      </c>
      <c r="C194" s="20" t="s">
        <v>11</v>
      </c>
      <c r="D194" s="21" t="s">
        <v>152</v>
      </c>
      <c r="E194" s="21">
        <f xml:space="preserve"> _xlfn.IFNA('Modelled costs'!$L$3,0)</f>
        <v>0.5</v>
      </c>
      <c r="F194" s="21">
        <f xml:space="preserve"> _xlfn.IFNA('Modelled costs'!$L$3,0)</f>
        <v>0.5</v>
      </c>
      <c r="G194" s="21">
        <f xml:space="preserve"> _xlfn.IFNA('Modelled costs'!$L$3,0)</f>
        <v>0.5</v>
      </c>
      <c r="H194" s="21">
        <f xml:space="preserve"> _xlfn.IFNA('Modelled costs'!$L$3,0)</f>
        <v>0.5</v>
      </c>
      <c r="I194" s="21">
        <f xml:space="preserve"> _xlfn.IFNA('Modelled costs'!$L$3,0)</f>
        <v>0.5</v>
      </c>
      <c r="J194" s="20" t="s">
        <v>146</v>
      </c>
      <c r="K194" s="20" t="str">
        <f t="shared" si="12"/>
        <v>WSHC_WEIGHT_ROC_PR19CA012</v>
      </c>
      <c r="L194" s="23"/>
      <c r="M194" s="23"/>
    </row>
    <row r="195" spans="1:13" x14ac:dyDescent="0.25">
      <c r="A195" s="21" t="s">
        <v>26</v>
      </c>
      <c r="B195" s="21" t="s">
        <v>167</v>
      </c>
      <c r="C195" s="20" t="s">
        <v>11</v>
      </c>
      <c r="D195" s="21" t="s">
        <v>152</v>
      </c>
      <c r="E195" s="21">
        <f xml:space="preserve"> _xlfn.IFNA('Modelled costs'!$L$3,0)</f>
        <v>0.5</v>
      </c>
      <c r="F195" s="21">
        <f xml:space="preserve"> _xlfn.IFNA('Modelled costs'!$L$3,0)</f>
        <v>0.5</v>
      </c>
      <c r="G195" s="21">
        <f xml:space="preserve"> _xlfn.IFNA('Modelled costs'!$L$3,0)</f>
        <v>0.5</v>
      </c>
      <c r="H195" s="21">
        <f xml:space="preserve"> _xlfn.IFNA('Modelled costs'!$L$3,0)</f>
        <v>0.5</v>
      </c>
      <c r="I195" s="21">
        <f xml:space="preserve"> _xlfn.IFNA('Modelled costs'!$L$3,0)</f>
        <v>0.5</v>
      </c>
      <c r="J195" s="20" t="s">
        <v>146</v>
      </c>
      <c r="K195" s="20" t="str">
        <f t="shared" si="12"/>
        <v>WSXC_WEIGHT_ROC_PR19CA012</v>
      </c>
      <c r="L195" s="23"/>
      <c r="M195" s="23"/>
    </row>
    <row r="196" spans="1:13" x14ac:dyDescent="0.25">
      <c r="A196" s="21" t="s">
        <v>27</v>
      </c>
      <c r="B196" s="21" t="s">
        <v>167</v>
      </c>
      <c r="C196" s="20" t="s">
        <v>11</v>
      </c>
      <c r="D196" s="21" t="s">
        <v>152</v>
      </c>
      <c r="E196" s="21">
        <f xml:space="preserve"> _xlfn.IFNA('Modelled costs'!$L$3,0)</f>
        <v>0.5</v>
      </c>
      <c r="F196" s="21">
        <f xml:space="preserve"> _xlfn.IFNA('Modelled costs'!$L$3,0)</f>
        <v>0.5</v>
      </c>
      <c r="G196" s="21">
        <f xml:space="preserve"> _xlfn.IFNA('Modelled costs'!$L$3,0)</f>
        <v>0.5</v>
      </c>
      <c r="H196" s="21">
        <f xml:space="preserve"> _xlfn.IFNA('Modelled costs'!$L$3,0)</f>
        <v>0.5</v>
      </c>
      <c r="I196" s="21">
        <f xml:space="preserve"> _xlfn.IFNA('Modelled costs'!$L$3,0)</f>
        <v>0.5</v>
      </c>
      <c r="J196" s="20" t="s">
        <v>146</v>
      </c>
      <c r="K196" s="20" t="str">
        <f t="shared" si="12"/>
        <v>YKYC_WEIGHT_ROC_PR19CA012</v>
      </c>
      <c r="L196" s="23"/>
      <c r="M196" s="23"/>
    </row>
    <row r="197" spans="1:13" x14ac:dyDescent="0.25">
      <c r="A197" s="21" t="s">
        <v>28</v>
      </c>
      <c r="B197" s="21" t="s">
        <v>167</v>
      </c>
      <c r="C197" s="20" t="s">
        <v>11</v>
      </c>
      <c r="D197" s="21" t="s">
        <v>152</v>
      </c>
      <c r="E197" s="21">
        <f xml:space="preserve"> _xlfn.IFNA('Modelled costs'!$L$3,0)</f>
        <v>0.5</v>
      </c>
      <c r="F197" s="21">
        <f xml:space="preserve"> _xlfn.IFNA('Modelled costs'!$L$3,0)</f>
        <v>0.5</v>
      </c>
      <c r="G197" s="21">
        <f xml:space="preserve"> _xlfn.IFNA('Modelled costs'!$L$3,0)</f>
        <v>0.5</v>
      </c>
      <c r="H197" s="21">
        <f xml:space="preserve"> _xlfn.IFNA('Modelled costs'!$L$3,0)</f>
        <v>0.5</v>
      </c>
      <c r="I197" s="21">
        <f xml:space="preserve"> _xlfn.IFNA('Modelled costs'!$L$3,0)</f>
        <v>0.5</v>
      </c>
      <c r="J197" s="20" t="s">
        <v>146</v>
      </c>
      <c r="K197" s="20" t="str">
        <f t="shared" si="12"/>
        <v>AFWC_WEIGHT_ROC_PR19CA012</v>
      </c>
      <c r="L197" s="23"/>
      <c r="M197" s="23"/>
    </row>
    <row r="198" spans="1:13" x14ac:dyDescent="0.25">
      <c r="A198" s="21" t="s">
        <v>29</v>
      </c>
      <c r="B198" s="21" t="s">
        <v>167</v>
      </c>
      <c r="C198" s="20" t="s">
        <v>11</v>
      </c>
      <c r="D198" s="21" t="s">
        <v>152</v>
      </c>
      <c r="E198" s="21">
        <f xml:space="preserve"> _xlfn.IFNA('Modelled costs'!$L$3,0)</f>
        <v>0.5</v>
      </c>
      <c r="F198" s="21">
        <f xml:space="preserve"> _xlfn.IFNA('Modelled costs'!$L$3,0)</f>
        <v>0.5</v>
      </c>
      <c r="G198" s="21">
        <f xml:space="preserve"> _xlfn.IFNA('Modelled costs'!$L$3,0)</f>
        <v>0.5</v>
      </c>
      <c r="H198" s="21">
        <f xml:space="preserve"> _xlfn.IFNA('Modelled costs'!$L$3,0)</f>
        <v>0.5</v>
      </c>
      <c r="I198" s="21">
        <f xml:space="preserve"> _xlfn.IFNA('Modelled costs'!$L$3,0)</f>
        <v>0.5</v>
      </c>
      <c r="J198" s="20" t="s">
        <v>146</v>
      </c>
      <c r="K198" s="20" t="str">
        <f t="shared" si="12"/>
        <v>BRLC_WEIGHT_ROC_PR19CA012</v>
      </c>
      <c r="L198" s="23"/>
      <c r="M198" s="23"/>
    </row>
    <row r="199" spans="1:13" x14ac:dyDescent="0.25">
      <c r="A199" s="21" t="s">
        <v>30</v>
      </c>
      <c r="B199" s="21" t="s">
        <v>167</v>
      </c>
      <c r="C199" s="20" t="s">
        <v>11</v>
      </c>
      <c r="D199" s="21" t="s">
        <v>152</v>
      </c>
      <c r="E199" s="21">
        <f xml:space="preserve"> _xlfn.IFNA('Modelled costs'!$L$3,0)</f>
        <v>0.5</v>
      </c>
      <c r="F199" s="21">
        <f xml:space="preserve"> _xlfn.IFNA('Modelled costs'!$L$3,0)</f>
        <v>0.5</v>
      </c>
      <c r="G199" s="21">
        <f xml:space="preserve"> _xlfn.IFNA('Modelled costs'!$L$3,0)</f>
        <v>0.5</v>
      </c>
      <c r="H199" s="21">
        <f xml:space="preserve"> _xlfn.IFNA('Modelled costs'!$L$3,0)</f>
        <v>0.5</v>
      </c>
      <c r="I199" s="21">
        <f xml:space="preserve"> _xlfn.IFNA('Modelled costs'!$L$3,0)</f>
        <v>0.5</v>
      </c>
      <c r="J199" s="20" t="s">
        <v>146</v>
      </c>
      <c r="K199" s="20" t="str">
        <f t="shared" ref="K199" si="18">A199&amp;B199</f>
        <v>DVWC_WEIGHT_ROC_PR19CA012</v>
      </c>
      <c r="L199" s="23"/>
      <c r="M199" s="23"/>
    </row>
    <row r="200" spans="1:13" x14ac:dyDescent="0.25">
      <c r="A200" s="21" t="s">
        <v>31</v>
      </c>
      <c r="B200" s="21" t="s">
        <v>167</v>
      </c>
      <c r="C200" s="20" t="s">
        <v>11</v>
      </c>
      <c r="D200" s="21" t="s">
        <v>152</v>
      </c>
      <c r="E200" s="21">
        <f xml:space="preserve"> _xlfn.IFNA('Modelled costs'!$L$3,0)</f>
        <v>0.5</v>
      </c>
      <c r="F200" s="21">
        <f xml:space="preserve"> _xlfn.IFNA('Modelled costs'!$L$3,0)</f>
        <v>0.5</v>
      </c>
      <c r="G200" s="21">
        <f xml:space="preserve"> _xlfn.IFNA('Modelled costs'!$L$3,0)</f>
        <v>0.5</v>
      </c>
      <c r="H200" s="21">
        <f xml:space="preserve"> _xlfn.IFNA('Modelled costs'!$L$3,0)</f>
        <v>0.5</v>
      </c>
      <c r="I200" s="21">
        <f xml:space="preserve"> _xlfn.IFNA('Modelled costs'!$L$3,0)</f>
        <v>0.5</v>
      </c>
      <c r="J200" s="20" t="s">
        <v>146</v>
      </c>
      <c r="K200" s="20" t="str">
        <f t="shared" si="12"/>
        <v>PRTC_WEIGHT_ROC_PR19CA012</v>
      </c>
      <c r="L200" s="23"/>
      <c r="M200" s="23"/>
    </row>
    <row r="201" spans="1:13" x14ac:dyDescent="0.25">
      <c r="A201" s="21" t="s">
        <v>32</v>
      </c>
      <c r="B201" s="21" t="s">
        <v>167</v>
      </c>
      <c r="C201" s="20" t="s">
        <v>11</v>
      </c>
      <c r="D201" s="21" t="s">
        <v>152</v>
      </c>
      <c r="E201" s="21">
        <f xml:space="preserve"> _xlfn.IFNA('Modelled costs'!$L$3,0)</f>
        <v>0.5</v>
      </c>
      <c r="F201" s="21">
        <f xml:space="preserve"> _xlfn.IFNA('Modelled costs'!$L$3,0)</f>
        <v>0.5</v>
      </c>
      <c r="G201" s="21">
        <f xml:space="preserve"> _xlfn.IFNA('Modelled costs'!$L$3,0)</f>
        <v>0.5</v>
      </c>
      <c r="H201" s="21">
        <f xml:space="preserve"> _xlfn.IFNA('Modelled costs'!$L$3,0)</f>
        <v>0.5</v>
      </c>
      <c r="I201" s="21">
        <f xml:space="preserve"> _xlfn.IFNA('Modelled costs'!$L$3,0)</f>
        <v>0.5</v>
      </c>
      <c r="J201" s="20" t="s">
        <v>146</v>
      </c>
      <c r="K201" s="20" t="str">
        <f t="shared" si="12"/>
        <v>SESC_WEIGHT_ROC_PR19CA012</v>
      </c>
      <c r="L201" s="23"/>
      <c r="M201" s="23"/>
    </row>
    <row r="202" spans="1:13" x14ac:dyDescent="0.25">
      <c r="A202" s="21" t="s">
        <v>33</v>
      </c>
      <c r="B202" s="21" t="s">
        <v>167</v>
      </c>
      <c r="C202" s="20" t="s">
        <v>11</v>
      </c>
      <c r="D202" s="21" t="s">
        <v>152</v>
      </c>
      <c r="E202" s="21">
        <f xml:space="preserve"> _xlfn.IFNA('Modelled costs'!$L$3,0)</f>
        <v>0.5</v>
      </c>
      <c r="F202" s="21">
        <f xml:space="preserve"> _xlfn.IFNA('Modelled costs'!$L$3,0)</f>
        <v>0.5</v>
      </c>
      <c r="G202" s="21">
        <f xml:space="preserve"> _xlfn.IFNA('Modelled costs'!$L$3,0)</f>
        <v>0.5</v>
      </c>
      <c r="H202" s="21">
        <f xml:space="preserve"> _xlfn.IFNA('Modelled costs'!$L$3,0)</f>
        <v>0.5</v>
      </c>
      <c r="I202" s="21">
        <f xml:space="preserve"> _xlfn.IFNA('Modelled costs'!$L$3,0)</f>
        <v>0.5</v>
      </c>
      <c r="J202" s="20" t="s">
        <v>146</v>
      </c>
      <c r="K202" s="20" t="str">
        <f t="shared" si="12"/>
        <v>SEWC_WEIGHT_ROC_PR19CA012</v>
      </c>
      <c r="L202" s="23"/>
      <c r="M202" s="23"/>
    </row>
    <row r="203" spans="1:13" x14ac:dyDescent="0.25">
      <c r="A203" s="21" t="s">
        <v>34</v>
      </c>
      <c r="B203" s="21" t="s">
        <v>167</v>
      </c>
      <c r="C203" s="20" t="s">
        <v>11</v>
      </c>
      <c r="D203" s="21" t="s">
        <v>152</v>
      </c>
      <c r="E203" s="21">
        <f xml:space="preserve"> _xlfn.IFNA('Modelled costs'!$L$3,0)</f>
        <v>0.5</v>
      </c>
      <c r="F203" s="21">
        <f xml:space="preserve"> _xlfn.IFNA('Modelled costs'!$L$3,0)</f>
        <v>0.5</v>
      </c>
      <c r="G203" s="21">
        <f xml:space="preserve"> _xlfn.IFNA('Modelled costs'!$L$3,0)</f>
        <v>0.5</v>
      </c>
      <c r="H203" s="21">
        <f xml:space="preserve"> _xlfn.IFNA('Modelled costs'!$L$3,0)</f>
        <v>0.5</v>
      </c>
      <c r="I203" s="21">
        <f xml:space="preserve"> _xlfn.IFNA('Modelled costs'!$L$3,0)</f>
        <v>0.5</v>
      </c>
      <c r="J203" s="20" t="s">
        <v>146</v>
      </c>
      <c r="K203" s="20" t="str">
        <f t="shared" si="12"/>
        <v>SSCC_WEIGHT_ROC_PR19CA012</v>
      </c>
      <c r="L203" s="23"/>
      <c r="M203" s="23"/>
    </row>
    <row r="204" spans="1:13" x14ac:dyDescent="0.25">
      <c r="A204" s="120" t="s">
        <v>20</v>
      </c>
      <c r="B204" s="21" t="s">
        <v>168</v>
      </c>
      <c r="C204" s="20" t="s">
        <v>11</v>
      </c>
      <c r="D204" s="21" t="s">
        <v>152</v>
      </c>
      <c r="E204" s="21">
        <f xml:space="preserve"> _xlfn.IFNA( 'Modelled costs'!$N$3, 0)</f>
        <v>0.5</v>
      </c>
      <c r="F204" s="21">
        <f xml:space="preserve"> _xlfn.IFNA( 'Modelled costs'!$N$3, 0)</f>
        <v>0.5</v>
      </c>
      <c r="G204" s="21">
        <f xml:space="preserve"> _xlfn.IFNA( 'Modelled costs'!$N$3, 0)</f>
        <v>0.5</v>
      </c>
      <c r="H204" s="21">
        <f xml:space="preserve"> _xlfn.IFNA( 'Modelled costs'!$N$3, 0)</f>
        <v>0.5</v>
      </c>
      <c r="I204" s="21">
        <f xml:space="preserve"> _xlfn.IFNA( 'Modelled costs'!$N$3, 0)</f>
        <v>0.5</v>
      </c>
      <c r="J204" s="20" t="s">
        <v>147</v>
      </c>
      <c r="K204" s="20" t="str">
        <f t="shared" si="12"/>
        <v>ANHC_WEIGHT_RDC_PR19CA012</v>
      </c>
      <c r="L204" s="23"/>
      <c r="M204" s="23"/>
    </row>
    <row r="205" spans="1:13" x14ac:dyDescent="0.25">
      <c r="A205" s="120" t="s">
        <v>157</v>
      </c>
      <c r="B205" s="21" t="s">
        <v>168</v>
      </c>
      <c r="C205" s="20" t="s">
        <v>11</v>
      </c>
      <c r="D205" s="21" t="s">
        <v>152</v>
      </c>
      <c r="E205" s="21">
        <f xml:space="preserve"> _xlfn.IFNA( 'Modelled costs'!$N$3, 0)</f>
        <v>0.5</v>
      </c>
      <c r="F205" s="21">
        <f xml:space="preserve"> _xlfn.IFNA( 'Modelled costs'!$N$3, 0)</f>
        <v>0.5</v>
      </c>
      <c r="G205" s="21">
        <f xml:space="preserve"> _xlfn.IFNA( 'Modelled costs'!$N$3, 0)</f>
        <v>0.5</v>
      </c>
      <c r="H205" s="21">
        <f xml:space="preserve"> _xlfn.IFNA( 'Modelled costs'!$N$3, 0)</f>
        <v>0.5</v>
      </c>
      <c r="I205" s="21">
        <f xml:space="preserve"> _xlfn.IFNA( 'Modelled costs'!$N$3, 0)</f>
        <v>0.5</v>
      </c>
      <c r="J205" s="20" t="s">
        <v>147</v>
      </c>
      <c r="K205" s="20" t="str">
        <f t="shared" si="12"/>
        <v>HDDC_WEIGHT_RDC_PR19CA012</v>
      </c>
      <c r="L205" s="23"/>
      <c r="M205" s="23"/>
    </row>
    <row r="206" spans="1:13" x14ac:dyDescent="0.25">
      <c r="A206" s="120" t="s">
        <v>21</v>
      </c>
      <c r="B206" s="21" t="s">
        <v>168</v>
      </c>
      <c r="C206" s="20" t="s">
        <v>11</v>
      </c>
      <c r="D206" s="21" t="s">
        <v>152</v>
      </c>
      <c r="E206" s="21">
        <f xml:space="preserve"> _xlfn.IFNA( 'Modelled costs'!$N$3, 0)</f>
        <v>0.5</v>
      </c>
      <c r="F206" s="21">
        <f xml:space="preserve"> _xlfn.IFNA( 'Modelled costs'!$N$3, 0)</f>
        <v>0.5</v>
      </c>
      <c r="G206" s="21">
        <f xml:space="preserve"> _xlfn.IFNA( 'Modelled costs'!$N$3, 0)</f>
        <v>0.5</v>
      </c>
      <c r="H206" s="21">
        <f xml:space="preserve"> _xlfn.IFNA( 'Modelled costs'!$N$3, 0)</f>
        <v>0.5</v>
      </c>
      <c r="I206" s="21">
        <f xml:space="preserve"> _xlfn.IFNA( 'Modelled costs'!$N$3, 0)</f>
        <v>0.5</v>
      </c>
      <c r="J206" s="20" t="s">
        <v>147</v>
      </c>
      <c r="K206" s="20" t="str">
        <f t="shared" si="12"/>
        <v>NESC_WEIGHT_RDC_PR19CA012</v>
      </c>
      <c r="L206" s="23"/>
      <c r="M206" s="23"/>
    </row>
    <row r="207" spans="1:13" x14ac:dyDescent="0.25">
      <c r="A207" s="120" t="s">
        <v>22</v>
      </c>
      <c r="B207" s="21" t="s">
        <v>168</v>
      </c>
      <c r="C207" s="20" t="s">
        <v>11</v>
      </c>
      <c r="D207" s="21" t="s">
        <v>152</v>
      </c>
      <c r="E207" s="21">
        <f xml:space="preserve"> _xlfn.IFNA( 'Modelled costs'!$N$3, 0)</f>
        <v>0.5</v>
      </c>
      <c r="F207" s="21">
        <f xml:space="preserve"> _xlfn.IFNA( 'Modelled costs'!$N$3, 0)</f>
        <v>0.5</v>
      </c>
      <c r="G207" s="21">
        <f xml:space="preserve"> _xlfn.IFNA( 'Modelled costs'!$N$3, 0)</f>
        <v>0.5</v>
      </c>
      <c r="H207" s="21">
        <f xml:space="preserve"> _xlfn.IFNA( 'Modelled costs'!$N$3, 0)</f>
        <v>0.5</v>
      </c>
      <c r="I207" s="21">
        <f xml:space="preserve"> _xlfn.IFNA( 'Modelled costs'!$N$3, 0)</f>
        <v>0.5</v>
      </c>
      <c r="J207" s="20" t="s">
        <v>147</v>
      </c>
      <c r="K207" s="20" t="str">
        <f t="shared" si="12"/>
        <v>NWTC_WEIGHT_RDC_PR19CA012</v>
      </c>
      <c r="L207" s="23"/>
      <c r="M207" s="23"/>
    </row>
    <row r="208" spans="1:13" x14ac:dyDescent="0.25">
      <c r="A208" s="120" t="s">
        <v>23</v>
      </c>
      <c r="B208" s="21" t="s">
        <v>168</v>
      </c>
      <c r="C208" s="20" t="s">
        <v>11</v>
      </c>
      <c r="D208" s="21" t="s">
        <v>152</v>
      </c>
      <c r="E208" s="21">
        <f xml:space="preserve"> _xlfn.IFNA( 'Modelled costs'!$N$3, 0)</f>
        <v>0.5</v>
      </c>
      <c r="F208" s="21">
        <f xml:space="preserve"> _xlfn.IFNA( 'Modelled costs'!$N$3, 0)</f>
        <v>0.5</v>
      </c>
      <c r="G208" s="21">
        <f xml:space="preserve"> _xlfn.IFNA( 'Modelled costs'!$N$3, 0)</f>
        <v>0.5</v>
      </c>
      <c r="H208" s="21">
        <f xml:space="preserve"> _xlfn.IFNA( 'Modelled costs'!$N$3, 0)</f>
        <v>0.5</v>
      </c>
      <c r="I208" s="21">
        <f xml:space="preserve"> _xlfn.IFNA( 'Modelled costs'!$N$3, 0)</f>
        <v>0.5</v>
      </c>
      <c r="J208" s="20" t="s">
        <v>147</v>
      </c>
      <c r="K208" s="20" t="str">
        <f t="shared" si="12"/>
        <v>SRNC_WEIGHT_RDC_PR19CA012</v>
      </c>
      <c r="L208" s="23"/>
      <c r="M208" s="23"/>
    </row>
    <row r="209" spans="1:13" x14ac:dyDescent="0.25">
      <c r="A209" s="120" t="s">
        <v>156</v>
      </c>
      <c r="B209" s="21" t="s">
        <v>168</v>
      </c>
      <c r="C209" s="20" t="s">
        <v>11</v>
      </c>
      <c r="D209" s="21" t="s">
        <v>152</v>
      </c>
      <c r="E209" s="21">
        <f xml:space="preserve"> _xlfn.IFNA( 'Modelled costs'!$N$3, 0)</f>
        <v>0.5</v>
      </c>
      <c r="F209" s="21">
        <f xml:space="preserve"> _xlfn.IFNA( 'Modelled costs'!$N$3, 0)</f>
        <v>0.5</v>
      </c>
      <c r="G209" s="21">
        <f xml:space="preserve"> _xlfn.IFNA( 'Modelled costs'!$N$3, 0)</f>
        <v>0.5</v>
      </c>
      <c r="H209" s="21">
        <f xml:space="preserve"> _xlfn.IFNA( 'Modelled costs'!$N$3, 0)</f>
        <v>0.5</v>
      </c>
      <c r="I209" s="21">
        <f xml:space="preserve"> _xlfn.IFNA( 'Modelled costs'!$N$3, 0)</f>
        <v>0.5</v>
      </c>
      <c r="J209" s="20" t="s">
        <v>147</v>
      </c>
      <c r="K209" s="20" t="str">
        <f t="shared" si="12"/>
        <v>SVEC_WEIGHT_RDC_PR19CA012</v>
      </c>
      <c r="L209" s="23"/>
      <c r="M209" s="23"/>
    </row>
    <row r="210" spans="1:13" x14ac:dyDescent="0.25">
      <c r="A210" s="120" t="s">
        <v>232</v>
      </c>
      <c r="B210" s="21" t="s">
        <v>168</v>
      </c>
      <c r="C210" s="20" t="s">
        <v>11</v>
      </c>
      <c r="D210" s="21" t="s">
        <v>152</v>
      </c>
      <c r="E210" s="21">
        <f xml:space="preserve"> _xlfn.IFNA( 'Modelled costs'!$N$3, 0)</f>
        <v>0.5</v>
      </c>
      <c r="F210" s="21">
        <f xml:space="preserve"> _xlfn.IFNA( 'Modelled costs'!$N$3, 0)</f>
        <v>0.5</v>
      </c>
      <c r="G210" s="21">
        <f xml:space="preserve"> _xlfn.IFNA( 'Modelled costs'!$N$3, 0)</f>
        <v>0.5</v>
      </c>
      <c r="H210" s="21">
        <f xml:space="preserve"> _xlfn.IFNA( 'Modelled costs'!$N$3, 0)</f>
        <v>0.5</v>
      </c>
      <c r="I210" s="21">
        <f xml:space="preserve"> _xlfn.IFNA( 'Modelled costs'!$N$3, 0)</f>
        <v>0.5</v>
      </c>
      <c r="J210" s="20" t="s">
        <v>147</v>
      </c>
      <c r="K210" s="20" t="str">
        <f t="shared" ref="K210:K211" si="19">A210&amp;B210</f>
        <v>SVHC_WEIGHT_RDC_PR19CA012</v>
      </c>
      <c r="L210" s="23"/>
      <c r="M210" s="23"/>
    </row>
    <row r="211" spans="1:13" x14ac:dyDescent="0.25">
      <c r="A211" s="120" t="s">
        <v>24</v>
      </c>
      <c r="B211" s="21" t="s">
        <v>168</v>
      </c>
      <c r="C211" s="20" t="s">
        <v>11</v>
      </c>
      <c r="D211" s="21" t="s">
        <v>152</v>
      </c>
      <c r="E211" s="21">
        <f xml:space="preserve"> _xlfn.IFNA( 'Modelled costs'!$N$3, 0)</f>
        <v>0.5</v>
      </c>
      <c r="F211" s="21">
        <f xml:space="preserve"> _xlfn.IFNA( 'Modelled costs'!$N$3, 0)</f>
        <v>0.5</v>
      </c>
      <c r="G211" s="21">
        <f xml:space="preserve"> _xlfn.IFNA( 'Modelled costs'!$N$3, 0)</f>
        <v>0.5</v>
      </c>
      <c r="H211" s="21">
        <f xml:space="preserve"> _xlfn.IFNA( 'Modelled costs'!$N$3, 0)</f>
        <v>0.5</v>
      </c>
      <c r="I211" s="21">
        <f xml:space="preserve"> _xlfn.IFNA( 'Modelled costs'!$N$3, 0)</f>
        <v>0.5</v>
      </c>
      <c r="J211" s="20" t="s">
        <v>147</v>
      </c>
      <c r="K211" s="20" t="str">
        <f t="shared" si="19"/>
        <v>SVTC_WEIGHT_RDC_PR19CA012</v>
      </c>
      <c r="L211" s="23"/>
      <c r="M211" s="23"/>
    </row>
    <row r="212" spans="1:13" x14ac:dyDescent="0.25">
      <c r="A212" s="21" t="s">
        <v>35</v>
      </c>
      <c r="B212" s="21" t="s">
        <v>168</v>
      </c>
      <c r="C212" s="20" t="s">
        <v>11</v>
      </c>
      <c r="D212" s="21" t="s">
        <v>152</v>
      </c>
      <c r="E212" s="21">
        <f xml:space="preserve"> _xlfn.IFNA( 'Modelled costs'!$N$3, 0)</f>
        <v>0.5</v>
      </c>
      <c r="F212" s="21">
        <f xml:space="preserve"> _xlfn.IFNA( 'Modelled costs'!$N$3, 0)</f>
        <v>0.5</v>
      </c>
      <c r="G212" s="21">
        <f xml:space="preserve"> _xlfn.IFNA( 'Modelled costs'!$N$3, 0)</f>
        <v>0.5</v>
      </c>
      <c r="H212" s="21">
        <f xml:space="preserve"> _xlfn.IFNA( 'Modelled costs'!$N$3, 0)</f>
        <v>0.5</v>
      </c>
      <c r="I212" s="21">
        <f xml:space="preserve"> _xlfn.IFNA( 'Modelled costs'!$N$3, 0)</f>
        <v>0.5</v>
      </c>
      <c r="J212" s="20" t="s">
        <v>147</v>
      </c>
      <c r="K212" s="20" t="str">
        <f t="shared" ref="K212:K285" si="20">A212&amp;B212</f>
        <v>SWBC_WEIGHT_RDC_PR19CA012</v>
      </c>
      <c r="L212" s="23"/>
      <c r="M212" s="23"/>
    </row>
    <row r="213" spans="1:13" x14ac:dyDescent="0.25">
      <c r="A213" s="21" t="s">
        <v>25</v>
      </c>
      <c r="B213" s="21" t="s">
        <v>168</v>
      </c>
      <c r="C213" s="20" t="s">
        <v>11</v>
      </c>
      <c r="D213" s="21" t="s">
        <v>152</v>
      </c>
      <c r="E213" s="21">
        <f xml:space="preserve"> _xlfn.IFNA( 'Modelled costs'!$N$3, 0)</f>
        <v>0.5</v>
      </c>
      <c r="F213" s="21">
        <f xml:space="preserve"> _xlfn.IFNA( 'Modelled costs'!$N$3, 0)</f>
        <v>0.5</v>
      </c>
      <c r="G213" s="21">
        <f xml:space="preserve"> _xlfn.IFNA( 'Modelled costs'!$N$3, 0)</f>
        <v>0.5</v>
      </c>
      <c r="H213" s="21">
        <f xml:space="preserve"> _xlfn.IFNA( 'Modelled costs'!$N$3, 0)</f>
        <v>0.5</v>
      </c>
      <c r="I213" s="21">
        <f xml:space="preserve"> _xlfn.IFNA( 'Modelled costs'!$N$3, 0)</f>
        <v>0.5</v>
      </c>
      <c r="J213" s="20" t="s">
        <v>147</v>
      </c>
      <c r="K213" s="20" t="str">
        <f t="shared" si="20"/>
        <v>TMSC_WEIGHT_RDC_PR19CA012</v>
      </c>
      <c r="L213" s="23"/>
      <c r="M213" s="23"/>
    </row>
    <row r="214" spans="1:13" x14ac:dyDescent="0.25">
      <c r="A214" s="21" t="s">
        <v>41</v>
      </c>
      <c r="B214" s="21" t="s">
        <v>168</v>
      </c>
      <c r="C214" s="20" t="s">
        <v>11</v>
      </c>
      <c r="D214" s="21" t="s">
        <v>152</v>
      </c>
      <c r="E214" s="21">
        <f xml:space="preserve"> _xlfn.IFNA( 'Modelled costs'!$N$3, 0)</f>
        <v>0.5</v>
      </c>
      <c r="F214" s="21">
        <f xml:space="preserve"> _xlfn.IFNA( 'Modelled costs'!$N$3, 0)</f>
        <v>0.5</v>
      </c>
      <c r="G214" s="21">
        <f xml:space="preserve"> _xlfn.IFNA( 'Modelled costs'!$N$3, 0)</f>
        <v>0.5</v>
      </c>
      <c r="H214" s="21">
        <f xml:space="preserve"> _xlfn.IFNA( 'Modelled costs'!$N$3, 0)</f>
        <v>0.5</v>
      </c>
      <c r="I214" s="21">
        <f xml:space="preserve"> _xlfn.IFNA( 'Modelled costs'!$N$3, 0)</f>
        <v>0.5</v>
      </c>
      <c r="J214" s="20" t="s">
        <v>147</v>
      </c>
      <c r="K214" s="20" t="str">
        <f t="shared" si="20"/>
        <v>WSHC_WEIGHT_RDC_PR19CA012</v>
      </c>
      <c r="L214" s="23"/>
      <c r="M214" s="23"/>
    </row>
    <row r="215" spans="1:13" x14ac:dyDescent="0.25">
      <c r="A215" s="21" t="s">
        <v>26</v>
      </c>
      <c r="B215" s="21" t="s">
        <v>168</v>
      </c>
      <c r="C215" s="20" t="s">
        <v>11</v>
      </c>
      <c r="D215" s="21" t="s">
        <v>152</v>
      </c>
      <c r="E215" s="21">
        <f xml:space="preserve"> _xlfn.IFNA( 'Modelled costs'!$N$3, 0)</f>
        <v>0.5</v>
      </c>
      <c r="F215" s="21">
        <f xml:space="preserve"> _xlfn.IFNA( 'Modelled costs'!$N$3, 0)</f>
        <v>0.5</v>
      </c>
      <c r="G215" s="21">
        <f xml:space="preserve"> _xlfn.IFNA( 'Modelled costs'!$N$3, 0)</f>
        <v>0.5</v>
      </c>
      <c r="H215" s="21">
        <f xml:space="preserve"> _xlfn.IFNA( 'Modelled costs'!$N$3, 0)</f>
        <v>0.5</v>
      </c>
      <c r="I215" s="21">
        <f xml:space="preserve"> _xlfn.IFNA( 'Modelled costs'!$N$3, 0)</f>
        <v>0.5</v>
      </c>
      <c r="J215" s="20" t="s">
        <v>147</v>
      </c>
      <c r="K215" s="20" t="str">
        <f t="shared" si="20"/>
        <v>WSXC_WEIGHT_RDC_PR19CA012</v>
      </c>
      <c r="L215" s="23"/>
      <c r="M215" s="23"/>
    </row>
    <row r="216" spans="1:13" x14ac:dyDescent="0.25">
      <c r="A216" s="21" t="s">
        <v>27</v>
      </c>
      <c r="B216" s="21" t="s">
        <v>168</v>
      </c>
      <c r="C216" s="20" t="s">
        <v>11</v>
      </c>
      <c r="D216" s="21" t="s">
        <v>152</v>
      </c>
      <c r="E216" s="21">
        <f xml:space="preserve"> _xlfn.IFNA( 'Modelled costs'!$N$3, 0)</f>
        <v>0.5</v>
      </c>
      <c r="F216" s="21">
        <f xml:space="preserve"> _xlfn.IFNA( 'Modelled costs'!$N$3, 0)</f>
        <v>0.5</v>
      </c>
      <c r="G216" s="21">
        <f xml:space="preserve"> _xlfn.IFNA( 'Modelled costs'!$N$3, 0)</f>
        <v>0.5</v>
      </c>
      <c r="H216" s="21">
        <f xml:space="preserve"> _xlfn.IFNA( 'Modelled costs'!$N$3, 0)</f>
        <v>0.5</v>
      </c>
      <c r="I216" s="21">
        <f xml:space="preserve"> _xlfn.IFNA( 'Modelled costs'!$N$3, 0)</f>
        <v>0.5</v>
      </c>
      <c r="J216" s="20" t="s">
        <v>147</v>
      </c>
      <c r="K216" s="20" t="str">
        <f t="shared" si="20"/>
        <v>YKYC_WEIGHT_RDC_PR19CA012</v>
      </c>
      <c r="L216" s="23"/>
      <c r="M216" s="23"/>
    </row>
    <row r="217" spans="1:13" x14ac:dyDescent="0.25">
      <c r="A217" s="21" t="s">
        <v>28</v>
      </c>
      <c r="B217" s="21" t="s">
        <v>168</v>
      </c>
      <c r="C217" s="20" t="s">
        <v>11</v>
      </c>
      <c r="D217" s="21" t="s">
        <v>152</v>
      </c>
      <c r="E217" s="21">
        <f xml:space="preserve"> _xlfn.IFNA( 'Modelled costs'!$N$3, 0)</f>
        <v>0.5</v>
      </c>
      <c r="F217" s="21">
        <f xml:space="preserve"> _xlfn.IFNA( 'Modelled costs'!$N$3, 0)</f>
        <v>0.5</v>
      </c>
      <c r="G217" s="21">
        <f xml:space="preserve"> _xlfn.IFNA( 'Modelled costs'!$N$3, 0)</f>
        <v>0.5</v>
      </c>
      <c r="H217" s="21">
        <f xml:space="preserve"> _xlfn.IFNA( 'Modelled costs'!$N$3, 0)</f>
        <v>0.5</v>
      </c>
      <c r="I217" s="21">
        <f xml:space="preserve"> _xlfn.IFNA( 'Modelled costs'!$N$3, 0)</f>
        <v>0.5</v>
      </c>
      <c r="J217" s="20" t="s">
        <v>147</v>
      </c>
      <c r="K217" s="20" t="str">
        <f t="shared" si="20"/>
        <v>AFWC_WEIGHT_RDC_PR19CA012</v>
      </c>
      <c r="L217" s="23"/>
      <c r="M217" s="23"/>
    </row>
    <row r="218" spans="1:13" x14ac:dyDescent="0.25">
      <c r="A218" s="21" t="s">
        <v>29</v>
      </c>
      <c r="B218" s="21" t="s">
        <v>168</v>
      </c>
      <c r="C218" s="20" t="s">
        <v>11</v>
      </c>
      <c r="D218" s="21" t="s">
        <v>152</v>
      </c>
      <c r="E218" s="21">
        <f xml:space="preserve"> _xlfn.IFNA( 'Modelled costs'!$N$3, 0)</f>
        <v>0.5</v>
      </c>
      <c r="F218" s="21">
        <f xml:space="preserve"> _xlfn.IFNA( 'Modelled costs'!$N$3, 0)</f>
        <v>0.5</v>
      </c>
      <c r="G218" s="21">
        <f xml:space="preserve"> _xlfn.IFNA( 'Modelled costs'!$N$3, 0)</f>
        <v>0.5</v>
      </c>
      <c r="H218" s="21">
        <f xml:space="preserve"> _xlfn.IFNA( 'Modelled costs'!$N$3, 0)</f>
        <v>0.5</v>
      </c>
      <c r="I218" s="21">
        <f xml:space="preserve"> _xlfn.IFNA( 'Modelled costs'!$N$3, 0)</f>
        <v>0.5</v>
      </c>
      <c r="J218" s="20" t="s">
        <v>147</v>
      </c>
      <c r="K218" s="20" t="str">
        <f t="shared" si="20"/>
        <v>BRLC_WEIGHT_RDC_PR19CA012</v>
      </c>
      <c r="L218" s="23"/>
      <c r="M218" s="23"/>
    </row>
    <row r="219" spans="1:13" x14ac:dyDescent="0.25">
      <c r="A219" s="21" t="s">
        <v>30</v>
      </c>
      <c r="B219" s="21" t="s">
        <v>168</v>
      </c>
      <c r="C219" s="20" t="s">
        <v>11</v>
      </c>
      <c r="D219" s="21" t="s">
        <v>152</v>
      </c>
      <c r="E219" s="21">
        <f xml:space="preserve"> _xlfn.IFNA( 'Modelled costs'!$N$3, 0)</f>
        <v>0.5</v>
      </c>
      <c r="F219" s="21">
        <f xml:space="preserve"> _xlfn.IFNA( 'Modelled costs'!$N$3, 0)</f>
        <v>0.5</v>
      </c>
      <c r="G219" s="21">
        <f xml:space="preserve"> _xlfn.IFNA( 'Modelled costs'!$N$3, 0)</f>
        <v>0.5</v>
      </c>
      <c r="H219" s="21">
        <f xml:space="preserve"> _xlfn.IFNA( 'Modelled costs'!$N$3, 0)</f>
        <v>0.5</v>
      </c>
      <c r="I219" s="21">
        <f xml:space="preserve"> _xlfn.IFNA( 'Modelled costs'!$N$3, 0)</f>
        <v>0.5</v>
      </c>
      <c r="J219" s="20" t="s">
        <v>147</v>
      </c>
      <c r="K219" s="20" t="str">
        <f t="shared" ref="K219" si="21">A219&amp;B219</f>
        <v>DVWC_WEIGHT_RDC_PR19CA012</v>
      </c>
      <c r="L219" s="23"/>
      <c r="M219" s="23"/>
    </row>
    <row r="220" spans="1:13" x14ac:dyDescent="0.25">
      <c r="A220" s="21" t="s">
        <v>31</v>
      </c>
      <c r="B220" s="21" t="s">
        <v>168</v>
      </c>
      <c r="C220" s="20" t="s">
        <v>11</v>
      </c>
      <c r="D220" s="21" t="s">
        <v>152</v>
      </c>
      <c r="E220" s="21">
        <f xml:space="preserve"> _xlfn.IFNA( 'Modelled costs'!$N$3, 0)</f>
        <v>0.5</v>
      </c>
      <c r="F220" s="21">
        <f xml:space="preserve"> _xlfn.IFNA( 'Modelled costs'!$N$3, 0)</f>
        <v>0.5</v>
      </c>
      <c r="G220" s="21">
        <f xml:space="preserve"> _xlfn.IFNA( 'Modelled costs'!$N$3, 0)</f>
        <v>0.5</v>
      </c>
      <c r="H220" s="21">
        <f xml:space="preserve"> _xlfn.IFNA( 'Modelled costs'!$N$3, 0)</f>
        <v>0.5</v>
      </c>
      <c r="I220" s="21">
        <f xml:space="preserve"> _xlfn.IFNA( 'Modelled costs'!$N$3, 0)</f>
        <v>0.5</v>
      </c>
      <c r="J220" s="20" t="s">
        <v>147</v>
      </c>
      <c r="K220" s="20" t="str">
        <f t="shared" si="20"/>
        <v>PRTC_WEIGHT_RDC_PR19CA012</v>
      </c>
      <c r="L220" s="23"/>
      <c r="M220" s="23"/>
    </row>
    <row r="221" spans="1:13" x14ac:dyDescent="0.25">
      <c r="A221" s="21" t="s">
        <v>32</v>
      </c>
      <c r="B221" s="21" t="s">
        <v>168</v>
      </c>
      <c r="C221" s="20" t="s">
        <v>11</v>
      </c>
      <c r="D221" s="21" t="s">
        <v>152</v>
      </c>
      <c r="E221" s="21">
        <f xml:space="preserve"> _xlfn.IFNA( 'Modelled costs'!$N$3, 0)</f>
        <v>0.5</v>
      </c>
      <c r="F221" s="21">
        <f xml:space="preserve"> _xlfn.IFNA( 'Modelled costs'!$N$3, 0)</f>
        <v>0.5</v>
      </c>
      <c r="G221" s="21">
        <f xml:space="preserve"> _xlfn.IFNA( 'Modelled costs'!$N$3, 0)</f>
        <v>0.5</v>
      </c>
      <c r="H221" s="21">
        <f xml:space="preserve"> _xlfn.IFNA( 'Modelled costs'!$N$3, 0)</f>
        <v>0.5</v>
      </c>
      <c r="I221" s="21">
        <f xml:space="preserve"> _xlfn.IFNA( 'Modelled costs'!$N$3, 0)</f>
        <v>0.5</v>
      </c>
      <c r="J221" s="20" t="s">
        <v>147</v>
      </c>
      <c r="K221" s="20" t="str">
        <f t="shared" si="20"/>
        <v>SESC_WEIGHT_RDC_PR19CA012</v>
      </c>
      <c r="L221" s="23"/>
      <c r="M221" s="23"/>
    </row>
    <row r="222" spans="1:13" x14ac:dyDescent="0.25">
      <c r="A222" s="21" t="s">
        <v>33</v>
      </c>
      <c r="B222" s="21" t="s">
        <v>168</v>
      </c>
      <c r="C222" s="20" t="s">
        <v>11</v>
      </c>
      <c r="D222" s="21" t="s">
        <v>152</v>
      </c>
      <c r="E222" s="21">
        <f xml:space="preserve"> _xlfn.IFNA( 'Modelled costs'!$N$3, 0)</f>
        <v>0.5</v>
      </c>
      <c r="F222" s="21">
        <f xml:space="preserve"> _xlfn.IFNA( 'Modelled costs'!$N$3, 0)</f>
        <v>0.5</v>
      </c>
      <c r="G222" s="21">
        <f xml:space="preserve"> _xlfn.IFNA( 'Modelled costs'!$N$3, 0)</f>
        <v>0.5</v>
      </c>
      <c r="H222" s="21">
        <f xml:space="preserve"> _xlfn.IFNA( 'Modelled costs'!$N$3, 0)</f>
        <v>0.5</v>
      </c>
      <c r="I222" s="21">
        <f xml:space="preserve"> _xlfn.IFNA( 'Modelled costs'!$N$3, 0)</f>
        <v>0.5</v>
      </c>
      <c r="J222" s="20" t="s">
        <v>147</v>
      </c>
      <c r="K222" s="20" t="str">
        <f t="shared" si="20"/>
        <v>SEWC_WEIGHT_RDC_PR19CA012</v>
      </c>
      <c r="L222" s="23"/>
      <c r="M222" s="23"/>
    </row>
    <row r="223" spans="1:13" x14ac:dyDescent="0.25">
      <c r="A223" s="21" t="s">
        <v>34</v>
      </c>
      <c r="B223" s="21" t="s">
        <v>168</v>
      </c>
      <c r="C223" s="20" t="s">
        <v>11</v>
      </c>
      <c r="D223" s="21" t="s">
        <v>152</v>
      </c>
      <c r="E223" s="21">
        <f xml:space="preserve"> _xlfn.IFNA( 'Modelled costs'!$N$3, 0)</f>
        <v>0.5</v>
      </c>
      <c r="F223" s="21">
        <f xml:space="preserve"> _xlfn.IFNA( 'Modelled costs'!$N$3, 0)</f>
        <v>0.5</v>
      </c>
      <c r="G223" s="21">
        <f xml:space="preserve"> _xlfn.IFNA( 'Modelled costs'!$N$3, 0)</f>
        <v>0.5</v>
      </c>
      <c r="H223" s="21">
        <f xml:space="preserve"> _xlfn.IFNA( 'Modelled costs'!$N$3, 0)</f>
        <v>0.5</v>
      </c>
      <c r="I223" s="21">
        <f xml:space="preserve"> _xlfn.IFNA( 'Modelled costs'!$N$3, 0)</f>
        <v>0.5</v>
      </c>
      <c r="J223" s="20" t="s">
        <v>147</v>
      </c>
      <c r="K223" s="20" t="str">
        <f t="shared" si="20"/>
        <v>SSCC_WEIGHT_RDC_PR19CA012</v>
      </c>
      <c r="L223" s="23"/>
      <c r="M223" s="23"/>
    </row>
    <row r="224" spans="1:13" x14ac:dyDescent="0.25">
      <c r="A224" s="120" t="s">
        <v>20</v>
      </c>
      <c r="B224" s="21" t="s">
        <v>169</v>
      </c>
      <c r="C224" s="20" t="s">
        <v>11</v>
      </c>
      <c r="D224" s="21" t="s">
        <v>152</v>
      </c>
      <c r="E224" s="21">
        <f xml:space="preserve"> _xlfn.IFNA('Modelled costs'!$P$3,0)</f>
        <v>0.33333333333333331</v>
      </c>
      <c r="F224" s="21">
        <f xml:space="preserve"> _xlfn.IFNA('Modelled costs'!$P$3,0)</f>
        <v>0.33333333333333331</v>
      </c>
      <c r="G224" s="21">
        <f xml:space="preserve"> _xlfn.IFNA('Modelled costs'!$P$3,0)</f>
        <v>0.33333333333333331</v>
      </c>
      <c r="H224" s="21">
        <f xml:space="preserve"> _xlfn.IFNA('Modelled costs'!$P$3,0)</f>
        <v>0.33333333333333331</v>
      </c>
      <c r="I224" s="21">
        <f xml:space="preserve"> _xlfn.IFNA('Modelled costs'!$P$3,0)</f>
        <v>0.33333333333333331</v>
      </c>
      <c r="J224" s="20" t="s">
        <v>148</v>
      </c>
      <c r="K224" s="20" t="str">
        <f t="shared" si="20"/>
        <v>ANHC_WEIGHT_TD_RTC_PR19CA012</v>
      </c>
      <c r="L224" s="23"/>
      <c r="M224" s="23"/>
    </row>
    <row r="225" spans="1:13" x14ac:dyDescent="0.25">
      <c r="A225" s="120" t="s">
        <v>157</v>
      </c>
      <c r="B225" s="21" t="s">
        <v>169</v>
      </c>
      <c r="C225" s="20" t="s">
        <v>11</v>
      </c>
      <c r="D225" s="21" t="s">
        <v>152</v>
      </c>
      <c r="E225" s="21">
        <f xml:space="preserve"> _xlfn.IFNA('Modelled costs'!$P$3,0)</f>
        <v>0.33333333333333331</v>
      </c>
      <c r="F225" s="21">
        <f xml:space="preserve"> _xlfn.IFNA('Modelled costs'!$P$3,0)</f>
        <v>0.33333333333333331</v>
      </c>
      <c r="G225" s="21">
        <f xml:space="preserve"> _xlfn.IFNA('Modelled costs'!$P$3,0)</f>
        <v>0.33333333333333331</v>
      </c>
      <c r="H225" s="21">
        <f xml:space="preserve"> _xlfn.IFNA('Modelled costs'!$P$3,0)</f>
        <v>0.33333333333333331</v>
      </c>
      <c r="I225" s="21">
        <f xml:space="preserve"> _xlfn.IFNA('Modelled costs'!$P$3,0)</f>
        <v>0.33333333333333331</v>
      </c>
      <c r="J225" s="20" t="s">
        <v>148</v>
      </c>
      <c r="K225" s="20" t="str">
        <f t="shared" si="20"/>
        <v>HDDC_WEIGHT_TD_RTC_PR19CA012</v>
      </c>
      <c r="L225" s="23"/>
      <c r="M225" s="23"/>
    </row>
    <row r="226" spans="1:13" x14ac:dyDescent="0.25">
      <c r="A226" s="120" t="s">
        <v>21</v>
      </c>
      <c r="B226" s="21" t="s">
        <v>169</v>
      </c>
      <c r="C226" s="20" t="s">
        <v>11</v>
      </c>
      <c r="D226" s="21" t="s">
        <v>152</v>
      </c>
      <c r="E226" s="21">
        <f xml:space="preserve"> _xlfn.IFNA('Modelled costs'!$P$3,0)</f>
        <v>0.33333333333333331</v>
      </c>
      <c r="F226" s="21">
        <f xml:space="preserve"> _xlfn.IFNA('Modelled costs'!$P$3,0)</f>
        <v>0.33333333333333331</v>
      </c>
      <c r="G226" s="21">
        <f xml:space="preserve"> _xlfn.IFNA('Modelled costs'!$P$3,0)</f>
        <v>0.33333333333333331</v>
      </c>
      <c r="H226" s="21">
        <f xml:space="preserve"> _xlfn.IFNA('Modelled costs'!$P$3,0)</f>
        <v>0.33333333333333331</v>
      </c>
      <c r="I226" s="21">
        <f xml:space="preserve"> _xlfn.IFNA('Modelled costs'!$P$3,0)</f>
        <v>0.33333333333333331</v>
      </c>
      <c r="J226" s="20" t="s">
        <v>148</v>
      </c>
      <c r="K226" s="20" t="str">
        <f t="shared" si="20"/>
        <v>NESC_WEIGHT_TD_RTC_PR19CA012</v>
      </c>
      <c r="L226" s="23"/>
      <c r="M226" s="23"/>
    </row>
    <row r="227" spans="1:13" x14ac:dyDescent="0.25">
      <c r="A227" s="120" t="s">
        <v>22</v>
      </c>
      <c r="B227" s="21" t="s">
        <v>169</v>
      </c>
      <c r="C227" s="20" t="s">
        <v>11</v>
      </c>
      <c r="D227" s="21" t="s">
        <v>152</v>
      </c>
      <c r="E227" s="21">
        <f xml:space="preserve"> _xlfn.IFNA('Modelled costs'!$P$3,0)</f>
        <v>0.33333333333333331</v>
      </c>
      <c r="F227" s="21">
        <f xml:space="preserve"> _xlfn.IFNA('Modelled costs'!$P$3,0)</f>
        <v>0.33333333333333331</v>
      </c>
      <c r="G227" s="21">
        <f xml:space="preserve"> _xlfn.IFNA('Modelled costs'!$P$3,0)</f>
        <v>0.33333333333333331</v>
      </c>
      <c r="H227" s="21">
        <f xml:space="preserve"> _xlfn.IFNA('Modelled costs'!$P$3,0)</f>
        <v>0.33333333333333331</v>
      </c>
      <c r="I227" s="21">
        <f xml:space="preserve"> _xlfn.IFNA('Modelled costs'!$P$3,0)</f>
        <v>0.33333333333333331</v>
      </c>
      <c r="J227" s="20" t="s">
        <v>148</v>
      </c>
      <c r="K227" s="20" t="str">
        <f t="shared" si="20"/>
        <v>NWTC_WEIGHT_TD_RTC_PR19CA012</v>
      </c>
      <c r="L227" s="23"/>
      <c r="M227" s="23"/>
    </row>
    <row r="228" spans="1:13" x14ac:dyDescent="0.25">
      <c r="A228" s="120" t="s">
        <v>23</v>
      </c>
      <c r="B228" s="21" t="s">
        <v>169</v>
      </c>
      <c r="C228" s="20" t="s">
        <v>11</v>
      </c>
      <c r="D228" s="21" t="s">
        <v>152</v>
      </c>
      <c r="E228" s="21">
        <f xml:space="preserve"> _xlfn.IFNA('Modelled costs'!$P$3,0)</f>
        <v>0.33333333333333331</v>
      </c>
      <c r="F228" s="21">
        <f xml:space="preserve"> _xlfn.IFNA('Modelled costs'!$P$3,0)</f>
        <v>0.33333333333333331</v>
      </c>
      <c r="G228" s="21">
        <f xml:space="preserve"> _xlfn.IFNA('Modelled costs'!$P$3,0)</f>
        <v>0.33333333333333331</v>
      </c>
      <c r="H228" s="21">
        <f xml:space="preserve"> _xlfn.IFNA('Modelled costs'!$P$3,0)</f>
        <v>0.33333333333333331</v>
      </c>
      <c r="I228" s="21">
        <f xml:space="preserve"> _xlfn.IFNA('Modelled costs'!$P$3,0)</f>
        <v>0.33333333333333331</v>
      </c>
      <c r="J228" s="20" t="s">
        <v>148</v>
      </c>
      <c r="K228" s="20" t="str">
        <f t="shared" si="20"/>
        <v>SRNC_WEIGHT_TD_RTC_PR19CA012</v>
      </c>
      <c r="L228" s="23"/>
      <c r="M228" s="23"/>
    </row>
    <row r="229" spans="1:13" x14ac:dyDescent="0.25">
      <c r="A229" s="120" t="s">
        <v>156</v>
      </c>
      <c r="B229" s="21" t="s">
        <v>169</v>
      </c>
      <c r="C229" s="20" t="s">
        <v>11</v>
      </c>
      <c r="D229" s="21" t="s">
        <v>152</v>
      </c>
      <c r="E229" s="21">
        <f xml:space="preserve"> _xlfn.IFNA('Modelled costs'!$P$3,0)</f>
        <v>0.33333333333333331</v>
      </c>
      <c r="F229" s="21">
        <f xml:space="preserve"> _xlfn.IFNA('Modelled costs'!$P$3,0)</f>
        <v>0.33333333333333331</v>
      </c>
      <c r="G229" s="21">
        <f xml:space="preserve"> _xlfn.IFNA('Modelled costs'!$P$3,0)</f>
        <v>0.33333333333333331</v>
      </c>
      <c r="H229" s="21">
        <f xml:space="preserve"> _xlfn.IFNA('Modelled costs'!$P$3,0)</f>
        <v>0.33333333333333331</v>
      </c>
      <c r="I229" s="21">
        <f xml:space="preserve"> _xlfn.IFNA('Modelled costs'!$P$3,0)</f>
        <v>0.33333333333333331</v>
      </c>
      <c r="J229" s="20" t="s">
        <v>148</v>
      </c>
      <c r="K229" s="20" t="str">
        <f t="shared" si="20"/>
        <v>SVEC_WEIGHT_TD_RTC_PR19CA012</v>
      </c>
      <c r="L229" s="23"/>
      <c r="M229" s="23"/>
    </row>
    <row r="230" spans="1:13" x14ac:dyDescent="0.25">
      <c r="A230" s="120" t="s">
        <v>232</v>
      </c>
      <c r="B230" s="21" t="s">
        <v>169</v>
      </c>
      <c r="C230" s="20" t="s">
        <v>11</v>
      </c>
      <c r="D230" s="21" t="s">
        <v>152</v>
      </c>
      <c r="E230" s="21">
        <f xml:space="preserve"> _xlfn.IFNA('Modelled costs'!$P$3,0)</f>
        <v>0.33333333333333331</v>
      </c>
      <c r="F230" s="21">
        <f xml:space="preserve"> _xlfn.IFNA('Modelled costs'!$P$3,0)</f>
        <v>0.33333333333333331</v>
      </c>
      <c r="G230" s="21">
        <f xml:space="preserve"> _xlfn.IFNA('Modelled costs'!$P$3,0)</f>
        <v>0.33333333333333331</v>
      </c>
      <c r="H230" s="21">
        <f xml:space="preserve"> _xlfn.IFNA('Modelled costs'!$P$3,0)</f>
        <v>0.33333333333333331</v>
      </c>
      <c r="I230" s="21">
        <f xml:space="preserve"> _xlfn.IFNA('Modelled costs'!$P$3,0)</f>
        <v>0.33333333333333331</v>
      </c>
      <c r="J230" s="20" t="s">
        <v>148</v>
      </c>
      <c r="K230" s="20" t="str">
        <f t="shared" ref="K230:K231" si="22">A230&amp;B230</f>
        <v>SVHC_WEIGHT_TD_RTC_PR19CA012</v>
      </c>
      <c r="L230" s="23"/>
      <c r="M230" s="23"/>
    </row>
    <row r="231" spans="1:13" x14ac:dyDescent="0.25">
      <c r="A231" s="120" t="s">
        <v>24</v>
      </c>
      <c r="B231" s="21" t="s">
        <v>169</v>
      </c>
      <c r="C231" s="20" t="s">
        <v>11</v>
      </c>
      <c r="D231" s="21" t="s">
        <v>152</v>
      </c>
      <c r="E231" s="21">
        <f xml:space="preserve"> _xlfn.IFNA('Modelled costs'!$P$3,0)</f>
        <v>0.33333333333333331</v>
      </c>
      <c r="F231" s="21">
        <f xml:space="preserve"> _xlfn.IFNA('Modelled costs'!$P$3,0)</f>
        <v>0.33333333333333331</v>
      </c>
      <c r="G231" s="21">
        <f xml:space="preserve"> _xlfn.IFNA('Modelled costs'!$P$3,0)</f>
        <v>0.33333333333333331</v>
      </c>
      <c r="H231" s="21">
        <f xml:space="preserve"> _xlfn.IFNA('Modelled costs'!$P$3,0)</f>
        <v>0.33333333333333331</v>
      </c>
      <c r="I231" s="21">
        <f xml:space="preserve"> _xlfn.IFNA('Modelled costs'!$P$3,0)</f>
        <v>0.33333333333333331</v>
      </c>
      <c r="J231" s="20" t="s">
        <v>148</v>
      </c>
      <c r="K231" s="20" t="str">
        <f t="shared" si="22"/>
        <v>SVTC_WEIGHT_TD_RTC_PR19CA012</v>
      </c>
      <c r="L231" s="23"/>
      <c r="M231" s="23"/>
    </row>
    <row r="232" spans="1:13" x14ac:dyDescent="0.25">
      <c r="A232" s="21" t="s">
        <v>35</v>
      </c>
      <c r="B232" s="21" t="s">
        <v>169</v>
      </c>
      <c r="C232" s="20" t="s">
        <v>11</v>
      </c>
      <c r="D232" s="21" t="s">
        <v>152</v>
      </c>
      <c r="E232" s="21">
        <f xml:space="preserve"> _xlfn.IFNA('Modelled costs'!$P$3,0)</f>
        <v>0.33333333333333331</v>
      </c>
      <c r="F232" s="21">
        <f xml:space="preserve"> _xlfn.IFNA('Modelled costs'!$P$3,0)</f>
        <v>0.33333333333333331</v>
      </c>
      <c r="G232" s="21">
        <f xml:space="preserve"> _xlfn.IFNA('Modelled costs'!$P$3,0)</f>
        <v>0.33333333333333331</v>
      </c>
      <c r="H232" s="21">
        <f xml:space="preserve"> _xlfn.IFNA('Modelled costs'!$P$3,0)</f>
        <v>0.33333333333333331</v>
      </c>
      <c r="I232" s="21">
        <f xml:space="preserve"> _xlfn.IFNA('Modelled costs'!$P$3,0)</f>
        <v>0.33333333333333331</v>
      </c>
      <c r="J232" s="20" t="s">
        <v>148</v>
      </c>
      <c r="K232" s="20" t="str">
        <f t="shared" si="20"/>
        <v>SWBC_WEIGHT_TD_RTC_PR19CA012</v>
      </c>
      <c r="L232" s="23"/>
      <c r="M232" s="23"/>
    </row>
    <row r="233" spans="1:13" x14ac:dyDescent="0.25">
      <c r="A233" s="21" t="s">
        <v>25</v>
      </c>
      <c r="B233" s="21" t="s">
        <v>169</v>
      </c>
      <c r="C233" s="20" t="s">
        <v>11</v>
      </c>
      <c r="D233" s="21" t="s">
        <v>152</v>
      </c>
      <c r="E233" s="21">
        <f xml:space="preserve"> _xlfn.IFNA('Modelled costs'!$P$3,0)</f>
        <v>0.33333333333333331</v>
      </c>
      <c r="F233" s="21">
        <f xml:space="preserve"> _xlfn.IFNA('Modelled costs'!$P$3,0)</f>
        <v>0.33333333333333331</v>
      </c>
      <c r="G233" s="21">
        <f xml:space="preserve"> _xlfn.IFNA('Modelled costs'!$P$3,0)</f>
        <v>0.33333333333333331</v>
      </c>
      <c r="H233" s="21">
        <f xml:space="preserve"> _xlfn.IFNA('Modelled costs'!$P$3,0)</f>
        <v>0.33333333333333331</v>
      </c>
      <c r="I233" s="21">
        <f xml:space="preserve"> _xlfn.IFNA('Modelled costs'!$P$3,0)</f>
        <v>0.33333333333333331</v>
      </c>
      <c r="J233" s="20" t="s">
        <v>148</v>
      </c>
      <c r="K233" s="20" t="str">
        <f t="shared" si="20"/>
        <v>TMSC_WEIGHT_TD_RTC_PR19CA012</v>
      </c>
      <c r="L233" s="23"/>
      <c r="M233" s="23"/>
    </row>
    <row r="234" spans="1:13" x14ac:dyDescent="0.25">
      <c r="A234" s="21" t="s">
        <v>41</v>
      </c>
      <c r="B234" s="21" t="s">
        <v>169</v>
      </c>
      <c r="C234" s="20" t="s">
        <v>11</v>
      </c>
      <c r="D234" s="21" t="s">
        <v>152</v>
      </c>
      <c r="E234" s="21">
        <f xml:space="preserve"> _xlfn.IFNA('Modelled costs'!$P$3,0)</f>
        <v>0.33333333333333331</v>
      </c>
      <c r="F234" s="21">
        <f xml:space="preserve"> _xlfn.IFNA('Modelled costs'!$P$3,0)</f>
        <v>0.33333333333333331</v>
      </c>
      <c r="G234" s="21">
        <f xml:space="preserve"> _xlfn.IFNA('Modelled costs'!$P$3,0)</f>
        <v>0.33333333333333331</v>
      </c>
      <c r="H234" s="21">
        <f xml:space="preserve"> _xlfn.IFNA('Modelled costs'!$P$3,0)</f>
        <v>0.33333333333333331</v>
      </c>
      <c r="I234" s="21">
        <f xml:space="preserve"> _xlfn.IFNA('Modelled costs'!$P$3,0)</f>
        <v>0.33333333333333331</v>
      </c>
      <c r="J234" s="20" t="s">
        <v>148</v>
      </c>
      <c r="K234" s="20" t="str">
        <f t="shared" si="20"/>
        <v>WSHC_WEIGHT_TD_RTC_PR19CA012</v>
      </c>
      <c r="L234" s="23"/>
      <c r="M234" s="23"/>
    </row>
    <row r="235" spans="1:13" x14ac:dyDescent="0.25">
      <c r="A235" s="21" t="s">
        <v>26</v>
      </c>
      <c r="B235" s="21" t="s">
        <v>169</v>
      </c>
      <c r="C235" s="20" t="s">
        <v>11</v>
      </c>
      <c r="D235" s="21" t="s">
        <v>152</v>
      </c>
      <c r="E235" s="21">
        <f xml:space="preserve"> _xlfn.IFNA('Modelled costs'!$P$3,0)</f>
        <v>0.33333333333333331</v>
      </c>
      <c r="F235" s="21">
        <f xml:space="preserve"> _xlfn.IFNA('Modelled costs'!$P$3,0)</f>
        <v>0.33333333333333331</v>
      </c>
      <c r="G235" s="21">
        <f xml:space="preserve"> _xlfn.IFNA('Modelled costs'!$P$3,0)</f>
        <v>0.33333333333333331</v>
      </c>
      <c r="H235" s="21">
        <f xml:space="preserve"> _xlfn.IFNA('Modelled costs'!$P$3,0)</f>
        <v>0.33333333333333331</v>
      </c>
      <c r="I235" s="21">
        <f xml:space="preserve"> _xlfn.IFNA('Modelled costs'!$P$3,0)</f>
        <v>0.33333333333333331</v>
      </c>
      <c r="J235" s="20" t="s">
        <v>148</v>
      </c>
      <c r="K235" s="20" t="str">
        <f t="shared" si="20"/>
        <v>WSXC_WEIGHT_TD_RTC_PR19CA012</v>
      </c>
      <c r="L235" s="23"/>
      <c r="M235" s="23"/>
    </row>
    <row r="236" spans="1:13" x14ac:dyDescent="0.25">
      <c r="A236" s="21" t="s">
        <v>27</v>
      </c>
      <c r="B236" s="21" t="s">
        <v>169</v>
      </c>
      <c r="C236" s="20" t="s">
        <v>11</v>
      </c>
      <c r="D236" s="21" t="s">
        <v>152</v>
      </c>
      <c r="E236" s="21">
        <f xml:space="preserve"> _xlfn.IFNA('Modelled costs'!$P$3,0)</f>
        <v>0.33333333333333331</v>
      </c>
      <c r="F236" s="21">
        <f xml:space="preserve"> _xlfn.IFNA('Modelled costs'!$P$3,0)</f>
        <v>0.33333333333333331</v>
      </c>
      <c r="G236" s="21">
        <f xml:space="preserve"> _xlfn.IFNA('Modelled costs'!$P$3,0)</f>
        <v>0.33333333333333331</v>
      </c>
      <c r="H236" s="21">
        <f xml:space="preserve"> _xlfn.IFNA('Modelled costs'!$P$3,0)</f>
        <v>0.33333333333333331</v>
      </c>
      <c r="I236" s="21">
        <f xml:space="preserve"> _xlfn.IFNA('Modelled costs'!$P$3,0)</f>
        <v>0.33333333333333331</v>
      </c>
      <c r="J236" s="20" t="s">
        <v>148</v>
      </c>
      <c r="K236" s="20" t="str">
        <f t="shared" si="20"/>
        <v>YKYC_WEIGHT_TD_RTC_PR19CA012</v>
      </c>
      <c r="L236" s="23"/>
      <c r="M236" s="23"/>
    </row>
    <row r="237" spans="1:13" x14ac:dyDescent="0.25">
      <c r="A237" s="21" t="s">
        <v>28</v>
      </c>
      <c r="B237" s="21" t="s">
        <v>169</v>
      </c>
      <c r="C237" s="20" t="s">
        <v>11</v>
      </c>
      <c r="D237" s="21" t="s">
        <v>152</v>
      </c>
      <c r="E237" s="21">
        <f xml:space="preserve"> _xlfn.IFNA('Modelled costs'!$P$3,0)</f>
        <v>0.33333333333333331</v>
      </c>
      <c r="F237" s="21">
        <f xml:space="preserve"> _xlfn.IFNA('Modelled costs'!$P$3,0)</f>
        <v>0.33333333333333331</v>
      </c>
      <c r="G237" s="21">
        <f xml:space="preserve"> _xlfn.IFNA('Modelled costs'!$P$3,0)</f>
        <v>0.33333333333333331</v>
      </c>
      <c r="H237" s="21">
        <f xml:space="preserve"> _xlfn.IFNA('Modelled costs'!$P$3,0)</f>
        <v>0.33333333333333331</v>
      </c>
      <c r="I237" s="21">
        <f xml:space="preserve"> _xlfn.IFNA('Modelled costs'!$P$3,0)</f>
        <v>0.33333333333333331</v>
      </c>
      <c r="J237" s="20" t="s">
        <v>148</v>
      </c>
      <c r="K237" s="20" t="str">
        <f t="shared" si="20"/>
        <v>AFWC_WEIGHT_TD_RTC_PR19CA012</v>
      </c>
      <c r="L237" s="23"/>
      <c r="M237" s="23"/>
    </row>
    <row r="238" spans="1:13" x14ac:dyDescent="0.25">
      <c r="A238" s="21" t="s">
        <v>29</v>
      </c>
      <c r="B238" s="21" t="s">
        <v>169</v>
      </c>
      <c r="C238" s="20" t="s">
        <v>11</v>
      </c>
      <c r="D238" s="21" t="s">
        <v>152</v>
      </c>
      <c r="E238" s="21">
        <f xml:space="preserve"> _xlfn.IFNA('Modelled costs'!$P$3,0)</f>
        <v>0.33333333333333331</v>
      </c>
      <c r="F238" s="21">
        <f xml:space="preserve"> _xlfn.IFNA('Modelled costs'!$P$3,0)</f>
        <v>0.33333333333333331</v>
      </c>
      <c r="G238" s="21">
        <f xml:space="preserve"> _xlfn.IFNA('Modelled costs'!$P$3,0)</f>
        <v>0.33333333333333331</v>
      </c>
      <c r="H238" s="21">
        <f xml:space="preserve"> _xlfn.IFNA('Modelled costs'!$P$3,0)</f>
        <v>0.33333333333333331</v>
      </c>
      <c r="I238" s="21">
        <f xml:space="preserve"> _xlfn.IFNA('Modelled costs'!$P$3,0)</f>
        <v>0.33333333333333331</v>
      </c>
      <c r="J238" s="20" t="s">
        <v>148</v>
      </c>
      <c r="K238" s="20" t="str">
        <f t="shared" si="20"/>
        <v>BRLC_WEIGHT_TD_RTC_PR19CA012</v>
      </c>
      <c r="L238" s="23"/>
      <c r="M238" s="23"/>
    </row>
    <row r="239" spans="1:13" x14ac:dyDescent="0.25">
      <c r="A239" s="21" t="s">
        <v>30</v>
      </c>
      <c r="B239" s="21" t="s">
        <v>169</v>
      </c>
      <c r="C239" s="20" t="s">
        <v>11</v>
      </c>
      <c r="D239" s="21" t="s">
        <v>152</v>
      </c>
      <c r="E239" s="21">
        <f xml:space="preserve"> _xlfn.IFNA('Modelled costs'!$P$3,0)</f>
        <v>0.33333333333333331</v>
      </c>
      <c r="F239" s="21">
        <f xml:space="preserve"> _xlfn.IFNA('Modelled costs'!$P$3,0)</f>
        <v>0.33333333333333331</v>
      </c>
      <c r="G239" s="21">
        <f xml:space="preserve"> _xlfn.IFNA('Modelled costs'!$P$3,0)</f>
        <v>0.33333333333333331</v>
      </c>
      <c r="H239" s="21">
        <f xml:space="preserve"> _xlfn.IFNA('Modelled costs'!$P$3,0)</f>
        <v>0.33333333333333331</v>
      </c>
      <c r="I239" s="21">
        <f xml:space="preserve"> _xlfn.IFNA('Modelled costs'!$P$3,0)</f>
        <v>0.33333333333333331</v>
      </c>
      <c r="J239" s="20" t="s">
        <v>148</v>
      </c>
      <c r="K239" s="20" t="str">
        <f t="shared" ref="K239" si="23">A239&amp;B239</f>
        <v>DVWC_WEIGHT_TD_RTC_PR19CA012</v>
      </c>
      <c r="L239" s="23"/>
      <c r="M239" s="23"/>
    </row>
    <row r="240" spans="1:13" x14ac:dyDescent="0.25">
      <c r="A240" s="21" t="s">
        <v>31</v>
      </c>
      <c r="B240" s="21" t="s">
        <v>169</v>
      </c>
      <c r="C240" s="20" t="s">
        <v>11</v>
      </c>
      <c r="D240" s="21" t="s">
        <v>152</v>
      </c>
      <c r="E240" s="21">
        <f xml:space="preserve"> _xlfn.IFNA('Modelled costs'!$P$3,0)</f>
        <v>0.33333333333333331</v>
      </c>
      <c r="F240" s="21">
        <f xml:space="preserve"> _xlfn.IFNA('Modelled costs'!$P$3,0)</f>
        <v>0.33333333333333331</v>
      </c>
      <c r="G240" s="21">
        <f xml:space="preserve"> _xlfn.IFNA('Modelled costs'!$P$3,0)</f>
        <v>0.33333333333333331</v>
      </c>
      <c r="H240" s="21">
        <f xml:space="preserve"> _xlfn.IFNA('Modelled costs'!$P$3,0)</f>
        <v>0.33333333333333331</v>
      </c>
      <c r="I240" s="21">
        <f xml:space="preserve"> _xlfn.IFNA('Modelled costs'!$P$3,0)</f>
        <v>0.33333333333333331</v>
      </c>
      <c r="J240" s="20" t="s">
        <v>148</v>
      </c>
      <c r="K240" s="20" t="str">
        <f t="shared" si="20"/>
        <v>PRTC_WEIGHT_TD_RTC_PR19CA012</v>
      </c>
      <c r="L240" s="23"/>
      <c r="M240" s="23"/>
    </row>
    <row r="241" spans="1:13" x14ac:dyDescent="0.25">
      <c r="A241" s="21" t="s">
        <v>32</v>
      </c>
      <c r="B241" s="21" t="s">
        <v>169</v>
      </c>
      <c r="C241" s="20" t="s">
        <v>11</v>
      </c>
      <c r="D241" s="21" t="s">
        <v>152</v>
      </c>
      <c r="E241" s="21">
        <f xml:space="preserve"> _xlfn.IFNA('Modelled costs'!$P$3,0)</f>
        <v>0.33333333333333331</v>
      </c>
      <c r="F241" s="21">
        <f xml:space="preserve"> _xlfn.IFNA('Modelled costs'!$P$3,0)</f>
        <v>0.33333333333333331</v>
      </c>
      <c r="G241" s="21">
        <f xml:space="preserve"> _xlfn.IFNA('Modelled costs'!$P$3,0)</f>
        <v>0.33333333333333331</v>
      </c>
      <c r="H241" s="21">
        <f xml:space="preserve"> _xlfn.IFNA('Modelled costs'!$P$3,0)</f>
        <v>0.33333333333333331</v>
      </c>
      <c r="I241" s="21">
        <f xml:space="preserve"> _xlfn.IFNA('Modelled costs'!$P$3,0)</f>
        <v>0.33333333333333331</v>
      </c>
      <c r="J241" s="20" t="s">
        <v>148</v>
      </c>
      <c r="K241" s="20" t="str">
        <f t="shared" si="20"/>
        <v>SESC_WEIGHT_TD_RTC_PR19CA012</v>
      </c>
      <c r="L241" s="23"/>
      <c r="M241" s="23"/>
    </row>
    <row r="242" spans="1:13" x14ac:dyDescent="0.25">
      <c r="A242" s="21" t="s">
        <v>33</v>
      </c>
      <c r="B242" s="21" t="s">
        <v>169</v>
      </c>
      <c r="C242" s="20" t="s">
        <v>11</v>
      </c>
      <c r="D242" s="21" t="s">
        <v>152</v>
      </c>
      <c r="E242" s="21">
        <f xml:space="preserve"> _xlfn.IFNA('Modelled costs'!$P$3,0)</f>
        <v>0.33333333333333331</v>
      </c>
      <c r="F242" s="21">
        <f xml:space="preserve"> _xlfn.IFNA('Modelled costs'!$P$3,0)</f>
        <v>0.33333333333333331</v>
      </c>
      <c r="G242" s="21">
        <f xml:space="preserve"> _xlfn.IFNA('Modelled costs'!$P$3,0)</f>
        <v>0.33333333333333331</v>
      </c>
      <c r="H242" s="21">
        <f xml:space="preserve"> _xlfn.IFNA('Modelled costs'!$P$3,0)</f>
        <v>0.33333333333333331</v>
      </c>
      <c r="I242" s="21">
        <f xml:space="preserve"> _xlfn.IFNA('Modelled costs'!$P$3,0)</f>
        <v>0.33333333333333331</v>
      </c>
      <c r="J242" s="20" t="s">
        <v>148</v>
      </c>
      <c r="K242" s="20" t="str">
        <f t="shared" si="20"/>
        <v>SEWC_WEIGHT_TD_RTC_PR19CA012</v>
      </c>
      <c r="L242" s="23"/>
      <c r="M242" s="23"/>
    </row>
    <row r="243" spans="1:13" x14ac:dyDescent="0.25">
      <c r="A243" s="21" t="s">
        <v>34</v>
      </c>
      <c r="B243" s="21" t="s">
        <v>169</v>
      </c>
      <c r="C243" s="20" t="s">
        <v>11</v>
      </c>
      <c r="D243" s="21" t="s">
        <v>152</v>
      </c>
      <c r="E243" s="21">
        <f xml:space="preserve"> _xlfn.IFNA('Modelled costs'!$P$3,0)</f>
        <v>0.33333333333333331</v>
      </c>
      <c r="F243" s="21">
        <f xml:space="preserve"> _xlfn.IFNA('Modelled costs'!$P$3,0)</f>
        <v>0.33333333333333331</v>
      </c>
      <c r="G243" s="21">
        <f xml:space="preserve"> _xlfn.IFNA('Modelled costs'!$P$3,0)</f>
        <v>0.33333333333333331</v>
      </c>
      <c r="H243" s="21">
        <f xml:space="preserve"> _xlfn.IFNA('Modelled costs'!$P$3,0)</f>
        <v>0.33333333333333331</v>
      </c>
      <c r="I243" s="21">
        <f xml:space="preserve"> _xlfn.IFNA('Modelled costs'!$P$3,0)</f>
        <v>0.33333333333333331</v>
      </c>
      <c r="J243" s="20" t="s">
        <v>148</v>
      </c>
      <c r="K243" s="20" t="str">
        <f t="shared" si="20"/>
        <v>SSCC_WEIGHT_TD_RTC_PR19CA012</v>
      </c>
      <c r="L243" s="23"/>
      <c r="M243" s="23"/>
    </row>
    <row r="244" spans="1:13" x14ac:dyDescent="0.25">
      <c r="A244" s="120" t="s">
        <v>20</v>
      </c>
      <c r="B244" s="21" t="s">
        <v>170</v>
      </c>
      <c r="C244" s="20" t="s">
        <v>11</v>
      </c>
      <c r="D244" s="21" t="s">
        <v>152</v>
      </c>
      <c r="E244" s="21">
        <f xml:space="preserve"> _xlfn.IFNA( 'Modelled costs'!$X$3,0)</f>
        <v>0.5</v>
      </c>
      <c r="F244" s="21">
        <f xml:space="preserve"> _xlfn.IFNA( 'Modelled costs'!$X$3,0)</f>
        <v>0.5</v>
      </c>
      <c r="G244" s="21">
        <f xml:space="preserve"> _xlfn.IFNA( 'Modelled costs'!$X$3,0)</f>
        <v>0.5</v>
      </c>
      <c r="H244" s="21">
        <f xml:space="preserve"> _xlfn.IFNA( 'Modelled costs'!$X$3,0)</f>
        <v>0.5</v>
      </c>
      <c r="I244" s="21">
        <f xml:space="preserve"> _xlfn.IFNA( 'Modelled costs'!$X$3,0)</f>
        <v>0.5</v>
      </c>
      <c r="J244" s="20" t="s">
        <v>149</v>
      </c>
      <c r="K244" s="20" t="str">
        <f t="shared" si="20"/>
        <v>ANHC_WEIGHT_BU_RTC_PR19CA012</v>
      </c>
      <c r="L244" s="23"/>
      <c r="M244" s="23"/>
    </row>
    <row r="245" spans="1:13" x14ac:dyDescent="0.25">
      <c r="A245" s="120" t="s">
        <v>157</v>
      </c>
      <c r="B245" s="21" t="s">
        <v>170</v>
      </c>
      <c r="C245" s="20" t="s">
        <v>11</v>
      </c>
      <c r="D245" s="21" t="s">
        <v>152</v>
      </c>
      <c r="E245" s="21">
        <f xml:space="preserve"> _xlfn.IFNA( 'Modelled costs'!$X$3,0)</f>
        <v>0.5</v>
      </c>
      <c r="F245" s="21">
        <f xml:space="preserve"> _xlfn.IFNA( 'Modelled costs'!$X$3,0)</f>
        <v>0.5</v>
      </c>
      <c r="G245" s="21">
        <f xml:space="preserve"> _xlfn.IFNA( 'Modelled costs'!$X$3,0)</f>
        <v>0.5</v>
      </c>
      <c r="H245" s="21">
        <f xml:space="preserve"> _xlfn.IFNA( 'Modelled costs'!$X$3,0)</f>
        <v>0.5</v>
      </c>
      <c r="I245" s="21">
        <f xml:space="preserve"> _xlfn.IFNA( 'Modelled costs'!$X$3,0)</f>
        <v>0.5</v>
      </c>
      <c r="J245" s="20" t="s">
        <v>149</v>
      </c>
      <c r="K245" s="20" t="str">
        <f t="shared" si="20"/>
        <v>HDDC_WEIGHT_BU_RTC_PR19CA012</v>
      </c>
      <c r="L245" s="23"/>
      <c r="M245" s="23"/>
    </row>
    <row r="246" spans="1:13" x14ac:dyDescent="0.25">
      <c r="A246" s="120" t="s">
        <v>21</v>
      </c>
      <c r="B246" s="21" t="s">
        <v>170</v>
      </c>
      <c r="C246" s="20" t="s">
        <v>11</v>
      </c>
      <c r="D246" s="21" t="s">
        <v>152</v>
      </c>
      <c r="E246" s="21">
        <f xml:space="preserve"> _xlfn.IFNA( 'Modelled costs'!$X$3,0)</f>
        <v>0.5</v>
      </c>
      <c r="F246" s="21">
        <f xml:space="preserve"> _xlfn.IFNA( 'Modelled costs'!$X$3,0)</f>
        <v>0.5</v>
      </c>
      <c r="G246" s="21">
        <f xml:space="preserve"> _xlfn.IFNA( 'Modelled costs'!$X$3,0)</f>
        <v>0.5</v>
      </c>
      <c r="H246" s="21">
        <f xml:space="preserve"> _xlfn.IFNA( 'Modelled costs'!$X$3,0)</f>
        <v>0.5</v>
      </c>
      <c r="I246" s="21">
        <f xml:space="preserve"> _xlfn.IFNA( 'Modelled costs'!$X$3,0)</f>
        <v>0.5</v>
      </c>
      <c r="J246" s="20" t="s">
        <v>149</v>
      </c>
      <c r="K246" s="20" t="str">
        <f t="shared" si="20"/>
        <v>NESC_WEIGHT_BU_RTC_PR19CA012</v>
      </c>
      <c r="L246" s="23"/>
      <c r="M246" s="23"/>
    </row>
    <row r="247" spans="1:13" x14ac:dyDescent="0.25">
      <c r="A247" s="120" t="s">
        <v>22</v>
      </c>
      <c r="B247" s="21" t="s">
        <v>170</v>
      </c>
      <c r="C247" s="20" t="s">
        <v>11</v>
      </c>
      <c r="D247" s="21" t="s">
        <v>152</v>
      </c>
      <c r="E247" s="21">
        <f xml:space="preserve"> _xlfn.IFNA( 'Modelled costs'!$X$3,0)</f>
        <v>0.5</v>
      </c>
      <c r="F247" s="21">
        <f xml:space="preserve"> _xlfn.IFNA( 'Modelled costs'!$X$3,0)</f>
        <v>0.5</v>
      </c>
      <c r="G247" s="21">
        <f xml:space="preserve"> _xlfn.IFNA( 'Modelled costs'!$X$3,0)</f>
        <v>0.5</v>
      </c>
      <c r="H247" s="21">
        <f xml:space="preserve"> _xlfn.IFNA( 'Modelled costs'!$X$3,0)</f>
        <v>0.5</v>
      </c>
      <c r="I247" s="21">
        <f xml:space="preserve"> _xlfn.IFNA( 'Modelled costs'!$X$3,0)</f>
        <v>0.5</v>
      </c>
      <c r="J247" s="20" t="s">
        <v>149</v>
      </c>
      <c r="K247" s="20" t="str">
        <f t="shared" si="20"/>
        <v>NWTC_WEIGHT_BU_RTC_PR19CA012</v>
      </c>
      <c r="L247" s="23"/>
      <c r="M247" s="23"/>
    </row>
    <row r="248" spans="1:13" x14ac:dyDescent="0.25">
      <c r="A248" s="120" t="s">
        <v>23</v>
      </c>
      <c r="B248" s="21" t="s">
        <v>170</v>
      </c>
      <c r="C248" s="20" t="s">
        <v>11</v>
      </c>
      <c r="D248" s="21" t="s">
        <v>152</v>
      </c>
      <c r="E248" s="21">
        <f xml:space="preserve"> _xlfn.IFNA( 'Modelled costs'!$X$3,0)</f>
        <v>0.5</v>
      </c>
      <c r="F248" s="21">
        <f xml:space="preserve"> _xlfn.IFNA( 'Modelled costs'!$X$3,0)</f>
        <v>0.5</v>
      </c>
      <c r="G248" s="21">
        <f xml:space="preserve"> _xlfn.IFNA( 'Modelled costs'!$X$3,0)</f>
        <v>0.5</v>
      </c>
      <c r="H248" s="21">
        <f xml:space="preserve"> _xlfn.IFNA( 'Modelled costs'!$X$3,0)</f>
        <v>0.5</v>
      </c>
      <c r="I248" s="21">
        <f xml:space="preserve"> _xlfn.IFNA( 'Modelled costs'!$X$3,0)</f>
        <v>0.5</v>
      </c>
      <c r="J248" s="20" t="s">
        <v>149</v>
      </c>
      <c r="K248" s="20" t="str">
        <f t="shared" si="20"/>
        <v>SRNC_WEIGHT_BU_RTC_PR19CA012</v>
      </c>
      <c r="L248" s="23"/>
      <c r="M248" s="23"/>
    </row>
    <row r="249" spans="1:13" x14ac:dyDescent="0.25">
      <c r="A249" s="120" t="s">
        <v>156</v>
      </c>
      <c r="B249" s="21" t="s">
        <v>170</v>
      </c>
      <c r="C249" s="20" t="s">
        <v>11</v>
      </c>
      <c r="D249" s="21" t="s">
        <v>152</v>
      </c>
      <c r="E249" s="21">
        <f xml:space="preserve"> _xlfn.IFNA( 'Modelled costs'!$X$3,0)</f>
        <v>0.5</v>
      </c>
      <c r="F249" s="21">
        <f xml:space="preserve"> _xlfn.IFNA( 'Modelled costs'!$X$3,0)</f>
        <v>0.5</v>
      </c>
      <c r="G249" s="21">
        <f xml:space="preserve"> _xlfn.IFNA( 'Modelled costs'!$X$3,0)</f>
        <v>0.5</v>
      </c>
      <c r="H249" s="21">
        <f xml:space="preserve"> _xlfn.IFNA( 'Modelled costs'!$X$3,0)</f>
        <v>0.5</v>
      </c>
      <c r="I249" s="21">
        <f xml:space="preserve"> _xlfn.IFNA( 'Modelled costs'!$X$3,0)</f>
        <v>0.5</v>
      </c>
      <c r="J249" s="20" t="s">
        <v>149</v>
      </c>
      <c r="K249" s="20" t="str">
        <f t="shared" si="20"/>
        <v>SVEC_WEIGHT_BU_RTC_PR19CA012</v>
      </c>
      <c r="L249" s="23"/>
      <c r="M249" s="23"/>
    </row>
    <row r="250" spans="1:13" x14ac:dyDescent="0.25">
      <c r="A250" s="120" t="s">
        <v>232</v>
      </c>
      <c r="B250" s="21" t="s">
        <v>170</v>
      </c>
      <c r="C250" s="20" t="s">
        <v>11</v>
      </c>
      <c r="D250" s="21" t="s">
        <v>152</v>
      </c>
      <c r="E250" s="21">
        <f xml:space="preserve"> _xlfn.IFNA( 'Modelled costs'!$X$3,0)</f>
        <v>0.5</v>
      </c>
      <c r="F250" s="21">
        <f xml:space="preserve"> _xlfn.IFNA( 'Modelled costs'!$X$3,0)</f>
        <v>0.5</v>
      </c>
      <c r="G250" s="21">
        <f xml:space="preserve"> _xlfn.IFNA( 'Modelled costs'!$X$3,0)</f>
        <v>0.5</v>
      </c>
      <c r="H250" s="21">
        <f xml:space="preserve"> _xlfn.IFNA( 'Modelled costs'!$X$3,0)</f>
        <v>0.5</v>
      </c>
      <c r="I250" s="21">
        <f xml:space="preserve"> _xlfn.IFNA( 'Modelled costs'!$X$3,0)</f>
        <v>0.5</v>
      </c>
      <c r="J250" s="20" t="s">
        <v>149</v>
      </c>
      <c r="K250" s="20" t="str">
        <f t="shared" ref="K250:K251" si="24">A250&amp;B250</f>
        <v>SVHC_WEIGHT_BU_RTC_PR19CA012</v>
      </c>
      <c r="L250" s="23"/>
      <c r="M250" s="23"/>
    </row>
    <row r="251" spans="1:13" x14ac:dyDescent="0.25">
      <c r="A251" s="120" t="s">
        <v>24</v>
      </c>
      <c r="B251" s="21" t="s">
        <v>170</v>
      </c>
      <c r="C251" s="20" t="s">
        <v>11</v>
      </c>
      <c r="D251" s="21" t="s">
        <v>152</v>
      </c>
      <c r="E251" s="21">
        <f xml:space="preserve"> _xlfn.IFNA( 'Modelled costs'!$X$3,0)</f>
        <v>0.5</v>
      </c>
      <c r="F251" s="21">
        <f xml:space="preserve"> _xlfn.IFNA( 'Modelled costs'!$X$3,0)</f>
        <v>0.5</v>
      </c>
      <c r="G251" s="21">
        <f xml:space="preserve"> _xlfn.IFNA( 'Modelled costs'!$X$3,0)</f>
        <v>0.5</v>
      </c>
      <c r="H251" s="21">
        <f xml:space="preserve"> _xlfn.IFNA( 'Modelled costs'!$X$3,0)</f>
        <v>0.5</v>
      </c>
      <c r="I251" s="21">
        <f xml:space="preserve"> _xlfn.IFNA( 'Modelled costs'!$X$3,0)</f>
        <v>0.5</v>
      </c>
      <c r="J251" s="20" t="s">
        <v>149</v>
      </c>
      <c r="K251" s="20" t="str">
        <f t="shared" si="24"/>
        <v>SVTC_WEIGHT_BU_RTC_PR19CA012</v>
      </c>
      <c r="L251" s="23"/>
      <c r="M251" s="23"/>
    </row>
    <row r="252" spans="1:13" x14ac:dyDescent="0.25">
      <c r="A252" s="21" t="s">
        <v>35</v>
      </c>
      <c r="B252" s="21" t="s">
        <v>170</v>
      </c>
      <c r="C252" s="20" t="s">
        <v>11</v>
      </c>
      <c r="D252" s="21" t="s">
        <v>152</v>
      </c>
      <c r="E252" s="21">
        <f xml:space="preserve"> _xlfn.IFNA( 'Modelled costs'!$X$3,0)</f>
        <v>0.5</v>
      </c>
      <c r="F252" s="21">
        <f xml:space="preserve"> _xlfn.IFNA( 'Modelled costs'!$X$3,0)</f>
        <v>0.5</v>
      </c>
      <c r="G252" s="21">
        <f xml:space="preserve"> _xlfn.IFNA( 'Modelled costs'!$X$3,0)</f>
        <v>0.5</v>
      </c>
      <c r="H252" s="21">
        <f xml:space="preserve"> _xlfn.IFNA( 'Modelled costs'!$X$3,0)</f>
        <v>0.5</v>
      </c>
      <c r="I252" s="21">
        <f xml:space="preserve"> _xlfn.IFNA( 'Modelled costs'!$X$3,0)</f>
        <v>0.5</v>
      </c>
      <c r="J252" s="20" t="s">
        <v>149</v>
      </c>
      <c r="K252" s="20" t="str">
        <f t="shared" si="20"/>
        <v>SWBC_WEIGHT_BU_RTC_PR19CA012</v>
      </c>
      <c r="L252" s="23"/>
      <c r="M252" s="23"/>
    </row>
    <row r="253" spans="1:13" x14ac:dyDescent="0.25">
      <c r="A253" s="21" t="s">
        <v>25</v>
      </c>
      <c r="B253" s="21" t="s">
        <v>170</v>
      </c>
      <c r="C253" s="20" t="s">
        <v>11</v>
      </c>
      <c r="D253" s="21" t="s">
        <v>152</v>
      </c>
      <c r="E253" s="21">
        <f xml:space="preserve"> _xlfn.IFNA( 'Modelled costs'!$X$3,0)</f>
        <v>0.5</v>
      </c>
      <c r="F253" s="21">
        <f xml:space="preserve"> _xlfn.IFNA( 'Modelled costs'!$X$3,0)</f>
        <v>0.5</v>
      </c>
      <c r="G253" s="21">
        <f xml:space="preserve"> _xlfn.IFNA( 'Modelled costs'!$X$3,0)</f>
        <v>0.5</v>
      </c>
      <c r="H253" s="21">
        <f xml:space="preserve"> _xlfn.IFNA( 'Modelled costs'!$X$3,0)</f>
        <v>0.5</v>
      </c>
      <c r="I253" s="21">
        <f xml:space="preserve"> _xlfn.IFNA( 'Modelled costs'!$X$3,0)</f>
        <v>0.5</v>
      </c>
      <c r="J253" s="20" t="s">
        <v>149</v>
      </c>
      <c r="K253" s="20" t="str">
        <f t="shared" si="20"/>
        <v>TMSC_WEIGHT_BU_RTC_PR19CA012</v>
      </c>
      <c r="L253" s="23"/>
      <c r="M253" s="23"/>
    </row>
    <row r="254" spans="1:13" x14ac:dyDescent="0.25">
      <c r="A254" s="21" t="s">
        <v>41</v>
      </c>
      <c r="B254" s="21" t="s">
        <v>170</v>
      </c>
      <c r="C254" s="20" t="s">
        <v>11</v>
      </c>
      <c r="D254" s="21" t="s">
        <v>152</v>
      </c>
      <c r="E254" s="21">
        <f xml:space="preserve"> _xlfn.IFNA( 'Modelled costs'!$X$3,0)</f>
        <v>0.5</v>
      </c>
      <c r="F254" s="21">
        <f xml:space="preserve"> _xlfn.IFNA( 'Modelled costs'!$X$3,0)</f>
        <v>0.5</v>
      </c>
      <c r="G254" s="21">
        <f xml:space="preserve"> _xlfn.IFNA( 'Modelled costs'!$X$3,0)</f>
        <v>0.5</v>
      </c>
      <c r="H254" s="21">
        <f xml:space="preserve"> _xlfn.IFNA( 'Modelled costs'!$X$3,0)</f>
        <v>0.5</v>
      </c>
      <c r="I254" s="21">
        <f xml:space="preserve"> _xlfn.IFNA( 'Modelled costs'!$X$3,0)</f>
        <v>0.5</v>
      </c>
      <c r="J254" s="20" t="s">
        <v>149</v>
      </c>
      <c r="K254" s="20" t="str">
        <f t="shared" si="20"/>
        <v>WSHC_WEIGHT_BU_RTC_PR19CA012</v>
      </c>
      <c r="L254" s="23"/>
      <c r="M254" s="23"/>
    </row>
    <row r="255" spans="1:13" x14ac:dyDescent="0.25">
      <c r="A255" s="21" t="s">
        <v>26</v>
      </c>
      <c r="B255" s="21" t="s">
        <v>170</v>
      </c>
      <c r="C255" s="20" t="s">
        <v>11</v>
      </c>
      <c r="D255" s="21" t="s">
        <v>152</v>
      </c>
      <c r="E255" s="21">
        <f xml:space="preserve"> _xlfn.IFNA( 'Modelled costs'!$X$3,0)</f>
        <v>0.5</v>
      </c>
      <c r="F255" s="21">
        <f xml:space="preserve"> _xlfn.IFNA( 'Modelled costs'!$X$3,0)</f>
        <v>0.5</v>
      </c>
      <c r="G255" s="21">
        <f xml:space="preserve"> _xlfn.IFNA( 'Modelled costs'!$X$3,0)</f>
        <v>0.5</v>
      </c>
      <c r="H255" s="21">
        <f xml:space="preserve"> _xlfn.IFNA( 'Modelled costs'!$X$3,0)</f>
        <v>0.5</v>
      </c>
      <c r="I255" s="21">
        <f xml:space="preserve"> _xlfn.IFNA( 'Modelled costs'!$X$3,0)</f>
        <v>0.5</v>
      </c>
      <c r="J255" s="20" t="s">
        <v>149</v>
      </c>
      <c r="K255" s="20" t="str">
        <f t="shared" si="20"/>
        <v>WSXC_WEIGHT_BU_RTC_PR19CA012</v>
      </c>
      <c r="L255" s="23"/>
      <c r="M255" s="23"/>
    </row>
    <row r="256" spans="1:13" x14ac:dyDescent="0.25">
      <c r="A256" s="21" t="s">
        <v>27</v>
      </c>
      <c r="B256" s="21" t="s">
        <v>170</v>
      </c>
      <c r="C256" s="20" t="s">
        <v>11</v>
      </c>
      <c r="D256" s="21" t="s">
        <v>152</v>
      </c>
      <c r="E256" s="21">
        <f xml:space="preserve"> _xlfn.IFNA( 'Modelled costs'!$X$3,0)</f>
        <v>0.5</v>
      </c>
      <c r="F256" s="21">
        <f xml:space="preserve"> _xlfn.IFNA( 'Modelled costs'!$X$3,0)</f>
        <v>0.5</v>
      </c>
      <c r="G256" s="21">
        <f xml:space="preserve"> _xlfn.IFNA( 'Modelled costs'!$X$3,0)</f>
        <v>0.5</v>
      </c>
      <c r="H256" s="21">
        <f xml:space="preserve"> _xlfn.IFNA( 'Modelled costs'!$X$3,0)</f>
        <v>0.5</v>
      </c>
      <c r="I256" s="21">
        <f xml:space="preserve"> _xlfn.IFNA( 'Modelled costs'!$X$3,0)</f>
        <v>0.5</v>
      </c>
      <c r="J256" s="20" t="s">
        <v>149</v>
      </c>
      <c r="K256" s="20" t="str">
        <f t="shared" si="20"/>
        <v>YKYC_WEIGHT_BU_RTC_PR19CA012</v>
      </c>
      <c r="L256" s="23"/>
      <c r="M256" s="23"/>
    </row>
    <row r="257" spans="1:13" x14ac:dyDescent="0.25">
      <c r="A257" s="21" t="s">
        <v>28</v>
      </c>
      <c r="B257" s="21" t="s">
        <v>170</v>
      </c>
      <c r="C257" s="20" t="s">
        <v>11</v>
      </c>
      <c r="D257" s="21" t="s">
        <v>152</v>
      </c>
      <c r="E257" s="21">
        <f xml:space="preserve"> _xlfn.IFNA( 'Modelled costs'!$X$3,0)</f>
        <v>0.5</v>
      </c>
      <c r="F257" s="21">
        <f xml:space="preserve"> _xlfn.IFNA( 'Modelled costs'!$X$3,0)</f>
        <v>0.5</v>
      </c>
      <c r="G257" s="21">
        <f xml:space="preserve"> _xlfn.IFNA( 'Modelled costs'!$X$3,0)</f>
        <v>0.5</v>
      </c>
      <c r="H257" s="21">
        <f xml:space="preserve"> _xlfn.IFNA( 'Modelled costs'!$X$3,0)</f>
        <v>0.5</v>
      </c>
      <c r="I257" s="21">
        <f xml:space="preserve"> _xlfn.IFNA( 'Modelled costs'!$X$3,0)</f>
        <v>0.5</v>
      </c>
      <c r="J257" s="20" t="s">
        <v>149</v>
      </c>
      <c r="K257" s="20" t="str">
        <f t="shared" si="20"/>
        <v>AFWC_WEIGHT_BU_RTC_PR19CA012</v>
      </c>
      <c r="L257" s="23"/>
      <c r="M257" s="23"/>
    </row>
    <row r="258" spans="1:13" x14ac:dyDescent="0.25">
      <c r="A258" s="21" t="s">
        <v>29</v>
      </c>
      <c r="B258" s="21" t="s">
        <v>170</v>
      </c>
      <c r="C258" s="20" t="s">
        <v>11</v>
      </c>
      <c r="D258" s="21" t="s">
        <v>152</v>
      </c>
      <c r="E258" s="21">
        <f xml:space="preserve"> _xlfn.IFNA( 'Modelled costs'!$X$3,0)</f>
        <v>0.5</v>
      </c>
      <c r="F258" s="21">
        <f xml:space="preserve"> _xlfn.IFNA( 'Modelled costs'!$X$3,0)</f>
        <v>0.5</v>
      </c>
      <c r="G258" s="21">
        <f xml:space="preserve"> _xlfn.IFNA( 'Modelled costs'!$X$3,0)</f>
        <v>0.5</v>
      </c>
      <c r="H258" s="21">
        <f xml:space="preserve"> _xlfn.IFNA( 'Modelled costs'!$X$3,0)</f>
        <v>0.5</v>
      </c>
      <c r="I258" s="21">
        <f xml:space="preserve"> _xlfn.IFNA( 'Modelled costs'!$X$3,0)</f>
        <v>0.5</v>
      </c>
      <c r="J258" s="20" t="s">
        <v>149</v>
      </c>
      <c r="K258" s="20" t="str">
        <f t="shared" si="20"/>
        <v>BRLC_WEIGHT_BU_RTC_PR19CA012</v>
      </c>
      <c r="L258" s="23"/>
      <c r="M258" s="23"/>
    </row>
    <row r="259" spans="1:13" x14ac:dyDescent="0.25">
      <c r="A259" s="21" t="s">
        <v>30</v>
      </c>
      <c r="B259" s="21" t="s">
        <v>170</v>
      </c>
      <c r="C259" s="20" t="s">
        <v>11</v>
      </c>
      <c r="D259" s="21" t="s">
        <v>152</v>
      </c>
      <c r="E259" s="21">
        <f xml:space="preserve"> _xlfn.IFNA( 'Modelled costs'!$X$3,0)</f>
        <v>0.5</v>
      </c>
      <c r="F259" s="21">
        <f xml:space="preserve"> _xlfn.IFNA( 'Modelled costs'!$X$3,0)</f>
        <v>0.5</v>
      </c>
      <c r="G259" s="21">
        <f xml:space="preserve"> _xlfn.IFNA( 'Modelled costs'!$X$3,0)</f>
        <v>0.5</v>
      </c>
      <c r="H259" s="21">
        <f xml:space="preserve"> _xlfn.IFNA( 'Modelled costs'!$X$3,0)</f>
        <v>0.5</v>
      </c>
      <c r="I259" s="21">
        <f xml:space="preserve"> _xlfn.IFNA( 'Modelled costs'!$X$3,0)</f>
        <v>0.5</v>
      </c>
      <c r="J259" s="20" t="s">
        <v>149</v>
      </c>
      <c r="K259" s="20" t="str">
        <f t="shared" ref="K259" si="25">A259&amp;B259</f>
        <v>DVWC_WEIGHT_BU_RTC_PR19CA012</v>
      </c>
      <c r="L259" s="23"/>
      <c r="M259" s="23"/>
    </row>
    <row r="260" spans="1:13" x14ac:dyDescent="0.25">
      <c r="A260" s="21" t="s">
        <v>31</v>
      </c>
      <c r="B260" s="21" t="s">
        <v>170</v>
      </c>
      <c r="C260" s="20" t="s">
        <v>11</v>
      </c>
      <c r="D260" s="21" t="s">
        <v>152</v>
      </c>
      <c r="E260" s="21">
        <f xml:space="preserve"> _xlfn.IFNA( 'Modelled costs'!$X$3,0)</f>
        <v>0.5</v>
      </c>
      <c r="F260" s="21">
        <f xml:space="preserve"> _xlfn.IFNA( 'Modelled costs'!$X$3,0)</f>
        <v>0.5</v>
      </c>
      <c r="G260" s="21">
        <f xml:space="preserve"> _xlfn.IFNA( 'Modelled costs'!$X$3,0)</f>
        <v>0.5</v>
      </c>
      <c r="H260" s="21">
        <f xml:space="preserve"> _xlfn.IFNA( 'Modelled costs'!$X$3,0)</f>
        <v>0.5</v>
      </c>
      <c r="I260" s="21">
        <f xml:space="preserve"> _xlfn.IFNA( 'Modelled costs'!$X$3,0)</f>
        <v>0.5</v>
      </c>
      <c r="J260" s="20" t="s">
        <v>149</v>
      </c>
      <c r="K260" s="20" t="str">
        <f t="shared" si="20"/>
        <v>PRTC_WEIGHT_BU_RTC_PR19CA012</v>
      </c>
      <c r="L260" s="23"/>
      <c r="M260" s="23"/>
    </row>
    <row r="261" spans="1:13" x14ac:dyDescent="0.25">
      <c r="A261" s="21" t="s">
        <v>32</v>
      </c>
      <c r="B261" s="21" t="s">
        <v>170</v>
      </c>
      <c r="C261" s="20" t="s">
        <v>11</v>
      </c>
      <c r="D261" s="21" t="s">
        <v>152</v>
      </c>
      <c r="E261" s="21">
        <f xml:space="preserve"> _xlfn.IFNA( 'Modelled costs'!$X$3,0)</f>
        <v>0.5</v>
      </c>
      <c r="F261" s="21">
        <f xml:space="preserve"> _xlfn.IFNA( 'Modelled costs'!$X$3,0)</f>
        <v>0.5</v>
      </c>
      <c r="G261" s="21">
        <f xml:space="preserve"> _xlfn.IFNA( 'Modelled costs'!$X$3,0)</f>
        <v>0.5</v>
      </c>
      <c r="H261" s="21">
        <f xml:space="preserve"> _xlfn.IFNA( 'Modelled costs'!$X$3,0)</f>
        <v>0.5</v>
      </c>
      <c r="I261" s="21">
        <f xml:space="preserve"> _xlfn.IFNA( 'Modelled costs'!$X$3,0)</f>
        <v>0.5</v>
      </c>
      <c r="J261" s="20" t="s">
        <v>149</v>
      </c>
      <c r="K261" s="20" t="str">
        <f t="shared" si="20"/>
        <v>SESC_WEIGHT_BU_RTC_PR19CA012</v>
      </c>
      <c r="L261" s="23"/>
      <c r="M261" s="23"/>
    </row>
    <row r="262" spans="1:13" x14ac:dyDescent="0.25">
      <c r="A262" s="21" t="s">
        <v>33</v>
      </c>
      <c r="B262" s="21" t="s">
        <v>170</v>
      </c>
      <c r="C262" s="20" t="s">
        <v>11</v>
      </c>
      <c r="D262" s="21" t="s">
        <v>152</v>
      </c>
      <c r="E262" s="21">
        <f xml:space="preserve"> _xlfn.IFNA( 'Modelled costs'!$X$3,0)</f>
        <v>0.5</v>
      </c>
      <c r="F262" s="21">
        <f xml:space="preserve"> _xlfn.IFNA( 'Modelled costs'!$X$3,0)</f>
        <v>0.5</v>
      </c>
      <c r="G262" s="21">
        <f xml:space="preserve"> _xlfn.IFNA( 'Modelled costs'!$X$3,0)</f>
        <v>0.5</v>
      </c>
      <c r="H262" s="21">
        <f xml:space="preserve"> _xlfn.IFNA( 'Modelled costs'!$X$3,0)</f>
        <v>0.5</v>
      </c>
      <c r="I262" s="21">
        <f xml:space="preserve"> _xlfn.IFNA( 'Modelled costs'!$X$3,0)</f>
        <v>0.5</v>
      </c>
      <c r="J262" s="20" t="s">
        <v>149</v>
      </c>
      <c r="K262" s="20" t="str">
        <f t="shared" si="20"/>
        <v>SEWC_WEIGHT_BU_RTC_PR19CA012</v>
      </c>
      <c r="L262" s="23"/>
      <c r="M262" s="23"/>
    </row>
    <row r="263" spans="1:13" x14ac:dyDescent="0.25">
      <c r="A263" s="21" t="s">
        <v>34</v>
      </c>
      <c r="B263" s="21" t="s">
        <v>170</v>
      </c>
      <c r="C263" s="20" t="s">
        <v>11</v>
      </c>
      <c r="D263" s="21" t="s">
        <v>152</v>
      </c>
      <c r="E263" s="21">
        <f xml:space="preserve"> _xlfn.IFNA( 'Modelled costs'!$X$3,0)</f>
        <v>0.5</v>
      </c>
      <c r="F263" s="21">
        <f xml:space="preserve"> _xlfn.IFNA( 'Modelled costs'!$X$3,0)</f>
        <v>0.5</v>
      </c>
      <c r="G263" s="21">
        <f xml:space="preserve"> _xlfn.IFNA( 'Modelled costs'!$X$3,0)</f>
        <v>0.5</v>
      </c>
      <c r="H263" s="21">
        <f xml:space="preserve"> _xlfn.IFNA( 'Modelled costs'!$X$3,0)</f>
        <v>0.5</v>
      </c>
      <c r="I263" s="21">
        <f xml:space="preserve"> _xlfn.IFNA( 'Modelled costs'!$X$3,0)</f>
        <v>0.5</v>
      </c>
      <c r="J263" s="20" t="s">
        <v>149</v>
      </c>
      <c r="K263" s="20" t="str">
        <f t="shared" si="20"/>
        <v>SSCC_WEIGHT_BU_RTC_PR19CA012</v>
      </c>
      <c r="L263" s="23"/>
      <c r="M263" s="23"/>
    </row>
    <row r="264" spans="1:13" x14ac:dyDescent="0.25">
      <c r="A264" s="120" t="s">
        <v>20</v>
      </c>
      <c r="B264" s="117" t="s">
        <v>153</v>
      </c>
      <c r="C264" s="118" t="s">
        <v>151</v>
      </c>
      <c r="D264" s="104" t="s">
        <v>152</v>
      </c>
      <c r="E264" s="119" t="str">
        <f ca="1">CONCATENATE("[…]", TEXT(NOW(),"dd/mm/yyy hh:mm:ss"))</f>
        <v>[…]12/07/2019 10:46:41</v>
      </c>
      <c r="F264" s="119" t="str">
        <f t="shared" ref="F264:I282" ca="1" si="26">CONCATENATE("[…]", TEXT(NOW(),"dd/mm/yyy hh:mm:ss"))</f>
        <v>[…]12/07/2019 10:46:41</v>
      </c>
      <c r="G264" s="119" t="str">
        <f t="shared" ca="1" si="26"/>
        <v>[…]12/07/2019 10:46:41</v>
      </c>
      <c r="H264" s="119" t="str">
        <f t="shared" ca="1" si="26"/>
        <v>[…]12/07/2019 10:46:41</v>
      </c>
      <c r="I264" s="119" t="str">
        <f t="shared" ca="1" si="26"/>
        <v>[…]12/07/2019 10:46:41</v>
      </c>
      <c r="J264" s="20"/>
      <c r="K264" s="20" t="str">
        <f t="shared" si="20"/>
        <v>ANHPR19QA_CA012_OUT_1</v>
      </c>
      <c r="L264" s="23"/>
      <c r="M264" s="23"/>
    </row>
    <row r="265" spans="1:13" s="22" customFormat="1" x14ac:dyDescent="0.25">
      <c r="A265" s="120" t="s">
        <v>157</v>
      </c>
      <c r="B265" s="117" t="s">
        <v>153</v>
      </c>
      <c r="C265" s="118" t="s">
        <v>151</v>
      </c>
      <c r="D265" s="104" t="s">
        <v>152</v>
      </c>
      <c r="E265" s="119" t="str">
        <f t="shared" ref="E265:I283" ca="1" si="27">CONCATENATE("[…]", TEXT(NOW(),"dd/mm/yyy hh:mm:ss"))</f>
        <v>[…]12/07/2019 10:46:41</v>
      </c>
      <c r="F265" s="119" t="str">
        <f t="shared" ca="1" si="26"/>
        <v>[…]12/07/2019 10:46:41</v>
      </c>
      <c r="G265" s="119" t="str">
        <f t="shared" ca="1" si="26"/>
        <v>[…]12/07/2019 10:46:41</v>
      </c>
      <c r="H265" s="119" t="str">
        <f t="shared" ca="1" si="26"/>
        <v>[…]12/07/2019 10:46:41</v>
      </c>
      <c r="I265" s="119" t="str">
        <f t="shared" ca="1" si="26"/>
        <v>[…]12/07/2019 10:46:41</v>
      </c>
      <c r="J265" s="123"/>
      <c r="K265" s="20" t="str">
        <f t="shared" si="20"/>
        <v>HDDPR19QA_CA012_OUT_1</v>
      </c>
      <c r="L265" s="23"/>
      <c r="M265" s="23"/>
    </row>
    <row r="266" spans="1:13" s="22" customFormat="1" x14ac:dyDescent="0.25">
      <c r="A266" s="120" t="s">
        <v>21</v>
      </c>
      <c r="B266" s="117" t="s">
        <v>153</v>
      </c>
      <c r="C266" s="118" t="s">
        <v>151</v>
      </c>
      <c r="D266" s="104" t="s">
        <v>152</v>
      </c>
      <c r="E266" s="119" t="str">
        <f t="shared" ca="1" si="27"/>
        <v>[…]12/07/2019 10:46:41</v>
      </c>
      <c r="F266" s="119" t="str">
        <f t="shared" ca="1" si="26"/>
        <v>[…]12/07/2019 10:46:41</v>
      </c>
      <c r="G266" s="119" t="str">
        <f t="shared" ca="1" si="26"/>
        <v>[…]12/07/2019 10:46:41</v>
      </c>
      <c r="H266" s="119" t="str">
        <f t="shared" ca="1" si="26"/>
        <v>[…]12/07/2019 10:46:41</v>
      </c>
      <c r="I266" s="119" t="str">
        <f t="shared" ca="1" si="26"/>
        <v>[…]12/07/2019 10:46:41</v>
      </c>
      <c r="J266" s="123"/>
      <c r="K266" s="20" t="str">
        <f t="shared" si="20"/>
        <v>NESPR19QA_CA012_OUT_1</v>
      </c>
      <c r="L266" s="23"/>
      <c r="M266" s="23"/>
    </row>
    <row r="267" spans="1:13" x14ac:dyDescent="0.25">
      <c r="A267" s="120" t="s">
        <v>22</v>
      </c>
      <c r="B267" s="117" t="s">
        <v>153</v>
      </c>
      <c r="C267" s="118" t="s">
        <v>151</v>
      </c>
      <c r="D267" s="104" t="s">
        <v>152</v>
      </c>
      <c r="E267" s="119" t="str">
        <f t="shared" ca="1" si="27"/>
        <v>[…]12/07/2019 10:46:41</v>
      </c>
      <c r="F267" s="119" t="str">
        <f t="shared" ca="1" si="26"/>
        <v>[…]12/07/2019 10:46:41</v>
      </c>
      <c r="G267" s="119" t="str">
        <f t="shared" ca="1" si="26"/>
        <v>[…]12/07/2019 10:46:41</v>
      </c>
      <c r="H267" s="119" t="str">
        <f t="shared" ca="1" si="26"/>
        <v>[…]12/07/2019 10:46:41</v>
      </c>
      <c r="I267" s="119" t="str">
        <f t="shared" ca="1" si="26"/>
        <v>[…]12/07/2019 10:46:41</v>
      </c>
      <c r="J267" s="20"/>
      <c r="K267" s="20" t="str">
        <f t="shared" si="20"/>
        <v>NWTPR19QA_CA012_OUT_1</v>
      </c>
      <c r="L267" s="23"/>
      <c r="M267" s="23"/>
    </row>
    <row r="268" spans="1:13" x14ac:dyDescent="0.25">
      <c r="A268" s="120" t="s">
        <v>23</v>
      </c>
      <c r="B268" s="117" t="s">
        <v>153</v>
      </c>
      <c r="C268" s="118" t="s">
        <v>151</v>
      </c>
      <c r="D268" s="104" t="s">
        <v>152</v>
      </c>
      <c r="E268" s="119" t="str">
        <f t="shared" ca="1" si="27"/>
        <v>[…]12/07/2019 10:46:41</v>
      </c>
      <c r="F268" s="119" t="str">
        <f t="shared" ca="1" si="26"/>
        <v>[…]12/07/2019 10:46:41</v>
      </c>
      <c r="G268" s="119" t="str">
        <f t="shared" ca="1" si="26"/>
        <v>[…]12/07/2019 10:46:41</v>
      </c>
      <c r="H268" s="119" t="str">
        <f t="shared" ca="1" si="26"/>
        <v>[…]12/07/2019 10:46:41</v>
      </c>
      <c r="I268" s="119" t="str">
        <f t="shared" ca="1" si="26"/>
        <v>[…]12/07/2019 10:46:41</v>
      </c>
      <c r="J268" s="124"/>
      <c r="K268" s="20" t="str">
        <f t="shared" si="20"/>
        <v>SRNPR19QA_CA012_OUT_1</v>
      </c>
      <c r="L268" s="23"/>
      <c r="M268" s="23"/>
    </row>
    <row r="269" spans="1:13" x14ac:dyDescent="0.25">
      <c r="A269" s="120" t="s">
        <v>156</v>
      </c>
      <c r="B269" s="117" t="s">
        <v>153</v>
      </c>
      <c r="C269" s="118" t="s">
        <v>151</v>
      </c>
      <c r="D269" s="104" t="s">
        <v>152</v>
      </c>
      <c r="E269" s="119" t="str">
        <f t="shared" ca="1" si="27"/>
        <v>[…]12/07/2019 10:46:41</v>
      </c>
      <c r="F269" s="119" t="str">
        <f t="shared" ca="1" si="26"/>
        <v>[…]12/07/2019 10:46:41</v>
      </c>
      <c r="G269" s="119" t="str">
        <f t="shared" ca="1" si="26"/>
        <v>[…]12/07/2019 10:46:41</v>
      </c>
      <c r="H269" s="119" t="str">
        <f t="shared" ca="1" si="26"/>
        <v>[…]12/07/2019 10:46:41</v>
      </c>
      <c r="I269" s="119" t="str">
        <f t="shared" ca="1" si="26"/>
        <v>[…]12/07/2019 10:46:41</v>
      </c>
      <c r="J269" s="125"/>
      <c r="K269" s="20" t="str">
        <f t="shared" si="20"/>
        <v>SVEPR19QA_CA012_OUT_1</v>
      </c>
      <c r="L269" s="23"/>
      <c r="M269" s="23"/>
    </row>
    <row r="270" spans="1:13" x14ac:dyDescent="0.25">
      <c r="A270" s="120" t="s">
        <v>232</v>
      </c>
      <c r="B270" s="117" t="s">
        <v>153</v>
      </c>
      <c r="C270" s="118" t="s">
        <v>151</v>
      </c>
      <c r="D270" s="104" t="s">
        <v>152</v>
      </c>
      <c r="E270" s="119" t="str">
        <f t="shared" ca="1" si="27"/>
        <v>[…]12/07/2019 10:46:41</v>
      </c>
      <c r="F270" s="119" t="str">
        <f t="shared" ca="1" si="26"/>
        <v>[…]12/07/2019 10:46:41</v>
      </c>
      <c r="G270" s="119" t="str">
        <f t="shared" ca="1" si="26"/>
        <v>[…]12/07/2019 10:46:41</v>
      </c>
      <c r="H270" s="119" t="str">
        <f t="shared" ca="1" si="26"/>
        <v>[…]12/07/2019 10:46:41</v>
      </c>
      <c r="I270" s="119" t="str">
        <f t="shared" ca="1" si="26"/>
        <v>[…]12/07/2019 10:46:41</v>
      </c>
      <c r="J270" s="125"/>
      <c r="K270" s="20" t="str">
        <f t="shared" si="20"/>
        <v>SVHPR19QA_CA012_OUT_1</v>
      </c>
      <c r="L270" s="23"/>
      <c r="M270" s="23"/>
    </row>
    <row r="271" spans="1:13" x14ac:dyDescent="0.25">
      <c r="A271" s="120" t="s">
        <v>24</v>
      </c>
      <c r="B271" s="117" t="s">
        <v>153</v>
      </c>
      <c r="C271" s="118" t="s">
        <v>151</v>
      </c>
      <c r="D271" s="104" t="s">
        <v>152</v>
      </c>
      <c r="E271" s="119" t="str">
        <f t="shared" ca="1" si="27"/>
        <v>[…]12/07/2019 10:46:41</v>
      </c>
      <c r="F271" s="119" t="str">
        <f t="shared" ca="1" si="26"/>
        <v>[…]12/07/2019 10:46:41</v>
      </c>
      <c r="G271" s="119" t="str">
        <f t="shared" ca="1" si="26"/>
        <v>[…]12/07/2019 10:46:41</v>
      </c>
      <c r="H271" s="119" t="str">
        <f t="shared" ca="1" si="26"/>
        <v>[…]12/07/2019 10:46:41</v>
      </c>
      <c r="I271" s="119" t="str">
        <f t="shared" ca="1" si="26"/>
        <v>[…]12/07/2019 10:46:41</v>
      </c>
      <c r="J271" s="125"/>
      <c r="K271" s="20" t="str">
        <f t="shared" si="20"/>
        <v>SVTPR19QA_CA012_OUT_1</v>
      </c>
      <c r="L271" s="23"/>
      <c r="M271" s="23"/>
    </row>
    <row r="272" spans="1:13" x14ac:dyDescent="0.25">
      <c r="A272" s="21" t="s">
        <v>35</v>
      </c>
      <c r="B272" s="117" t="s">
        <v>153</v>
      </c>
      <c r="C272" s="118" t="s">
        <v>151</v>
      </c>
      <c r="D272" s="104" t="s">
        <v>152</v>
      </c>
      <c r="E272" s="119" t="str">
        <f t="shared" ca="1" si="27"/>
        <v>[…]12/07/2019 10:46:41</v>
      </c>
      <c r="F272" s="119" t="str">
        <f t="shared" ca="1" si="26"/>
        <v>[…]12/07/2019 10:46:41</v>
      </c>
      <c r="G272" s="119" t="str">
        <f t="shared" ca="1" si="26"/>
        <v>[…]12/07/2019 10:46:41</v>
      </c>
      <c r="H272" s="119" t="str">
        <f t="shared" ca="1" si="26"/>
        <v>[…]12/07/2019 10:46:41</v>
      </c>
      <c r="I272" s="119" t="str">
        <f t="shared" ca="1" si="26"/>
        <v>[…]12/07/2019 10:46:41</v>
      </c>
      <c r="J272" s="126"/>
      <c r="K272" s="20" t="str">
        <f t="shared" si="20"/>
        <v>SWBPR19QA_CA012_OUT_1</v>
      </c>
      <c r="L272" s="23"/>
      <c r="M272" s="23"/>
    </row>
    <row r="273" spans="1:13" x14ac:dyDescent="0.25">
      <c r="A273" s="21" t="s">
        <v>25</v>
      </c>
      <c r="B273" s="117" t="s">
        <v>153</v>
      </c>
      <c r="C273" s="118" t="s">
        <v>151</v>
      </c>
      <c r="D273" s="104" t="s">
        <v>152</v>
      </c>
      <c r="E273" s="119" t="str">
        <f t="shared" ca="1" si="27"/>
        <v>[…]12/07/2019 10:46:41</v>
      </c>
      <c r="F273" s="119" t="str">
        <f t="shared" ca="1" si="26"/>
        <v>[…]12/07/2019 10:46:41</v>
      </c>
      <c r="G273" s="119" t="str">
        <f t="shared" ca="1" si="26"/>
        <v>[…]12/07/2019 10:46:41</v>
      </c>
      <c r="H273" s="119" t="str">
        <f t="shared" ca="1" si="26"/>
        <v>[…]12/07/2019 10:46:41</v>
      </c>
      <c r="I273" s="119" t="str">
        <f t="shared" ca="1" si="26"/>
        <v>[…]12/07/2019 10:46:41</v>
      </c>
      <c r="J273" s="127"/>
      <c r="K273" s="20" t="str">
        <f t="shared" si="20"/>
        <v>TMSPR19QA_CA012_OUT_1</v>
      </c>
      <c r="L273" s="23"/>
      <c r="M273" s="23"/>
    </row>
    <row r="274" spans="1:13" x14ac:dyDescent="0.25">
      <c r="A274" s="21" t="s">
        <v>41</v>
      </c>
      <c r="B274" s="117" t="s">
        <v>153</v>
      </c>
      <c r="C274" s="118" t="s">
        <v>151</v>
      </c>
      <c r="D274" s="104" t="s">
        <v>152</v>
      </c>
      <c r="E274" s="119" t="str">
        <f t="shared" ca="1" si="27"/>
        <v>[…]12/07/2019 10:46:41</v>
      </c>
      <c r="F274" s="119" t="str">
        <f t="shared" ca="1" si="26"/>
        <v>[…]12/07/2019 10:46:41</v>
      </c>
      <c r="G274" s="119" t="str">
        <f t="shared" ca="1" si="26"/>
        <v>[…]12/07/2019 10:46:41</v>
      </c>
      <c r="H274" s="119" t="str">
        <f t="shared" ca="1" si="26"/>
        <v>[…]12/07/2019 10:46:41</v>
      </c>
      <c r="I274" s="119" t="str">
        <f t="shared" ca="1" si="26"/>
        <v>[…]12/07/2019 10:46:41</v>
      </c>
      <c r="J274" s="127"/>
      <c r="K274" s="20" t="str">
        <f t="shared" si="20"/>
        <v>WSHPR19QA_CA012_OUT_1</v>
      </c>
      <c r="L274" s="23"/>
      <c r="M274" s="23"/>
    </row>
    <row r="275" spans="1:13" x14ac:dyDescent="0.25">
      <c r="A275" s="21" t="s">
        <v>26</v>
      </c>
      <c r="B275" s="117" t="s">
        <v>153</v>
      </c>
      <c r="C275" s="118" t="s">
        <v>151</v>
      </c>
      <c r="D275" s="104" t="s">
        <v>152</v>
      </c>
      <c r="E275" s="119" t="str">
        <f t="shared" ca="1" si="27"/>
        <v>[…]12/07/2019 10:46:41</v>
      </c>
      <c r="F275" s="119" t="str">
        <f t="shared" ca="1" si="26"/>
        <v>[…]12/07/2019 10:46:41</v>
      </c>
      <c r="G275" s="119" t="str">
        <f t="shared" ca="1" si="26"/>
        <v>[…]12/07/2019 10:46:41</v>
      </c>
      <c r="H275" s="119" t="str">
        <f t="shared" ca="1" si="26"/>
        <v>[…]12/07/2019 10:46:41</v>
      </c>
      <c r="I275" s="119" t="str">
        <f t="shared" ca="1" si="26"/>
        <v>[…]12/07/2019 10:46:41</v>
      </c>
      <c r="J275" s="124"/>
      <c r="K275" s="20" t="str">
        <f t="shared" si="20"/>
        <v>WSXPR19QA_CA012_OUT_1</v>
      </c>
      <c r="L275" s="23"/>
      <c r="M275" s="23"/>
    </row>
    <row r="276" spans="1:13" x14ac:dyDescent="0.25">
      <c r="A276" s="21" t="s">
        <v>27</v>
      </c>
      <c r="B276" s="117" t="s">
        <v>153</v>
      </c>
      <c r="C276" s="118" t="s">
        <v>151</v>
      </c>
      <c r="D276" s="104" t="s">
        <v>152</v>
      </c>
      <c r="E276" s="119" t="str">
        <f t="shared" ca="1" si="27"/>
        <v>[…]12/07/2019 10:46:41</v>
      </c>
      <c r="F276" s="119" t="str">
        <f t="shared" ca="1" si="26"/>
        <v>[…]12/07/2019 10:46:41</v>
      </c>
      <c r="G276" s="119" t="str">
        <f t="shared" ca="1" si="26"/>
        <v>[…]12/07/2019 10:46:41</v>
      </c>
      <c r="H276" s="119" t="str">
        <f t="shared" ca="1" si="26"/>
        <v>[…]12/07/2019 10:46:41</v>
      </c>
      <c r="I276" s="119" t="str">
        <f t="shared" ca="1" si="26"/>
        <v>[…]12/07/2019 10:46:41</v>
      </c>
      <c r="J276" s="124"/>
      <c r="K276" s="20" t="str">
        <f t="shared" si="20"/>
        <v>YKYPR19QA_CA012_OUT_1</v>
      </c>
      <c r="L276" s="23"/>
      <c r="M276" s="23"/>
    </row>
    <row r="277" spans="1:13" x14ac:dyDescent="0.25">
      <c r="A277" s="21" t="s">
        <v>28</v>
      </c>
      <c r="B277" s="117" t="s">
        <v>153</v>
      </c>
      <c r="C277" s="118" t="s">
        <v>151</v>
      </c>
      <c r="D277" s="104" t="s">
        <v>152</v>
      </c>
      <c r="E277" s="119" t="str">
        <f t="shared" ca="1" si="27"/>
        <v>[…]12/07/2019 10:46:41</v>
      </c>
      <c r="F277" s="119" t="str">
        <f t="shared" ca="1" si="26"/>
        <v>[…]12/07/2019 10:46:41</v>
      </c>
      <c r="G277" s="119" t="str">
        <f t="shared" ca="1" si="26"/>
        <v>[…]12/07/2019 10:46:41</v>
      </c>
      <c r="H277" s="119" t="str">
        <f t="shared" ca="1" si="26"/>
        <v>[…]12/07/2019 10:46:41</v>
      </c>
      <c r="I277" s="119" t="str">
        <f t="shared" ca="1" si="26"/>
        <v>[…]12/07/2019 10:46:41</v>
      </c>
      <c r="J277" s="125"/>
      <c r="K277" s="20" t="str">
        <f t="shared" si="20"/>
        <v>AFWPR19QA_CA012_OUT_1</v>
      </c>
      <c r="L277" s="23"/>
      <c r="M277" s="23"/>
    </row>
    <row r="278" spans="1:13" x14ac:dyDescent="0.25">
      <c r="A278" s="21" t="s">
        <v>29</v>
      </c>
      <c r="B278" s="117" t="s">
        <v>153</v>
      </c>
      <c r="C278" s="118" t="s">
        <v>151</v>
      </c>
      <c r="D278" s="104" t="s">
        <v>152</v>
      </c>
      <c r="E278" s="119" t="str">
        <f t="shared" ca="1" si="27"/>
        <v>[…]12/07/2019 10:46:41</v>
      </c>
      <c r="F278" s="119" t="str">
        <f t="shared" ca="1" si="26"/>
        <v>[…]12/07/2019 10:46:41</v>
      </c>
      <c r="G278" s="119" t="str">
        <f t="shared" ca="1" si="26"/>
        <v>[…]12/07/2019 10:46:41</v>
      </c>
      <c r="H278" s="119" t="str">
        <f t="shared" ca="1" si="26"/>
        <v>[…]12/07/2019 10:46:41</v>
      </c>
      <c r="I278" s="119" t="str">
        <f t="shared" ca="1" si="26"/>
        <v>[…]12/07/2019 10:46:41</v>
      </c>
      <c r="J278" s="126"/>
      <c r="K278" s="20" t="str">
        <f t="shared" si="20"/>
        <v>BRLPR19QA_CA012_OUT_1</v>
      </c>
      <c r="L278" s="23"/>
      <c r="M278" s="23"/>
    </row>
    <row r="279" spans="1:13" x14ac:dyDescent="0.25">
      <c r="A279" s="21" t="s">
        <v>30</v>
      </c>
      <c r="B279" s="117" t="s">
        <v>153</v>
      </c>
      <c r="C279" s="118" t="s">
        <v>151</v>
      </c>
      <c r="D279" s="104" t="s">
        <v>152</v>
      </c>
      <c r="E279" s="119" t="str">
        <f t="shared" ca="1" si="27"/>
        <v>[…]12/07/2019 10:46:41</v>
      </c>
      <c r="F279" s="119" t="str">
        <f t="shared" ca="1" si="26"/>
        <v>[…]12/07/2019 10:46:41</v>
      </c>
      <c r="G279" s="119" t="str">
        <f t="shared" ca="1" si="26"/>
        <v>[…]12/07/2019 10:46:41</v>
      </c>
      <c r="H279" s="119" t="str">
        <f t="shared" ca="1" si="26"/>
        <v>[…]12/07/2019 10:46:41</v>
      </c>
      <c r="I279" s="119" t="str">
        <f t="shared" ca="1" si="26"/>
        <v>[…]12/07/2019 10:46:41</v>
      </c>
      <c r="J279" s="126"/>
      <c r="K279" s="20" t="str">
        <f t="shared" si="20"/>
        <v>DVWPR19QA_CA012_OUT_1</v>
      </c>
      <c r="L279" s="23"/>
      <c r="M279" s="23"/>
    </row>
    <row r="280" spans="1:13" x14ac:dyDescent="0.25">
      <c r="A280" s="21" t="s">
        <v>31</v>
      </c>
      <c r="B280" s="117" t="s">
        <v>153</v>
      </c>
      <c r="C280" s="118" t="s">
        <v>151</v>
      </c>
      <c r="D280" s="104" t="s">
        <v>152</v>
      </c>
      <c r="E280" s="119" t="str">
        <f t="shared" ca="1" si="27"/>
        <v>[…]12/07/2019 10:46:41</v>
      </c>
      <c r="F280" s="119" t="str">
        <f t="shared" ca="1" si="26"/>
        <v>[…]12/07/2019 10:46:41</v>
      </c>
      <c r="G280" s="119" t="str">
        <f t="shared" ca="1" si="26"/>
        <v>[…]12/07/2019 10:46:41</v>
      </c>
      <c r="H280" s="119" t="str">
        <f t="shared" ca="1" si="26"/>
        <v>[…]12/07/2019 10:46:41</v>
      </c>
      <c r="I280" s="119" t="str">
        <f t="shared" ca="1" si="26"/>
        <v>[…]12/07/2019 10:46:41</v>
      </c>
      <c r="J280" s="127"/>
      <c r="K280" s="20" t="str">
        <f t="shared" si="20"/>
        <v>PRTPR19QA_CA012_OUT_1</v>
      </c>
      <c r="L280" s="23"/>
      <c r="M280" s="23"/>
    </row>
    <row r="281" spans="1:13" x14ac:dyDescent="0.25">
      <c r="A281" s="21" t="s">
        <v>32</v>
      </c>
      <c r="B281" s="117" t="s">
        <v>153</v>
      </c>
      <c r="C281" s="118" t="s">
        <v>151</v>
      </c>
      <c r="D281" s="104" t="s">
        <v>152</v>
      </c>
      <c r="E281" s="119" t="str">
        <f t="shared" ca="1" si="27"/>
        <v>[…]12/07/2019 10:46:41</v>
      </c>
      <c r="F281" s="119" t="str">
        <f t="shared" ca="1" si="26"/>
        <v>[…]12/07/2019 10:46:41</v>
      </c>
      <c r="G281" s="119" t="str">
        <f t="shared" ca="1" si="26"/>
        <v>[…]12/07/2019 10:46:41</v>
      </c>
      <c r="H281" s="119" t="str">
        <f t="shared" ca="1" si="26"/>
        <v>[…]12/07/2019 10:46:41</v>
      </c>
      <c r="I281" s="119" t="str">
        <f t="shared" ca="1" si="26"/>
        <v>[…]12/07/2019 10:46:41</v>
      </c>
      <c r="J281" s="127"/>
      <c r="K281" s="20" t="str">
        <f t="shared" si="20"/>
        <v>SESPR19QA_CA012_OUT_1</v>
      </c>
      <c r="L281" s="23"/>
      <c r="M281" s="23"/>
    </row>
    <row r="282" spans="1:13" x14ac:dyDescent="0.25">
      <c r="A282" s="21" t="s">
        <v>33</v>
      </c>
      <c r="B282" s="117" t="s">
        <v>153</v>
      </c>
      <c r="C282" s="118" t="s">
        <v>151</v>
      </c>
      <c r="D282" s="104" t="s">
        <v>152</v>
      </c>
      <c r="E282" s="119" t="str">
        <f t="shared" ca="1" si="27"/>
        <v>[…]12/07/2019 10:46:41</v>
      </c>
      <c r="F282" s="119" t="str">
        <f t="shared" ca="1" si="26"/>
        <v>[…]12/07/2019 10:46:41</v>
      </c>
      <c r="G282" s="119" t="str">
        <f t="shared" ca="1" si="26"/>
        <v>[…]12/07/2019 10:46:41</v>
      </c>
      <c r="H282" s="119" t="str">
        <f t="shared" ca="1" si="26"/>
        <v>[…]12/07/2019 10:46:41</v>
      </c>
      <c r="I282" s="119" t="str">
        <f t="shared" ca="1" si="26"/>
        <v>[…]12/07/2019 10:46:41</v>
      </c>
      <c r="J282" s="20"/>
      <c r="K282" s="20" t="str">
        <f t="shared" si="20"/>
        <v>SEWPR19QA_CA012_OUT_1</v>
      </c>
      <c r="L282" s="23"/>
      <c r="M282" s="23"/>
    </row>
    <row r="283" spans="1:13" x14ac:dyDescent="0.25">
      <c r="A283" s="21" t="s">
        <v>34</v>
      </c>
      <c r="B283" s="117" t="s">
        <v>153</v>
      </c>
      <c r="C283" s="118" t="s">
        <v>151</v>
      </c>
      <c r="D283" s="104" t="s">
        <v>152</v>
      </c>
      <c r="E283" s="119" t="str">
        <f t="shared" ca="1" si="27"/>
        <v>[…]12/07/2019 10:46:41</v>
      </c>
      <c r="F283" s="119" t="str">
        <f t="shared" ca="1" si="27"/>
        <v>[…]12/07/2019 10:46:41</v>
      </c>
      <c r="G283" s="119" t="str">
        <f t="shared" ca="1" si="27"/>
        <v>[…]12/07/2019 10:46:41</v>
      </c>
      <c r="H283" s="119" t="str">
        <f t="shared" ca="1" si="27"/>
        <v>[…]12/07/2019 10:46:41</v>
      </c>
      <c r="I283" s="119" t="str">
        <f t="shared" ca="1" si="27"/>
        <v>[…]12/07/2019 10:46:41</v>
      </c>
      <c r="J283" s="20"/>
      <c r="K283" s="20" t="str">
        <f t="shared" si="20"/>
        <v>SSCPR19QA_CA012_OUT_1</v>
      </c>
      <c r="L283" s="23"/>
      <c r="M283" s="23"/>
    </row>
    <row r="284" spans="1:13" x14ac:dyDescent="0.25">
      <c r="A284" s="120" t="s">
        <v>20</v>
      </c>
      <c r="B284" s="117" t="s">
        <v>154</v>
      </c>
      <c r="C284" s="118" t="s">
        <v>151</v>
      </c>
      <c r="D284" s="104" t="s">
        <v>152</v>
      </c>
      <c r="E284" s="119" t="str">
        <f ca="1">MID(CELL("filename",$E$1),SEARCH("[",CELL("filename",$E$1))+1,SEARCH(".",CELL("filename",$E$1))-1-SEARCH("[",CELL("filename",$E$1)))</f>
        <v>FM_RR4_ST_DD</v>
      </c>
      <c r="F284" s="119" t="str">
        <f t="shared" ref="F284:I303" ca="1" si="28">MID(CELL("filename",$E$1),SEARCH("[",CELL("filename",$E$1))+1,SEARCH(".",CELL("filename",$E$1))-1-SEARCH("[",CELL("filename",$E$1)))</f>
        <v>FM_RR4_ST_DD</v>
      </c>
      <c r="G284" s="119" t="str">
        <f t="shared" ca="1" si="28"/>
        <v>FM_RR4_ST_DD</v>
      </c>
      <c r="H284" s="119" t="str">
        <f t="shared" ca="1" si="28"/>
        <v>FM_RR4_ST_DD</v>
      </c>
      <c r="I284" s="119" t="str">
        <f t="shared" ca="1" si="28"/>
        <v>FM_RR4_ST_DD</v>
      </c>
      <c r="J284" s="20"/>
      <c r="K284" s="20" t="str">
        <f t="shared" si="20"/>
        <v>ANHPR19QA_CA012_OUT_2</v>
      </c>
      <c r="L284" s="23"/>
      <c r="M284" s="23"/>
    </row>
    <row r="285" spans="1:13" x14ac:dyDescent="0.25">
      <c r="A285" s="120" t="s">
        <v>157</v>
      </c>
      <c r="B285" s="117" t="s">
        <v>154</v>
      </c>
      <c r="C285" s="118" t="s">
        <v>151</v>
      </c>
      <c r="D285" s="104" t="s">
        <v>152</v>
      </c>
      <c r="E285" s="119" t="str">
        <f t="shared" ref="E285:E300" ca="1" si="29">MID(CELL("filename",$E$1),SEARCH("[",CELL("filename",$E$1))+1,SEARCH(".",CELL("filename",$E$1))-1-SEARCH("[",CELL("filename",$E$1)))</f>
        <v>FM_RR4_ST_DD</v>
      </c>
      <c r="F285" s="119" t="str">
        <f t="shared" ca="1" si="28"/>
        <v>FM_RR4_ST_DD</v>
      </c>
      <c r="G285" s="119" t="str">
        <f t="shared" ca="1" si="28"/>
        <v>FM_RR4_ST_DD</v>
      </c>
      <c r="H285" s="119" t="str">
        <f t="shared" ca="1" si="28"/>
        <v>FM_RR4_ST_DD</v>
      </c>
      <c r="I285" s="119" t="str">
        <f t="shared" ca="1" si="28"/>
        <v>FM_RR4_ST_DD</v>
      </c>
      <c r="J285" s="20"/>
      <c r="K285" s="20" t="str">
        <f t="shared" si="20"/>
        <v>HDDPR19QA_CA012_OUT_2</v>
      </c>
      <c r="L285" s="23"/>
      <c r="M285" s="23"/>
    </row>
    <row r="286" spans="1:13" x14ac:dyDescent="0.25">
      <c r="A286" s="120" t="s">
        <v>21</v>
      </c>
      <c r="B286" s="117" t="s">
        <v>154</v>
      </c>
      <c r="C286" s="118" t="s">
        <v>151</v>
      </c>
      <c r="D286" s="104" t="s">
        <v>152</v>
      </c>
      <c r="E286" s="119" t="str">
        <f t="shared" ca="1" si="29"/>
        <v>FM_RR4_ST_DD</v>
      </c>
      <c r="F286" s="119" t="str">
        <f t="shared" ca="1" si="28"/>
        <v>FM_RR4_ST_DD</v>
      </c>
      <c r="G286" s="119" t="str">
        <f t="shared" ca="1" si="28"/>
        <v>FM_RR4_ST_DD</v>
      </c>
      <c r="H286" s="119" t="str">
        <f t="shared" ca="1" si="28"/>
        <v>FM_RR4_ST_DD</v>
      </c>
      <c r="I286" s="119" t="str">
        <f t="shared" ca="1" si="28"/>
        <v>FM_RR4_ST_DD</v>
      </c>
      <c r="J286" s="20"/>
      <c r="K286" s="20" t="str">
        <f t="shared" ref="K286:K449" si="30">A286&amp;B286</f>
        <v>NESPR19QA_CA012_OUT_2</v>
      </c>
      <c r="L286" s="23"/>
      <c r="M286" s="23"/>
    </row>
    <row r="287" spans="1:13" x14ac:dyDescent="0.25">
      <c r="A287" s="120" t="s">
        <v>22</v>
      </c>
      <c r="B287" s="117" t="s">
        <v>154</v>
      </c>
      <c r="C287" s="118" t="s">
        <v>151</v>
      </c>
      <c r="D287" s="104" t="s">
        <v>152</v>
      </c>
      <c r="E287" s="119" t="str">
        <f t="shared" ca="1" si="29"/>
        <v>FM_RR4_ST_DD</v>
      </c>
      <c r="F287" s="119" t="str">
        <f t="shared" ca="1" si="28"/>
        <v>FM_RR4_ST_DD</v>
      </c>
      <c r="G287" s="119" t="str">
        <f t="shared" ca="1" si="28"/>
        <v>FM_RR4_ST_DD</v>
      </c>
      <c r="H287" s="119" t="str">
        <f t="shared" ca="1" si="28"/>
        <v>FM_RR4_ST_DD</v>
      </c>
      <c r="I287" s="119" t="str">
        <f t="shared" ca="1" si="28"/>
        <v>FM_RR4_ST_DD</v>
      </c>
      <c r="J287" s="20"/>
      <c r="K287" s="20" t="str">
        <f t="shared" si="30"/>
        <v>NWTPR19QA_CA012_OUT_2</v>
      </c>
      <c r="L287" s="23"/>
      <c r="M287" s="23"/>
    </row>
    <row r="288" spans="1:13" x14ac:dyDescent="0.25">
      <c r="A288" s="120" t="s">
        <v>23</v>
      </c>
      <c r="B288" s="117" t="s">
        <v>154</v>
      </c>
      <c r="C288" s="118" t="s">
        <v>151</v>
      </c>
      <c r="D288" s="104" t="s">
        <v>152</v>
      </c>
      <c r="E288" s="119" t="str">
        <f t="shared" ca="1" si="29"/>
        <v>FM_RR4_ST_DD</v>
      </c>
      <c r="F288" s="119" t="str">
        <f t="shared" ca="1" si="28"/>
        <v>FM_RR4_ST_DD</v>
      </c>
      <c r="G288" s="119" t="str">
        <f t="shared" ca="1" si="28"/>
        <v>FM_RR4_ST_DD</v>
      </c>
      <c r="H288" s="119" t="str">
        <f t="shared" ca="1" si="28"/>
        <v>FM_RR4_ST_DD</v>
      </c>
      <c r="I288" s="119" t="str">
        <f t="shared" ca="1" si="28"/>
        <v>FM_RR4_ST_DD</v>
      </c>
      <c r="J288" s="20"/>
      <c r="K288" s="20" t="str">
        <f t="shared" si="30"/>
        <v>SRNPR19QA_CA012_OUT_2</v>
      </c>
      <c r="L288" s="23"/>
      <c r="M288" s="23"/>
    </row>
    <row r="289" spans="1:13" x14ac:dyDescent="0.25">
      <c r="A289" s="120" t="s">
        <v>156</v>
      </c>
      <c r="B289" s="117" t="s">
        <v>154</v>
      </c>
      <c r="C289" s="118" t="s">
        <v>151</v>
      </c>
      <c r="D289" s="104" t="s">
        <v>152</v>
      </c>
      <c r="E289" s="119" t="str">
        <f t="shared" ca="1" si="29"/>
        <v>FM_RR4_ST_DD</v>
      </c>
      <c r="F289" s="119" t="str">
        <f t="shared" ca="1" si="28"/>
        <v>FM_RR4_ST_DD</v>
      </c>
      <c r="G289" s="119" t="str">
        <f t="shared" ca="1" si="28"/>
        <v>FM_RR4_ST_DD</v>
      </c>
      <c r="H289" s="119" t="str">
        <f t="shared" ca="1" si="28"/>
        <v>FM_RR4_ST_DD</v>
      </c>
      <c r="I289" s="119" t="str">
        <f t="shared" ca="1" si="28"/>
        <v>FM_RR4_ST_DD</v>
      </c>
      <c r="J289" s="20"/>
      <c r="K289" s="20" t="str">
        <f t="shared" si="30"/>
        <v>SVEPR19QA_CA012_OUT_2</v>
      </c>
      <c r="L289" s="23"/>
      <c r="M289" s="23"/>
    </row>
    <row r="290" spans="1:13" x14ac:dyDescent="0.25">
      <c r="A290" s="120" t="s">
        <v>232</v>
      </c>
      <c r="B290" s="117" t="s">
        <v>154</v>
      </c>
      <c r="C290" s="118" t="s">
        <v>151</v>
      </c>
      <c r="D290" s="104" t="s">
        <v>152</v>
      </c>
      <c r="E290" s="119" t="str">
        <f t="shared" ca="1" si="29"/>
        <v>FM_RR4_ST_DD</v>
      </c>
      <c r="F290" s="119" t="str">
        <f t="shared" ca="1" si="28"/>
        <v>FM_RR4_ST_DD</v>
      </c>
      <c r="G290" s="119" t="str">
        <f t="shared" ca="1" si="28"/>
        <v>FM_RR4_ST_DD</v>
      </c>
      <c r="H290" s="119" t="str">
        <f t="shared" ca="1" si="28"/>
        <v>FM_RR4_ST_DD</v>
      </c>
      <c r="I290" s="119" t="str">
        <f t="shared" ca="1" si="28"/>
        <v>FM_RR4_ST_DD</v>
      </c>
      <c r="J290" s="20"/>
      <c r="K290" s="20" t="str">
        <f t="shared" si="30"/>
        <v>SVHPR19QA_CA012_OUT_2</v>
      </c>
      <c r="L290" s="23"/>
      <c r="M290" s="23"/>
    </row>
    <row r="291" spans="1:13" x14ac:dyDescent="0.25">
      <c r="A291" s="120" t="s">
        <v>24</v>
      </c>
      <c r="B291" s="117" t="s">
        <v>154</v>
      </c>
      <c r="C291" s="118" t="s">
        <v>151</v>
      </c>
      <c r="D291" s="104" t="s">
        <v>152</v>
      </c>
      <c r="E291" s="119" t="str">
        <f t="shared" ca="1" si="29"/>
        <v>FM_RR4_ST_DD</v>
      </c>
      <c r="F291" s="119" t="str">
        <f t="shared" ca="1" si="28"/>
        <v>FM_RR4_ST_DD</v>
      </c>
      <c r="G291" s="119" t="str">
        <f t="shared" ca="1" si="28"/>
        <v>FM_RR4_ST_DD</v>
      </c>
      <c r="H291" s="119" t="str">
        <f t="shared" ca="1" si="28"/>
        <v>FM_RR4_ST_DD</v>
      </c>
      <c r="I291" s="119" t="str">
        <f t="shared" ca="1" si="28"/>
        <v>FM_RR4_ST_DD</v>
      </c>
      <c r="J291" s="20"/>
      <c r="K291" s="20" t="str">
        <f t="shared" si="30"/>
        <v>SVTPR19QA_CA012_OUT_2</v>
      </c>
      <c r="L291" s="23"/>
      <c r="M291" s="23"/>
    </row>
    <row r="292" spans="1:13" x14ac:dyDescent="0.25">
      <c r="A292" s="21" t="s">
        <v>35</v>
      </c>
      <c r="B292" s="117" t="s">
        <v>154</v>
      </c>
      <c r="C292" s="118" t="s">
        <v>151</v>
      </c>
      <c r="D292" s="104" t="s">
        <v>152</v>
      </c>
      <c r="E292" s="119" t="str">
        <f t="shared" ca="1" si="29"/>
        <v>FM_RR4_ST_DD</v>
      </c>
      <c r="F292" s="119" t="str">
        <f t="shared" ca="1" si="28"/>
        <v>FM_RR4_ST_DD</v>
      </c>
      <c r="G292" s="119" t="str">
        <f t="shared" ca="1" si="28"/>
        <v>FM_RR4_ST_DD</v>
      </c>
      <c r="H292" s="119" t="str">
        <f t="shared" ca="1" si="28"/>
        <v>FM_RR4_ST_DD</v>
      </c>
      <c r="I292" s="119" t="str">
        <f t="shared" ca="1" si="28"/>
        <v>FM_RR4_ST_DD</v>
      </c>
      <c r="J292" s="20"/>
      <c r="K292" s="20" t="str">
        <f t="shared" si="30"/>
        <v>SWBPR19QA_CA012_OUT_2</v>
      </c>
      <c r="L292" s="23"/>
      <c r="M292" s="23"/>
    </row>
    <row r="293" spans="1:13" x14ac:dyDescent="0.25">
      <c r="A293" s="21" t="s">
        <v>25</v>
      </c>
      <c r="B293" s="117" t="s">
        <v>154</v>
      </c>
      <c r="C293" s="118" t="s">
        <v>151</v>
      </c>
      <c r="D293" s="104" t="s">
        <v>152</v>
      </c>
      <c r="E293" s="119" t="str">
        <f t="shared" ca="1" si="29"/>
        <v>FM_RR4_ST_DD</v>
      </c>
      <c r="F293" s="119" t="str">
        <f t="shared" ca="1" si="28"/>
        <v>FM_RR4_ST_DD</v>
      </c>
      <c r="G293" s="119" t="str">
        <f t="shared" ca="1" si="28"/>
        <v>FM_RR4_ST_DD</v>
      </c>
      <c r="H293" s="119" t="str">
        <f t="shared" ca="1" si="28"/>
        <v>FM_RR4_ST_DD</v>
      </c>
      <c r="I293" s="119" t="str">
        <f t="shared" ca="1" si="28"/>
        <v>FM_RR4_ST_DD</v>
      </c>
      <c r="J293" s="20"/>
      <c r="K293" s="20" t="str">
        <f t="shared" si="30"/>
        <v>TMSPR19QA_CA012_OUT_2</v>
      </c>
      <c r="L293" s="23"/>
      <c r="M293" s="23"/>
    </row>
    <row r="294" spans="1:13" x14ac:dyDescent="0.25">
      <c r="A294" s="21" t="s">
        <v>41</v>
      </c>
      <c r="B294" s="117" t="s">
        <v>154</v>
      </c>
      <c r="C294" s="118" t="s">
        <v>151</v>
      </c>
      <c r="D294" s="104" t="s">
        <v>152</v>
      </c>
      <c r="E294" s="119" t="str">
        <f t="shared" ca="1" si="29"/>
        <v>FM_RR4_ST_DD</v>
      </c>
      <c r="F294" s="119" t="str">
        <f t="shared" ca="1" si="28"/>
        <v>FM_RR4_ST_DD</v>
      </c>
      <c r="G294" s="119" t="str">
        <f t="shared" ca="1" si="28"/>
        <v>FM_RR4_ST_DD</v>
      </c>
      <c r="H294" s="119" t="str">
        <f t="shared" ca="1" si="28"/>
        <v>FM_RR4_ST_DD</v>
      </c>
      <c r="I294" s="119" t="str">
        <f t="shared" ca="1" si="28"/>
        <v>FM_RR4_ST_DD</v>
      </c>
      <c r="J294" s="20"/>
      <c r="K294" s="20" t="str">
        <f t="shared" si="30"/>
        <v>WSHPR19QA_CA012_OUT_2</v>
      </c>
      <c r="L294" s="23"/>
      <c r="M294" s="23"/>
    </row>
    <row r="295" spans="1:13" x14ac:dyDescent="0.25">
      <c r="A295" s="21" t="s">
        <v>26</v>
      </c>
      <c r="B295" s="117" t="s">
        <v>154</v>
      </c>
      <c r="C295" s="118" t="s">
        <v>151</v>
      </c>
      <c r="D295" s="104" t="s">
        <v>152</v>
      </c>
      <c r="E295" s="119" t="str">
        <f t="shared" ca="1" si="29"/>
        <v>FM_RR4_ST_DD</v>
      </c>
      <c r="F295" s="119" t="str">
        <f t="shared" ca="1" si="28"/>
        <v>FM_RR4_ST_DD</v>
      </c>
      <c r="G295" s="119" t="str">
        <f t="shared" ca="1" si="28"/>
        <v>FM_RR4_ST_DD</v>
      </c>
      <c r="H295" s="119" t="str">
        <f t="shared" ca="1" si="28"/>
        <v>FM_RR4_ST_DD</v>
      </c>
      <c r="I295" s="119" t="str">
        <f t="shared" ca="1" si="28"/>
        <v>FM_RR4_ST_DD</v>
      </c>
      <c r="J295" s="20"/>
      <c r="K295" s="20" t="str">
        <f t="shared" si="30"/>
        <v>WSXPR19QA_CA012_OUT_2</v>
      </c>
      <c r="L295" s="23"/>
      <c r="M295" s="23"/>
    </row>
    <row r="296" spans="1:13" x14ac:dyDescent="0.25">
      <c r="A296" s="21" t="s">
        <v>27</v>
      </c>
      <c r="B296" s="117" t="s">
        <v>154</v>
      </c>
      <c r="C296" s="118" t="s">
        <v>151</v>
      </c>
      <c r="D296" s="104" t="s">
        <v>152</v>
      </c>
      <c r="E296" s="119" t="str">
        <f t="shared" ca="1" si="29"/>
        <v>FM_RR4_ST_DD</v>
      </c>
      <c r="F296" s="119" t="str">
        <f t="shared" ca="1" si="28"/>
        <v>FM_RR4_ST_DD</v>
      </c>
      <c r="G296" s="119" t="str">
        <f t="shared" ca="1" si="28"/>
        <v>FM_RR4_ST_DD</v>
      </c>
      <c r="H296" s="119" t="str">
        <f t="shared" ca="1" si="28"/>
        <v>FM_RR4_ST_DD</v>
      </c>
      <c r="I296" s="119" t="str">
        <f t="shared" ca="1" si="28"/>
        <v>FM_RR4_ST_DD</v>
      </c>
      <c r="J296" s="20"/>
      <c r="K296" s="20" t="str">
        <f t="shared" si="30"/>
        <v>YKYPR19QA_CA012_OUT_2</v>
      </c>
      <c r="L296" s="23"/>
      <c r="M296" s="23"/>
    </row>
    <row r="297" spans="1:13" x14ac:dyDescent="0.25">
      <c r="A297" s="21" t="s">
        <v>28</v>
      </c>
      <c r="B297" s="117" t="s">
        <v>154</v>
      </c>
      <c r="C297" s="118" t="s">
        <v>151</v>
      </c>
      <c r="D297" s="104" t="s">
        <v>152</v>
      </c>
      <c r="E297" s="119" t="str">
        <f t="shared" ca="1" si="29"/>
        <v>FM_RR4_ST_DD</v>
      </c>
      <c r="F297" s="119" t="str">
        <f t="shared" ca="1" si="28"/>
        <v>FM_RR4_ST_DD</v>
      </c>
      <c r="G297" s="119" t="str">
        <f t="shared" ca="1" si="28"/>
        <v>FM_RR4_ST_DD</v>
      </c>
      <c r="H297" s="119" t="str">
        <f t="shared" ca="1" si="28"/>
        <v>FM_RR4_ST_DD</v>
      </c>
      <c r="I297" s="119" t="str">
        <f t="shared" ca="1" si="28"/>
        <v>FM_RR4_ST_DD</v>
      </c>
      <c r="J297" s="20"/>
      <c r="K297" s="20" t="str">
        <f t="shared" si="30"/>
        <v>AFWPR19QA_CA012_OUT_2</v>
      </c>
      <c r="L297" s="23"/>
      <c r="M297" s="23"/>
    </row>
    <row r="298" spans="1:13" x14ac:dyDescent="0.25">
      <c r="A298" s="21" t="s">
        <v>29</v>
      </c>
      <c r="B298" s="117" t="s">
        <v>154</v>
      </c>
      <c r="C298" s="118" t="s">
        <v>151</v>
      </c>
      <c r="D298" s="104" t="s">
        <v>152</v>
      </c>
      <c r="E298" s="119" t="str">
        <f t="shared" ca="1" si="29"/>
        <v>FM_RR4_ST_DD</v>
      </c>
      <c r="F298" s="119" t="str">
        <f t="shared" ca="1" si="28"/>
        <v>FM_RR4_ST_DD</v>
      </c>
      <c r="G298" s="119" t="str">
        <f t="shared" ca="1" si="28"/>
        <v>FM_RR4_ST_DD</v>
      </c>
      <c r="H298" s="119" t="str">
        <f t="shared" ca="1" si="28"/>
        <v>FM_RR4_ST_DD</v>
      </c>
      <c r="I298" s="119" t="str">
        <f t="shared" ca="1" si="28"/>
        <v>FM_RR4_ST_DD</v>
      </c>
      <c r="J298" s="20"/>
      <c r="K298" s="20" t="str">
        <f t="shared" si="30"/>
        <v>BRLPR19QA_CA012_OUT_2</v>
      </c>
      <c r="L298" s="23"/>
      <c r="M298" s="23"/>
    </row>
    <row r="299" spans="1:13" x14ac:dyDescent="0.25">
      <c r="A299" s="21" t="s">
        <v>30</v>
      </c>
      <c r="B299" s="117" t="s">
        <v>154</v>
      </c>
      <c r="C299" s="118" t="s">
        <v>151</v>
      </c>
      <c r="D299" s="104" t="s">
        <v>152</v>
      </c>
      <c r="E299" s="119" t="str">
        <f t="shared" ca="1" si="29"/>
        <v>FM_RR4_ST_DD</v>
      </c>
      <c r="F299" s="119" t="str">
        <f t="shared" ca="1" si="28"/>
        <v>FM_RR4_ST_DD</v>
      </c>
      <c r="G299" s="119" t="str">
        <f t="shared" ca="1" si="28"/>
        <v>FM_RR4_ST_DD</v>
      </c>
      <c r="H299" s="119" t="str">
        <f t="shared" ca="1" si="28"/>
        <v>FM_RR4_ST_DD</v>
      </c>
      <c r="I299" s="119" t="str">
        <f t="shared" ca="1" si="28"/>
        <v>FM_RR4_ST_DD</v>
      </c>
      <c r="J299" s="20"/>
      <c r="K299" s="20" t="str">
        <f t="shared" si="30"/>
        <v>DVWPR19QA_CA012_OUT_2</v>
      </c>
      <c r="L299" s="23"/>
      <c r="M299" s="23"/>
    </row>
    <row r="300" spans="1:13" x14ac:dyDescent="0.25">
      <c r="A300" s="21" t="s">
        <v>31</v>
      </c>
      <c r="B300" s="117" t="s">
        <v>154</v>
      </c>
      <c r="C300" s="118" t="s">
        <v>151</v>
      </c>
      <c r="D300" s="104" t="s">
        <v>152</v>
      </c>
      <c r="E300" s="119" t="str">
        <f t="shared" ca="1" si="29"/>
        <v>FM_RR4_ST_DD</v>
      </c>
      <c r="F300" s="119" t="str">
        <f t="shared" ca="1" si="28"/>
        <v>FM_RR4_ST_DD</v>
      </c>
      <c r="G300" s="119" t="str">
        <f t="shared" ca="1" si="28"/>
        <v>FM_RR4_ST_DD</v>
      </c>
      <c r="H300" s="119" t="str">
        <f t="shared" ca="1" si="28"/>
        <v>FM_RR4_ST_DD</v>
      </c>
      <c r="I300" s="119" t="str">
        <f t="shared" ca="1" si="28"/>
        <v>FM_RR4_ST_DD</v>
      </c>
      <c r="J300" s="20"/>
      <c r="K300" s="20" t="str">
        <f t="shared" si="30"/>
        <v>PRTPR19QA_CA012_OUT_2</v>
      </c>
      <c r="L300" s="23"/>
      <c r="M300" s="23"/>
    </row>
    <row r="301" spans="1:13" x14ac:dyDescent="0.25">
      <c r="A301" s="21" t="s">
        <v>32</v>
      </c>
      <c r="B301" s="117" t="s">
        <v>154</v>
      </c>
      <c r="C301" s="118" t="s">
        <v>151</v>
      </c>
      <c r="D301" s="104" t="s">
        <v>152</v>
      </c>
      <c r="E301" s="119" t="str">
        <f t="shared" ref="E301:E303" ca="1" si="31">MID(CELL("filename",$E$1),SEARCH("[",CELL("filename",$E$1))+1,SEARCH(".",CELL("filename",$E$1))-1-SEARCH("[",CELL("filename",$E$1)))</f>
        <v>FM_RR4_ST_DD</v>
      </c>
      <c r="F301" s="119" t="str">
        <f t="shared" ca="1" si="28"/>
        <v>FM_RR4_ST_DD</v>
      </c>
      <c r="G301" s="119" t="str">
        <f t="shared" ca="1" si="28"/>
        <v>FM_RR4_ST_DD</v>
      </c>
      <c r="H301" s="119" t="str">
        <f t="shared" ca="1" si="28"/>
        <v>FM_RR4_ST_DD</v>
      </c>
      <c r="I301" s="119" t="str">
        <f t="shared" ca="1" si="28"/>
        <v>FM_RR4_ST_DD</v>
      </c>
      <c r="J301" s="20"/>
      <c r="K301" s="20" t="str">
        <f t="shared" si="30"/>
        <v>SESPR19QA_CA012_OUT_2</v>
      </c>
      <c r="L301" s="23"/>
      <c r="M301" s="23"/>
    </row>
    <row r="302" spans="1:13" x14ac:dyDescent="0.25">
      <c r="A302" s="21" t="s">
        <v>33</v>
      </c>
      <c r="B302" s="117" t="s">
        <v>154</v>
      </c>
      <c r="C302" s="118" t="s">
        <v>151</v>
      </c>
      <c r="D302" s="104" t="s">
        <v>152</v>
      </c>
      <c r="E302" s="119" t="str">
        <f t="shared" ca="1" si="31"/>
        <v>FM_RR4_ST_DD</v>
      </c>
      <c r="F302" s="119" t="str">
        <f t="shared" ca="1" si="28"/>
        <v>FM_RR4_ST_DD</v>
      </c>
      <c r="G302" s="119" t="str">
        <f t="shared" ca="1" si="28"/>
        <v>FM_RR4_ST_DD</v>
      </c>
      <c r="H302" s="119" t="str">
        <f t="shared" ca="1" si="28"/>
        <v>FM_RR4_ST_DD</v>
      </c>
      <c r="I302" s="119" t="str">
        <f t="shared" ca="1" si="28"/>
        <v>FM_RR4_ST_DD</v>
      </c>
      <c r="J302" s="20"/>
      <c r="K302" s="20" t="str">
        <f t="shared" si="30"/>
        <v>SEWPR19QA_CA012_OUT_2</v>
      </c>
      <c r="L302" s="23"/>
      <c r="M302" s="23"/>
    </row>
    <row r="303" spans="1:13" x14ac:dyDescent="0.25">
      <c r="A303" s="21" t="s">
        <v>34</v>
      </c>
      <c r="B303" s="117" t="s">
        <v>154</v>
      </c>
      <c r="C303" s="118" t="s">
        <v>151</v>
      </c>
      <c r="D303" s="104" t="s">
        <v>152</v>
      </c>
      <c r="E303" s="119" t="str">
        <f t="shared" ca="1" si="31"/>
        <v>FM_RR4_ST_DD</v>
      </c>
      <c r="F303" s="119" t="str">
        <f t="shared" ca="1" si="28"/>
        <v>FM_RR4_ST_DD</v>
      </c>
      <c r="G303" s="119" t="str">
        <f t="shared" ca="1" si="28"/>
        <v>FM_RR4_ST_DD</v>
      </c>
      <c r="H303" s="119" t="str">
        <f t="shared" ca="1" si="28"/>
        <v>FM_RR4_ST_DD</v>
      </c>
      <c r="I303" s="119" t="str">
        <f t="shared" ca="1" si="28"/>
        <v>FM_RR4_ST_DD</v>
      </c>
      <c r="J303" s="20"/>
      <c r="K303" s="20" t="str">
        <f t="shared" si="30"/>
        <v>SSCPR19QA_CA012_OUT_2</v>
      </c>
    </row>
    <row r="304" spans="1:13" x14ac:dyDescent="0.25">
      <c r="A304" s="120" t="s">
        <v>20</v>
      </c>
      <c r="B304" s="117" t="s">
        <v>263</v>
      </c>
      <c r="C304" s="8" t="s">
        <v>260</v>
      </c>
      <c r="D304" s="104" t="s">
        <v>152</v>
      </c>
      <c r="E304" s="18">
        <f>_xlfn.IFNA(INDEX('Financial model inputs'!$A$2:$F$88,MATCH(F_interface!$A304&amp;RIGHT(E$2,2),'Financial model inputs'!$A$2:$A$88,0),MATCH($B304,'Financial model inputs'!$A$2:$F$2,0)),0)</f>
        <v>27.448139778489168</v>
      </c>
      <c r="F304" s="18">
        <f>_xlfn.IFNA(INDEX('Financial model inputs'!$A$2:$F$88,MATCH(F_interface!$A304&amp;RIGHT(F$2,2),'Financial model inputs'!$A$2:$A$88,0),MATCH($B304,'Financial model inputs'!$A$2:$F$2,0)),0)</f>
        <v>27.034185973166949</v>
      </c>
      <c r="G304" s="18">
        <f>_xlfn.IFNA(INDEX('Financial model inputs'!$A$2:$F$88,MATCH(F_interface!$A304&amp;RIGHT(G$2,2),'Financial model inputs'!$A$2:$A$88,0),MATCH($B304,'Financial model inputs'!$A$2:$F$2,0)),0)</f>
        <v>26.667594278773965</v>
      </c>
      <c r="H304" s="18">
        <f>_xlfn.IFNA(INDEX('Financial model inputs'!$A$2:$F$88,MATCH(F_interface!$A304&amp;RIGHT(H$2,2),'Financial model inputs'!$A$2:$A$88,0),MATCH($B304,'Financial model inputs'!$A$2:$F$2,0)),0)</f>
        <v>26.327196080957815</v>
      </c>
      <c r="I304" s="18">
        <f>_xlfn.IFNA(INDEX('Financial model inputs'!$A$2:$F$88,MATCH(F_interface!$A304&amp;RIGHT(I$2,2),'Financial model inputs'!$A$2:$A$88,0),MATCH($B304,'Financial model inputs'!$A$2:$F$2,0)),0)</f>
        <v>26.012284669650121</v>
      </c>
      <c r="K304" s="20" t="str">
        <f t="shared" si="30"/>
        <v>ANHC_COSTPERHH1_PR19CA012</v>
      </c>
    </row>
    <row r="305" spans="1:11" x14ac:dyDescent="0.25">
      <c r="A305" s="120" t="s">
        <v>157</v>
      </c>
      <c r="B305" s="117" t="s">
        <v>263</v>
      </c>
      <c r="C305" s="8" t="s">
        <v>260</v>
      </c>
      <c r="D305" s="104" t="s">
        <v>152</v>
      </c>
      <c r="E305" s="18">
        <f>_xlfn.IFNA(INDEX('Financial model inputs'!$A$2:$F$88,MATCH(F_interface!$A305&amp;RIGHT(E$2,2),'Financial model inputs'!$A$2:$A$88,0),MATCH($B305,'Financial model inputs'!$A$2:$F$2,0)),0)</f>
        <v>30.167210832577048</v>
      </c>
      <c r="F305" s="18">
        <f>_xlfn.IFNA(INDEX('Financial model inputs'!$A$2:$F$88,MATCH(F_interface!$A305&amp;RIGHT(F$2,2),'Financial model inputs'!$A$2:$A$88,0),MATCH($B305,'Financial model inputs'!$A$2:$F$2,0)),0)</f>
        <v>30.01559141140477</v>
      </c>
      <c r="G305" s="18">
        <f>_xlfn.IFNA(INDEX('Financial model inputs'!$A$2:$F$88,MATCH(F_interface!$A305&amp;RIGHT(G$2,2),'Financial model inputs'!$A$2:$A$88,0),MATCH($B305,'Financial model inputs'!$A$2:$F$2,0)),0)</f>
        <v>29.862377254357579</v>
      </c>
      <c r="H305" s="18">
        <f>_xlfn.IFNA(INDEX('Financial model inputs'!$A$2:$F$88,MATCH(F_interface!$A305&amp;RIGHT(H$2,2),'Financial model inputs'!$A$2:$A$88,0),MATCH($B305,'Financial model inputs'!$A$2:$F$2,0)),0)</f>
        <v>29.709795538827009</v>
      </c>
      <c r="I305" s="18">
        <f>_xlfn.IFNA(INDEX('Financial model inputs'!$A$2:$F$88,MATCH(F_interface!$A305&amp;RIGHT(I$2,2),'Financial model inputs'!$A$2:$A$88,0),MATCH($B305,'Financial model inputs'!$A$2:$F$2,0)),0)</f>
        <v>29.557546009185039</v>
      </c>
      <c r="K305" s="20" t="str">
        <f t="shared" si="30"/>
        <v>HDDC_COSTPERHH1_PR19CA012</v>
      </c>
    </row>
    <row r="306" spans="1:11" x14ac:dyDescent="0.25">
      <c r="A306" s="120" t="s">
        <v>21</v>
      </c>
      <c r="B306" s="117" t="s">
        <v>263</v>
      </c>
      <c r="C306" s="8" t="s">
        <v>260</v>
      </c>
      <c r="D306" s="104" t="s">
        <v>152</v>
      </c>
      <c r="E306" s="18">
        <f>_xlfn.IFNA(INDEX('Financial model inputs'!$A$2:$F$88,MATCH(F_interface!$A306&amp;RIGHT(E$2,2),'Financial model inputs'!$A$2:$A$88,0),MATCH($B306,'Financial model inputs'!$A$2:$F$2,0)),0)</f>
        <v>25.742910984685068</v>
      </c>
      <c r="F306" s="18">
        <f>_xlfn.IFNA(INDEX('Financial model inputs'!$A$2:$F$88,MATCH(F_interface!$A306&amp;RIGHT(F$2,2),'Financial model inputs'!$A$2:$A$88,0),MATCH($B306,'Financial model inputs'!$A$2:$F$2,0)),0)</f>
        <v>25.496511341320694</v>
      </c>
      <c r="G306" s="18">
        <f>_xlfn.IFNA(INDEX('Financial model inputs'!$A$2:$F$88,MATCH(F_interface!$A306&amp;RIGHT(G$2,2),'Financial model inputs'!$A$2:$A$88,0),MATCH($B306,'Financial model inputs'!$A$2:$F$2,0)),0)</f>
        <v>25.261961971489402</v>
      </c>
      <c r="H306" s="18">
        <f>_xlfn.IFNA(INDEX('Financial model inputs'!$A$2:$F$88,MATCH(F_interface!$A306&amp;RIGHT(H$2,2),'Financial model inputs'!$A$2:$A$88,0),MATCH($B306,'Financial model inputs'!$A$2:$F$2,0)),0)</f>
        <v>25.03967522542526</v>
      </c>
      <c r="I306" s="18">
        <f>_xlfn.IFNA(INDEX('Financial model inputs'!$A$2:$F$88,MATCH(F_interface!$A306&amp;RIGHT(I$2,2),'Financial model inputs'!$A$2:$A$88,0),MATCH($B306,'Financial model inputs'!$A$2:$F$2,0)),0)</f>
        <v>24.821903142865981</v>
      </c>
      <c r="K306" s="20" t="str">
        <f t="shared" si="30"/>
        <v>NESC_COSTPERHH1_PR19CA012</v>
      </c>
    </row>
    <row r="307" spans="1:11" x14ac:dyDescent="0.25">
      <c r="A307" s="120" t="s">
        <v>22</v>
      </c>
      <c r="B307" s="117" t="s">
        <v>263</v>
      </c>
      <c r="C307" s="8" t="s">
        <v>260</v>
      </c>
      <c r="D307" s="104" t="s">
        <v>152</v>
      </c>
      <c r="E307" s="18">
        <f>_xlfn.IFNA(INDEX('Financial model inputs'!$A$2:$F$88,MATCH(F_interface!$A307&amp;RIGHT(E$2,2),'Financial model inputs'!$A$2:$A$88,0),MATCH($B307,'Financial model inputs'!$A$2:$F$2,0)),0)</f>
        <v>31.345067877805548</v>
      </c>
      <c r="F307" s="18">
        <f>_xlfn.IFNA(INDEX('Financial model inputs'!$A$2:$F$88,MATCH(F_interface!$A307&amp;RIGHT(F$2,2),'Financial model inputs'!$A$2:$A$88,0),MATCH($B307,'Financial model inputs'!$A$2:$F$2,0)),0)</f>
        <v>31.112399853793242</v>
      </c>
      <c r="G307" s="18">
        <f>_xlfn.IFNA(INDEX('Financial model inputs'!$A$2:$F$88,MATCH(F_interface!$A307&amp;RIGHT(G$2,2),'Financial model inputs'!$A$2:$A$88,0),MATCH($B307,'Financial model inputs'!$A$2:$F$2,0)),0)</f>
        <v>30.872865076264727</v>
      </c>
      <c r="H307" s="18">
        <f>_xlfn.IFNA(INDEX('Financial model inputs'!$A$2:$F$88,MATCH(F_interface!$A307&amp;RIGHT(H$2,2),'Financial model inputs'!$A$2:$A$88,0),MATCH($B307,'Financial model inputs'!$A$2:$F$2,0)),0)</f>
        <v>30.626868785941408</v>
      </c>
      <c r="I307" s="18">
        <f>_xlfn.IFNA(INDEX('Financial model inputs'!$A$2:$F$88,MATCH(F_interface!$A307&amp;RIGHT(I$2,2),'Financial model inputs'!$A$2:$A$88,0),MATCH($B307,'Financial model inputs'!$A$2:$F$2,0)),0)</f>
        <v>30.374820946582194</v>
      </c>
      <c r="K307" s="20" t="str">
        <f t="shared" si="30"/>
        <v>NWTC_COSTPERHH1_PR19CA012</v>
      </c>
    </row>
    <row r="308" spans="1:11" x14ac:dyDescent="0.25">
      <c r="A308" s="120" t="s">
        <v>23</v>
      </c>
      <c r="B308" s="117" t="s">
        <v>263</v>
      </c>
      <c r="C308" s="8" t="s">
        <v>260</v>
      </c>
      <c r="D308" s="104" t="s">
        <v>152</v>
      </c>
      <c r="E308" s="18">
        <f>_xlfn.IFNA(INDEX('Financial model inputs'!$A$2:$F$88,MATCH(F_interface!$A308&amp;RIGHT(E$2,2),'Financial model inputs'!$A$2:$A$88,0),MATCH($B308,'Financial model inputs'!$A$2:$F$2,0)),0)</f>
        <v>26.130840749972709</v>
      </c>
      <c r="F308" s="18">
        <f>_xlfn.IFNA(INDEX('Financial model inputs'!$A$2:$F$88,MATCH(F_interface!$A308&amp;RIGHT(F$2,2),'Financial model inputs'!$A$2:$A$88,0),MATCH($B308,'Financial model inputs'!$A$2:$F$2,0)),0)</f>
        <v>25.794475299299862</v>
      </c>
      <c r="G308" s="18">
        <f>_xlfn.IFNA(INDEX('Financial model inputs'!$A$2:$F$88,MATCH(F_interface!$A308&amp;RIGHT(G$2,2),'Financial model inputs'!$A$2:$A$88,0),MATCH($B308,'Financial model inputs'!$A$2:$F$2,0)),0)</f>
        <v>25.491326741168802</v>
      </c>
      <c r="H308" s="18">
        <f>_xlfn.IFNA(INDEX('Financial model inputs'!$A$2:$F$88,MATCH(F_interface!$A308&amp;RIGHT(H$2,2),'Financial model inputs'!$A$2:$A$88,0),MATCH($B308,'Financial model inputs'!$A$2:$F$2,0)),0)</f>
        <v>25.205191041470389</v>
      </c>
      <c r="I308" s="18">
        <f>_xlfn.IFNA(INDEX('Financial model inputs'!$A$2:$F$88,MATCH(F_interface!$A308&amp;RIGHT(I$2,2),'Financial model inputs'!$A$2:$A$88,0),MATCH($B308,'Financial model inputs'!$A$2:$F$2,0)),0)</f>
        <v>24.941139575453214</v>
      </c>
      <c r="K308" s="20" t="str">
        <f t="shared" si="30"/>
        <v>SRNC_COSTPERHH1_PR19CA012</v>
      </c>
    </row>
    <row r="309" spans="1:11" x14ac:dyDescent="0.25">
      <c r="A309" s="120" t="s">
        <v>156</v>
      </c>
      <c r="B309" s="117" t="s">
        <v>263</v>
      </c>
      <c r="C309" s="8" t="s">
        <v>260</v>
      </c>
      <c r="D309" s="104" t="s">
        <v>152</v>
      </c>
      <c r="E309" s="18">
        <f>_xlfn.IFNA(INDEX('Financial model inputs'!$A$2:$F$88,MATCH(F_interface!$A309&amp;RIGHT(E$2,2),'Financial model inputs'!$A$2:$A$88,0),MATCH($B309,'Financial model inputs'!$A$2:$F$2,0)),0)</f>
        <v>23.760637152510316</v>
      </c>
      <c r="F309" s="18">
        <f>_xlfn.IFNA(INDEX('Financial model inputs'!$A$2:$F$88,MATCH(F_interface!$A309&amp;RIGHT(F$2,2),'Financial model inputs'!$A$2:$A$88,0),MATCH($B309,'Financial model inputs'!$A$2:$F$2,0)),0)</f>
        <v>23.623921348870827</v>
      </c>
      <c r="G309" s="18">
        <f>_xlfn.IFNA(INDEX('Financial model inputs'!$A$2:$F$88,MATCH(F_interface!$A309&amp;RIGHT(G$2,2),'Financial model inputs'!$A$2:$A$88,0),MATCH($B309,'Financial model inputs'!$A$2:$F$2,0)),0)</f>
        <v>23.480497168235335</v>
      </c>
      <c r="H309" s="18">
        <f>_xlfn.IFNA(INDEX('Financial model inputs'!$A$2:$F$88,MATCH(F_interface!$A309&amp;RIGHT(H$2,2),'Financial model inputs'!$A$2:$A$88,0),MATCH($B309,'Financial model inputs'!$A$2:$F$2,0)),0)</f>
        <v>23.336410591036866</v>
      </c>
      <c r="I309" s="18">
        <f>_xlfn.IFNA(INDEX('Financial model inputs'!$A$2:$F$88,MATCH(F_interface!$A309&amp;RIGHT(I$2,2),'Financial model inputs'!$A$2:$A$88,0),MATCH($B309,'Financial model inputs'!$A$2:$F$2,0)),0)</f>
        <v>23.19172556356942</v>
      </c>
      <c r="K309" s="20" t="str">
        <f t="shared" si="30"/>
        <v>SVEC_COSTPERHH1_PR19CA012</v>
      </c>
    </row>
    <row r="310" spans="1:11" x14ac:dyDescent="0.25">
      <c r="A310" s="120" t="s">
        <v>232</v>
      </c>
      <c r="B310" s="117" t="s">
        <v>263</v>
      </c>
      <c r="C310" s="8" t="s">
        <v>260</v>
      </c>
      <c r="D310" s="104" t="s">
        <v>152</v>
      </c>
      <c r="E310" s="18">
        <f>_xlfn.IFNA(INDEX('Financial model inputs'!$A$2:$F$88,MATCH(F_interface!$A310&amp;RIGHT(E$2,2),'Financial model inputs'!$A$2:$A$88,0),MATCH($B310,'Financial model inputs'!$A$2:$F$2,0)),0)</f>
        <v>0</v>
      </c>
      <c r="F310" s="18">
        <f>_xlfn.IFNA(INDEX('Financial model inputs'!$A$2:$F$88,MATCH(F_interface!$A310&amp;RIGHT(F$2,2),'Financial model inputs'!$A$2:$A$88,0),MATCH($B310,'Financial model inputs'!$A$2:$F$2,0)),0)</f>
        <v>0</v>
      </c>
      <c r="G310" s="18">
        <f>_xlfn.IFNA(INDEX('Financial model inputs'!$A$2:$F$88,MATCH(F_interface!$A310&amp;RIGHT(G$2,2),'Financial model inputs'!$A$2:$A$88,0),MATCH($B310,'Financial model inputs'!$A$2:$F$2,0)),0)</f>
        <v>0</v>
      </c>
      <c r="H310" s="18">
        <f>_xlfn.IFNA(INDEX('Financial model inputs'!$A$2:$F$88,MATCH(F_interface!$A310&amp;RIGHT(H$2,2),'Financial model inputs'!$A$2:$A$88,0),MATCH($B310,'Financial model inputs'!$A$2:$F$2,0)),0)</f>
        <v>0</v>
      </c>
      <c r="I310" s="18">
        <f>_xlfn.IFNA(INDEX('Financial model inputs'!$A$2:$F$88,MATCH(F_interface!$A310&amp;RIGHT(I$2,2),'Financial model inputs'!$A$2:$A$88,0),MATCH($B310,'Financial model inputs'!$A$2:$F$2,0)),0)</f>
        <v>0</v>
      </c>
      <c r="K310" s="20" t="str">
        <f t="shared" si="30"/>
        <v>SVHC_COSTPERHH1_PR19CA012</v>
      </c>
    </row>
    <row r="311" spans="1:11" x14ac:dyDescent="0.25">
      <c r="A311" s="120" t="s">
        <v>24</v>
      </c>
      <c r="B311" s="117" t="s">
        <v>263</v>
      </c>
      <c r="C311" s="8" t="s">
        <v>260</v>
      </c>
      <c r="D311" s="104" t="s">
        <v>152</v>
      </c>
      <c r="E311" s="18">
        <f>_xlfn.IFNA(INDEX('Financial model inputs'!$A$2:$F$88,MATCH(F_interface!$A311&amp;RIGHT(E$2,2),'Financial model inputs'!$A$2:$A$88,0),MATCH($B311,'Financial model inputs'!$A$2:$F$2,0)),0)</f>
        <v>0</v>
      </c>
      <c r="F311" s="18">
        <f>_xlfn.IFNA(INDEX('Financial model inputs'!$A$2:$F$88,MATCH(F_interface!$A311&amp;RIGHT(F$2,2),'Financial model inputs'!$A$2:$A$88,0),MATCH($B311,'Financial model inputs'!$A$2:$F$2,0)),0)</f>
        <v>0</v>
      </c>
      <c r="G311" s="18">
        <f>_xlfn.IFNA(INDEX('Financial model inputs'!$A$2:$F$88,MATCH(F_interface!$A311&amp;RIGHT(G$2,2),'Financial model inputs'!$A$2:$A$88,0),MATCH($B311,'Financial model inputs'!$A$2:$F$2,0)),0)</f>
        <v>0</v>
      </c>
      <c r="H311" s="18">
        <f>_xlfn.IFNA(INDEX('Financial model inputs'!$A$2:$F$88,MATCH(F_interface!$A311&amp;RIGHT(H$2,2),'Financial model inputs'!$A$2:$A$88,0),MATCH($B311,'Financial model inputs'!$A$2:$F$2,0)),0)</f>
        <v>0</v>
      </c>
      <c r="I311" s="18">
        <f>_xlfn.IFNA(INDEX('Financial model inputs'!$A$2:$F$88,MATCH(F_interface!$A311&amp;RIGHT(I$2,2),'Financial model inputs'!$A$2:$A$88,0),MATCH($B311,'Financial model inputs'!$A$2:$F$2,0)),0)</f>
        <v>0</v>
      </c>
      <c r="K311" s="20" t="str">
        <f t="shared" si="30"/>
        <v>SVTC_COSTPERHH1_PR19CA012</v>
      </c>
    </row>
    <row r="312" spans="1:11" x14ac:dyDescent="0.25">
      <c r="A312" s="21" t="s">
        <v>35</v>
      </c>
      <c r="B312" s="117" t="s">
        <v>263</v>
      </c>
      <c r="C312" s="8" t="s">
        <v>260</v>
      </c>
      <c r="D312" s="104" t="s">
        <v>152</v>
      </c>
      <c r="E312" s="18">
        <f>_xlfn.IFNA(INDEX('Financial model inputs'!$A$2:$F$88,MATCH(F_interface!$A312&amp;RIGHT(E$2,2),'Financial model inputs'!$A$2:$A$88,0),MATCH($B312,'Financial model inputs'!$A$2:$F$2,0)),0)</f>
        <v>28.934205122220163</v>
      </c>
      <c r="F312" s="18">
        <f>_xlfn.IFNA(INDEX('Financial model inputs'!$A$2:$F$88,MATCH(F_interface!$A312&amp;RIGHT(F$2,2),'Financial model inputs'!$A$2:$A$88,0),MATCH($B312,'Financial model inputs'!$A$2:$F$2,0)),0)</f>
        <v>28.579019552923679</v>
      </c>
      <c r="G312" s="18">
        <f>_xlfn.IFNA(INDEX('Financial model inputs'!$A$2:$F$88,MATCH(F_interface!$A312&amp;RIGHT(G$2,2),'Financial model inputs'!$A$2:$A$88,0),MATCH($B312,'Financial model inputs'!$A$2:$F$2,0)),0)</f>
        <v>28.325080233122719</v>
      </c>
      <c r="H312" s="18">
        <f>_xlfn.IFNA(INDEX('Financial model inputs'!$A$2:$F$88,MATCH(F_interface!$A312&amp;RIGHT(H$2,2),'Financial model inputs'!$A$2:$A$88,0),MATCH($B312,'Financial model inputs'!$A$2:$F$2,0)),0)</f>
        <v>28.071575174988642</v>
      </c>
      <c r="I312" s="18">
        <f>_xlfn.IFNA(INDEX('Financial model inputs'!$A$2:$F$88,MATCH(F_interface!$A312&amp;RIGHT(I$2,2),'Financial model inputs'!$A$2:$A$88,0),MATCH($B312,'Financial model inputs'!$A$2:$F$2,0)),0)</f>
        <v>27.828574197924123</v>
      </c>
      <c r="K312" s="20" t="str">
        <f t="shared" si="30"/>
        <v>SWBC_COSTPERHH1_PR19CA012</v>
      </c>
    </row>
    <row r="313" spans="1:11" x14ac:dyDescent="0.25">
      <c r="A313" s="21" t="s">
        <v>25</v>
      </c>
      <c r="B313" s="117" t="s">
        <v>263</v>
      </c>
      <c r="C313" s="8" t="s">
        <v>260</v>
      </c>
      <c r="D313" s="104" t="s">
        <v>152</v>
      </c>
      <c r="E313" s="18">
        <f>_xlfn.IFNA(INDEX('Financial model inputs'!$A$2:$F$88,MATCH(F_interface!$A313&amp;RIGHT(E$2,2),'Financial model inputs'!$A$2:$A$88,0),MATCH($B313,'Financial model inputs'!$A$2:$F$2,0)),0)</f>
        <v>27.040666138624957</v>
      </c>
      <c r="F313" s="18">
        <f>_xlfn.IFNA(INDEX('Financial model inputs'!$A$2:$F$88,MATCH(F_interface!$A313&amp;RIGHT(F$2,2),'Financial model inputs'!$A$2:$A$88,0),MATCH($B313,'Financial model inputs'!$A$2:$F$2,0)),0)</f>
        <v>26.690970664529157</v>
      </c>
      <c r="G313" s="18">
        <f>_xlfn.IFNA(INDEX('Financial model inputs'!$A$2:$F$88,MATCH(F_interface!$A313&amp;RIGHT(G$2,2),'Financial model inputs'!$A$2:$A$88,0),MATCH($B313,'Financial model inputs'!$A$2:$F$2,0)),0)</f>
        <v>26.372264755015248</v>
      </c>
      <c r="H313" s="18">
        <f>_xlfn.IFNA(INDEX('Financial model inputs'!$A$2:$F$88,MATCH(F_interface!$A313&amp;RIGHT(H$2,2),'Financial model inputs'!$A$2:$A$88,0),MATCH($B313,'Financial model inputs'!$A$2:$F$2,0)),0)</f>
        <v>26.055812643412001</v>
      </c>
      <c r="I313" s="18">
        <f>_xlfn.IFNA(INDEX('Financial model inputs'!$A$2:$F$88,MATCH(F_interface!$A313&amp;RIGHT(I$2,2),'Financial model inputs'!$A$2:$A$88,0),MATCH($B313,'Financial model inputs'!$A$2:$F$2,0)),0)</f>
        <v>25.795983658053927</v>
      </c>
      <c r="K313" s="20" t="str">
        <f t="shared" si="30"/>
        <v>TMSC_COSTPERHH1_PR19CA012</v>
      </c>
    </row>
    <row r="314" spans="1:11" x14ac:dyDescent="0.25">
      <c r="A314" s="21" t="s">
        <v>41</v>
      </c>
      <c r="B314" s="117" t="s">
        <v>263</v>
      </c>
      <c r="C314" s="8" t="s">
        <v>260</v>
      </c>
      <c r="D314" s="104" t="s">
        <v>152</v>
      </c>
      <c r="E314" s="18">
        <f>_xlfn.IFNA(INDEX('Financial model inputs'!$A$2:$F$88,MATCH(F_interface!$A314&amp;RIGHT(E$2,2),'Financial model inputs'!$A$2:$A$88,0),MATCH($B314,'Financial model inputs'!$A$2:$F$2,0)),0)</f>
        <v>29.045986762210315</v>
      </c>
      <c r="F314" s="18">
        <f>_xlfn.IFNA(INDEX('Financial model inputs'!$A$2:$F$88,MATCH(F_interface!$A314&amp;RIGHT(F$2,2),'Financial model inputs'!$A$2:$A$88,0),MATCH($B314,'Financial model inputs'!$A$2:$F$2,0)),0)</f>
        <v>28.818958185475473</v>
      </c>
      <c r="G314" s="18">
        <f>_xlfn.IFNA(INDEX('Financial model inputs'!$A$2:$F$88,MATCH(F_interface!$A314&amp;RIGHT(G$2,2),'Financial model inputs'!$A$2:$A$88,0),MATCH($B314,'Financial model inputs'!$A$2:$F$2,0)),0)</f>
        <v>28.591856051701033</v>
      </c>
      <c r="H314" s="18">
        <f>_xlfn.IFNA(INDEX('Financial model inputs'!$A$2:$F$88,MATCH(F_interface!$A314&amp;RIGHT(H$2,2),'Financial model inputs'!$A$2:$A$88,0),MATCH($B314,'Financial model inputs'!$A$2:$F$2,0)),0)</f>
        <v>28.367022036225265</v>
      </c>
      <c r="I314" s="18">
        <f>_xlfn.IFNA(INDEX('Financial model inputs'!$A$2:$F$88,MATCH(F_interface!$A314&amp;RIGHT(I$2,2),'Financial model inputs'!$A$2:$A$88,0),MATCH($B314,'Financial model inputs'!$A$2:$F$2,0)),0)</f>
        <v>28.144471596525612</v>
      </c>
      <c r="K314" s="20" t="str">
        <f t="shared" si="30"/>
        <v>WSHC_COSTPERHH1_PR19CA012</v>
      </c>
    </row>
    <row r="315" spans="1:11" x14ac:dyDescent="0.25">
      <c r="A315" s="21" t="s">
        <v>26</v>
      </c>
      <c r="B315" s="117" t="s">
        <v>263</v>
      </c>
      <c r="C315" s="8" t="s">
        <v>260</v>
      </c>
      <c r="D315" s="104" t="s">
        <v>152</v>
      </c>
      <c r="E315" s="18">
        <f>_xlfn.IFNA(INDEX('Financial model inputs'!$A$2:$F$88,MATCH(F_interface!$A315&amp;RIGHT(E$2,2),'Financial model inputs'!$A$2:$A$88,0),MATCH($B315,'Financial model inputs'!$A$2:$F$2,0)),0)</f>
        <v>23.214178458234056</v>
      </c>
      <c r="F315" s="18">
        <f>_xlfn.IFNA(INDEX('Financial model inputs'!$A$2:$F$88,MATCH(F_interface!$A315&amp;RIGHT(F$2,2),'Financial model inputs'!$A$2:$A$88,0),MATCH($B315,'Financial model inputs'!$A$2:$F$2,0)),0)</f>
        <v>22.973678513435186</v>
      </c>
      <c r="G315" s="18">
        <f>_xlfn.IFNA(INDEX('Financial model inputs'!$A$2:$F$88,MATCH(F_interface!$A315&amp;RIGHT(G$2,2),'Financial model inputs'!$A$2:$A$88,0),MATCH($B315,'Financial model inputs'!$A$2:$F$2,0)),0)</f>
        <v>22.742428105862</v>
      </c>
      <c r="H315" s="18">
        <f>_xlfn.IFNA(INDEX('Financial model inputs'!$A$2:$F$88,MATCH(F_interface!$A315&amp;RIGHT(H$2,2),'Financial model inputs'!$A$2:$A$88,0),MATCH($B315,'Financial model inputs'!$A$2:$F$2,0)),0)</f>
        <v>22.52111868514962</v>
      </c>
      <c r="I315" s="18">
        <f>_xlfn.IFNA(INDEX('Financial model inputs'!$A$2:$F$88,MATCH(F_interface!$A315&amp;RIGHT(I$2,2),'Financial model inputs'!$A$2:$A$88,0),MATCH($B315,'Financial model inputs'!$A$2:$F$2,0)),0)</f>
        <v>22.314037139983753</v>
      </c>
      <c r="K315" s="20" t="str">
        <f t="shared" si="30"/>
        <v>WSXC_COSTPERHH1_PR19CA012</v>
      </c>
    </row>
    <row r="316" spans="1:11" x14ac:dyDescent="0.25">
      <c r="A316" s="21" t="s">
        <v>27</v>
      </c>
      <c r="B316" s="117" t="s">
        <v>263</v>
      </c>
      <c r="C316" s="8" t="s">
        <v>260</v>
      </c>
      <c r="D316" s="104" t="s">
        <v>152</v>
      </c>
      <c r="E316" s="18">
        <f>_xlfn.IFNA(INDEX('Financial model inputs'!$A$2:$F$88,MATCH(F_interface!$A316&amp;RIGHT(E$2,2),'Financial model inputs'!$A$2:$A$88,0),MATCH($B316,'Financial model inputs'!$A$2:$F$2,0)),0)</f>
        <v>29.273534222993401</v>
      </c>
      <c r="F316" s="18">
        <f>_xlfn.IFNA(INDEX('Financial model inputs'!$A$2:$F$88,MATCH(F_interface!$A316&amp;RIGHT(F$2,2),'Financial model inputs'!$A$2:$A$88,0),MATCH($B316,'Financial model inputs'!$A$2:$F$2,0)),0)</f>
        <v>29.000053131174575</v>
      </c>
      <c r="G316" s="18">
        <f>_xlfn.IFNA(INDEX('Financial model inputs'!$A$2:$F$88,MATCH(F_interface!$A316&amp;RIGHT(G$2,2),'Financial model inputs'!$A$2:$A$88,0),MATCH($B316,'Financial model inputs'!$A$2:$F$2,0)),0)</f>
        <v>28.730351004090046</v>
      </c>
      <c r="H316" s="18">
        <f>_xlfn.IFNA(INDEX('Financial model inputs'!$A$2:$F$88,MATCH(F_interface!$A316&amp;RIGHT(H$2,2),'Financial model inputs'!$A$2:$A$88,0),MATCH($B316,'Financial model inputs'!$A$2:$F$2,0)),0)</f>
        <v>28.466068259948393</v>
      </c>
      <c r="I316" s="18">
        <f>_xlfn.IFNA(INDEX('Financial model inputs'!$A$2:$F$88,MATCH(F_interface!$A316&amp;RIGHT(I$2,2),'Financial model inputs'!$A$2:$A$88,0),MATCH($B316,'Financial model inputs'!$A$2:$F$2,0)),0)</f>
        <v>28.206027625338734</v>
      </c>
      <c r="K316" s="20" t="str">
        <f t="shared" si="30"/>
        <v>YKYC_COSTPERHH1_PR19CA012</v>
      </c>
    </row>
    <row r="317" spans="1:11" x14ac:dyDescent="0.25">
      <c r="A317" s="21" t="s">
        <v>28</v>
      </c>
      <c r="B317" s="117" t="s">
        <v>263</v>
      </c>
      <c r="C317" s="8" t="s">
        <v>260</v>
      </c>
      <c r="D317" s="104" t="s">
        <v>152</v>
      </c>
      <c r="E317" s="18">
        <f>_xlfn.IFNA(INDEX('Financial model inputs'!$A$2:$F$88,MATCH(F_interface!$A317&amp;RIGHT(E$2,2),'Financial model inputs'!$A$2:$A$88,0),MATCH($B317,'Financial model inputs'!$A$2:$F$2,0)),0)</f>
        <v>19.819387922711186</v>
      </c>
      <c r="F317" s="18">
        <f>_xlfn.IFNA(INDEX('Financial model inputs'!$A$2:$F$88,MATCH(F_interface!$A317&amp;RIGHT(F$2,2),'Financial model inputs'!$A$2:$A$88,0),MATCH($B317,'Financial model inputs'!$A$2:$F$2,0)),0)</f>
        <v>19.540870368929721</v>
      </c>
      <c r="G317" s="18">
        <f>_xlfn.IFNA(INDEX('Financial model inputs'!$A$2:$F$88,MATCH(F_interface!$A317&amp;RIGHT(G$2,2),'Financial model inputs'!$A$2:$A$88,0),MATCH($B317,'Financial model inputs'!$A$2:$F$2,0)),0)</f>
        <v>19.314787508464292</v>
      </c>
      <c r="H317" s="18">
        <f>_xlfn.IFNA(INDEX('Financial model inputs'!$A$2:$F$88,MATCH(F_interface!$A317&amp;RIGHT(H$2,2),'Financial model inputs'!$A$2:$A$88,0),MATCH($B317,'Financial model inputs'!$A$2:$F$2,0)),0)</f>
        <v>19.093863196369654</v>
      </c>
      <c r="I317" s="18">
        <f>_xlfn.IFNA(INDEX('Financial model inputs'!$A$2:$F$88,MATCH(F_interface!$A317&amp;RIGHT(I$2,2),'Financial model inputs'!$A$2:$A$88,0),MATCH($B317,'Financial model inputs'!$A$2:$F$2,0)),0)</f>
        <v>18.877935636082455</v>
      </c>
      <c r="K317" s="20" t="str">
        <f t="shared" si="30"/>
        <v>AFWC_COSTPERHH1_PR19CA012</v>
      </c>
    </row>
    <row r="318" spans="1:11" x14ac:dyDescent="0.25">
      <c r="A318" s="21" t="s">
        <v>29</v>
      </c>
      <c r="B318" s="117" t="s">
        <v>263</v>
      </c>
      <c r="C318" s="8" t="s">
        <v>260</v>
      </c>
      <c r="D318" s="104" t="s">
        <v>152</v>
      </c>
      <c r="E318" s="18">
        <f>_xlfn.IFNA(INDEX('Financial model inputs'!$A$2:$F$88,MATCH(F_interface!$A318&amp;RIGHT(E$2,2),'Financial model inputs'!$A$2:$A$88,0),MATCH($B318,'Financial model inputs'!$A$2:$F$2,0)),0)</f>
        <v>19.806139429594449</v>
      </c>
      <c r="F318" s="18">
        <f>_xlfn.IFNA(INDEX('Financial model inputs'!$A$2:$F$88,MATCH(F_interface!$A318&amp;RIGHT(F$2,2),'Financial model inputs'!$A$2:$A$88,0),MATCH($B318,'Financial model inputs'!$A$2:$F$2,0)),0)</f>
        <v>19.576836414642663</v>
      </c>
      <c r="G318" s="18">
        <f>_xlfn.IFNA(INDEX('Financial model inputs'!$A$2:$F$88,MATCH(F_interface!$A318&amp;RIGHT(G$2,2),'Financial model inputs'!$A$2:$A$88,0),MATCH($B318,'Financial model inputs'!$A$2:$F$2,0)),0)</f>
        <v>19.370850136201209</v>
      </c>
      <c r="H318" s="18">
        <f>_xlfn.IFNA(INDEX('Financial model inputs'!$A$2:$F$88,MATCH(F_interface!$A318&amp;RIGHT(H$2,2),'Financial model inputs'!$A$2:$A$88,0),MATCH($B318,'Financial model inputs'!$A$2:$F$2,0)),0)</f>
        <v>19.172513534760931</v>
      </c>
      <c r="I318" s="18">
        <f>_xlfn.IFNA(INDEX('Financial model inputs'!$A$2:$F$88,MATCH(F_interface!$A318&amp;RIGHT(I$2,2),'Financial model inputs'!$A$2:$A$88,0),MATCH($B318,'Financial model inputs'!$A$2:$F$2,0)),0)</f>
        <v>18.982636535539079</v>
      </c>
      <c r="K318" s="20" t="str">
        <f t="shared" si="30"/>
        <v>BRLC_COSTPERHH1_PR19CA012</v>
      </c>
    </row>
    <row r="319" spans="1:11" x14ac:dyDescent="0.25">
      <c r="A319" s="21" t="s">
        <v>30</v>
      </c>
      <c r="B319" s="117" t="s">
        <v>263</v>
      </c>
      <c r="C319" s="8" t="s">
        <v>260</v>
      </c>
      <c r="D319" s="104" t="s">
        <v>152</v>
      </c>
      <c r="E319" s="18">
        <f>_xlfn.IFNA(INDEX('Financial model inputs'!$A$2:$F$88,MATCH(F_interface!$A319&amp;RIGHT(E$2,2),'Financial model inputs'!$A$2:$A$88,0),MATCH($B319,'Financial model inputs'!$A$2:$F$2,0)),0)</f>
        <v>0</v>
      </c>
      <c r="F319" s="18">
        <f>_xlfn.IFNA(INDEX('Financial model inputs'!$A$2:$F$88,MATCH(F_interface!$A319&amp;RIGHT(F$2,2),'Financial model inputs'!$A$2:$A$88,0),MATCH($B319,'Financial model inputs'!$A$2:$F$2,0)),0)</f>
        <v>0</v>
      </c>
      <c r="G319" s="18">
        <f>_xlfn.IFNA(INDEX('Financial model inputs'!$A$2:$F$88,MATCH(F_interface!$A319&amp;RIGHT(G$2,2),'Financial model inputs'!$A$2:$A$88,0),MATCH($B319,'Financial model inputs'!$A$2:$F$2,0)),0)</f>
        <v>0</v>
      </c>
      <c r="H319" s="18">
        <f>_xlfn.IFNA(INDEX('Financial model inputs'!$A$2:$F$88,MATCH(F_interface!$A319&amp;RIGHT(H$2,2),'Financial model inputs'!$A$2:$A$88,0),MATCH($B319,'Financial model inputs'!$A$2:$F$2,0)),0)</f>
        <v>0</v>
      </c>
      <c r="I319" s="18">
        <f>_xlfn.IFNA(INDEX('Financial model inputs'!$A$2:$F$88,MATCH(F_interface!$A319&amp;RIGHT(I$2,2),'Financial model inputs'!$A$2:$A$88,0),MATCH($B319,'Financial model inputs'!$A$2:$F$2,0)),0)</f>
        <v>0</v>
      </c>
      <c r="K319" s="20" t="str">
        <f t="shared" si="30"/>
        <v>DVWC_COSTPERHH1_PR19CA012</v>
      </c>
    </row>
    <row r="320" spans="1:11" x14ac:dyDescent="0.25">
      <c r="A320" s="21" t="s">
        <v>31</v>
      </c>
      <c r="B320" s="117" t="s">
        <v>263</v>
      </c>
      <c r="C320" s="8" t="s">
        <v>260</v>
      </c>
      <c r="D320" s="104" t="s">
        <v>152</v>
      </c>
      <c r="E320" s="18">
        <f>_xlfn.IFNA(INDEX('Financial model inputs'!$A$2:$F$88,MATCH(F_interface!$A320&amp;RIGHT(E$2,2),'Financial model inputs'!$A$2:$A$88,0),MATCH($B320,'Financial model inputs'!$A$2:$F$2,0)),0)</f>
        <v>14.600261225862047</v>
      </c>
      <c r="F320" s="18">
        <f>_xlfn.IFNA(INDEX('Financial model inputs'!$A$2:$F$88,MATCH(F_interface!$A320&amp;RIGHT(F$2,2),'Financial model inputs'!$A$2:$A$88,0),MATCH($B320,'Financial model inputs'!$A$2:$F$2,0)),0)</f>
        <v>14.510362008509837</v>
      </c>
      <c r="G320" s="18">
        <f>_xlfn.IFNA(INDEX('Financial model inputs'!$A$2:$F$88,MATCH(F_interface!$A320&amp;RIGHT(G$2,2),'Financial model inputs'!$A$2:$A$88,0),MATCH($B320,'Financial model inputs'!$A$2:$F$2,0)),0)</f>
        <v>14.420946288681119</v>
      </c>
      <c r="H320" s="18">
        <f>_xlfn.IFNA(INDEX('Financial model inputs'!$A$2:$F$88,MATCH(F_interface!$A320&amp;RIGHT(H$2,2),'Financial model inputs'!$A$2:$A$88,0),MATCH($B320,'Financial model inputs'!$A$2:$F$2,0)),0)</f>
        <v>14.330891991252946</v>
      </c>
      <c r="I320" s="18">
        <f>_xlfn.IFNA(INDEX('Financial model inputs'!$A$2:$F$88,MATCH(F_interface!$A320&amp;RIGHT(I$2,2),'Financial model inputs'!$A$2:$A$88,0),MATCH($B320,'Financial model inputs'!$A$2:$F$2,0)),0)</f>
        <v>14.238994472490452</v>
      </c>
      <c r="K320" s="20" t="str">
        <f t="shared" si="30"/>
        <v>PRTC_COSTPERHH1_PR19CA012</v>
      </c>
    </row>
    <row r="321" spans="1:11" x14ac:dyDescent="0.25">
      <c r="A321" s="21" t="s">
        <v>32</v>
      </c>
      <c r="B321" s="117" t="s">
        <v>263</v>
      </c>
      <c r="C321" s="8" t="s">
        <v>260</v>
      </c>
      <c r="D321" s="104" t="s">
        <v>152</v>
      </c>
      <c r="E321" s="18">
        <f>_xlfn.IFNA(INDEX('Financial model inputs'!$A$2:$F$88,MATCH(F_interface!$A321&amp;RIGHT(E$2,2),'Financial model inputs'!$A$2:$A$88,0),MATCH($B321,'Financial model inputs'!$A$2:$F$2,0)),0)</f>
        <v>19.332056754488907</v>
      </c>
      <c r="F321" s="18">
        <f>_xlfn.IFNA(INDEX('Financial model inputs'!$A$2:$F$88,MATCH(F_interface!$A321&amp;RIGHT(F$2,2),'Financial model inputs'!$A$2:$A$88,0),MATCH($B321,'Financial model inputs'!$A$2:$F$2,0)),0)</f>
        <v>19.162419585996396</v>
      </c>
      <c r="G321" s="18">
        <f>_xlfn.IFNA(INDEX('Financial model inputs'!$A$2:$F$88,MATCH(F_interface!$A321&amp;RIGHT(G$2,2),'Financial model inputs'!$A$2:$A$88,0),MATCH($B321,'Financial model inputs'!$A$2:$F$2,0)),0)</f>
        <v>18.989595764228088</v>
      </c>
      <c r="H321" s="18">
        <f>_xlfn.IFNA(INDEX('Financial model inputs'!$A$2:$F$88,MATCH(F_interface!$A321&amp;RIGHT(H$2,2),'Financial model inputs'!$A$2:$A$88,0),MATCH($B321,'Financial model inputs'!$A$2:$F$2,0)),0)</f>
        <v>18.81456474972936</v>
      </c>
      <c r="I321" s="18">
        <f>_xlfn.IFNA(INDEX('Financial model inputs'!$A$2:$F$88,MATCH(F_interface!$A321&amp;RIGHT(I$2,2),'Financial model inputs'!$A$2:$A$88,0),MATCH($B321,'Financial model inputs'!$A$2:$F$2,0)),0)</f>
        <v>18.64331575696788</v>
      </c>
      <c r="K321" s="20" t="str">
        <f t="shared" si="30"/>
        <v>SESC_COSTPERHH1_PR19CA012</v>
      </c>
    </row>
    <row r="322" spans="1:11" x14ac:dyDescent="0.25">
      <c r="A322" s="21" t="s">
        <v>33</v>
      </c>
      <c r="B322" s="117" t="s">
        <v>263</v>
      </c>
      <c r="C322" s="8" t="s">
        <v>260</v>
      </c>
      <c r="D322" s="104" t="s">
        <v>152</v>
      </c>
      <c r="E322" s="18">
        <f>_xlfn.IFNA(INDEX('Financial model inputs'!$A$2:$F$88,MATCH(F_interface!$A322&amp;RIGHT(E$2,2),'Financial model inputs'!$A$2:$A$88,0),MATCH($B322,'Financial model inputs'!$A$2:$F$2,0)),0)</f>
        <v>19.83988267972958</v>
      </c>
      <c r="F322" s="18">
        <f>_xlfn.IFNA(INDEX('Financial model inputs'!$A$2:$F$88,MATCH(F_interface!$A322&amp;RIGHT(F$2,2),'Financial model inputs'!$A$2:$A$88,0),MATCH($B322,'Financial model inputs'!$A$2:$F$2,0)),0)</f>
        <v>19.647952527144426</v>
      </c>
      <c r="G322" s="18">
        <f>_xlfn.IFNA(INDEX('Financial model inputs'!$A$2:$F$88,MATCH(F_interface!$A322&amp;RIGHT(G$2,2),'Financial model inputs'!$A$2:$A$88,0),MATCH($B322,'Financial model inputs'!$A$2:$F$2,0)),0)</f>
        <v>19.456899682991271</v>
      </c>
      <c r="H322" s="18">
        <f>_xlfn.IFNA(INDEX('Financial model inputs'!$A$2:$F$88,MATCH(F_interface!$A322&amp;RIGHT(H$2,2),'Financial model inputs'!$A$2:$A$88,0),MATCH($B322,'Financial model inputs'!$A$2:$F$2,0)),0)</f>
        <v>19.266780485623105</v>
      </c>
      <c r="I322" s="18">
        <f>_xlfn.IFNA(INDEX('Financial model inputs'!$A$2:$F$88,MATCH(F_interface!$A322&amp;RIGHT(I$2,2),'Financial model inputs'!$A$2:$A$88,0),MATCH($B322,'Financial model inputs'!$A$2:$F$2,0)),0)</f>
        <v>19.077523107157006</v>
      </c>
      <c r="K322" s="20" t="str">
        <f t="shared" si="30"/>
        <v>SEWC_COSTPERHH1_PR19CA012</v>
      </c>
    </row>
    <row r="323" spans="1:11" x14ac:dyDescent="0.25">
      <c r="A323" s="21" t="s">
        <v>34</v>
      </c>
      <c r="B323" s="117" t="s">
        <v>263</v>
      </c>
      <c r="C323" s="8" t="s">
        <v>260</v>
      </c>
      <c r="D323" s="104" t="s">
        <v>152</v>
      </c>
      <c r="E323" s="18">
        <f>_xlfn.IFNA(INDEX('Financial model inputs'!$A$2:$F$88,MATCH(F_interface!$A323&amp;RIGHT(E$2,2),'Financial model inputs'!$A$2:$A$88,0),MATCH($B323,'Financial model inputs'!$A$2:$F$2,0)),0)</f>
        <v>17.870127448822505</v>
      </c>
      <c r="F323" s="18">
        <f>_xlfn.IFNA(INDEX('Financial model inputs'!$A$2:$F$88,MATCH(F_interface!$A323&amp;RIGHT(F$2,2),'Financial model inputs'!$A$2:$A$88,0),MATCH($B323,'Financial model inputs'!$A$2:$F$2,0)),0)</f>
        <v>17.650368020215833</v>
      </c>
      <c r="G323" s="18">
        <f>_xlfn.IFNA(INDEX('Financial model inputs'!$A$2:$F$88,MATCH(F_interface!$A323&amp;RIGHT(G$2,2),'Financial model inputs'!$A$2:$A$88,0),MATCH($B323,'Financial model inputs'!$A$2:$F$2,0)),0)</f>
        <v>17.444877083652262</v>
      </c>
      <c r="H323" s="18">
        <f>_xlfn.IFNA(INDEX('Financial model inputs'!$A$2:$F$88,MATCH(F_interface!$A323&amp;RIGHT(H$2,2),'Financial model inputs'!$A$2:$A$88,0),MATCH($B323,'Financial model inputs'!$A$2:$F$2,0)),0)</f>
        <v>17.232050605712068</v>
      </c>
      <c r="I323" s="18">
        <f>_xlfn.IFNA(INDEX('Financial model inputs'!$A$2:$F$88,MATCH(F_interface!$A323&amp;RIGHT(I$2,2),'Financial model inputs'!$A$2:$A$88,0),MATCH($B323,'Financial model inputs'!$A$2:$F$2,0)),0)</f>
        <v>17.02848611148789</v>
      </c>
      <c r="K323" s="20" t="str">
        <f t="shared" si="30"/>
        <v>SSCC_COSTPERHH1_PR19CA012</v>
      </c>
    </row>
    <row r="324" spans="1:11" x14ac:dyDescent="0.25">
      <c r="A324" s="120" t="s">
        <v>20</v>
      </c>
      <c r="B324" s="117" t="s">
        <v>264</v>
      </c>
      <c r="C324" s="8" t="s">
        <v>260</v>
      </c>
      <c r="D324" s="104" t="s">
        <v>152</v>
      </c>
      <c r="E324" s="18">
        <f>E304</f>
        <v>27.448139778489168</v>
      </c>
      <c r="F324" s="18">
        <f t="shared" ref="F324:I324" si="32">F304</f>
        <v>27.034185973166949</v>
      </c>
      <c r="G324" s="18">
        <f t="shared" si="32"/>
        <v>26.667594278773965</v>
      </c>
      <c r="H324" s="18">
        <f t="shared" si="32"/>
        <v>26.327196080957815</v>
      </c>
      <c r="I324" s="18">
        <f t="shared" si="32"/>
        <v>26.012284669650121</v>
      </c>
      <c r="K324" s="20" t="str">
        <f t="shared" ref="K324:K343" si="33">A324&amp;B324</f>
        <v>ANHC_COSTPERHH2_PR19CA012</v>
      </c>
    </row>
    <row r="325" spans="1:11" x14ac:dyDescent="0.25">
      <c r="A325" s="120" t="s">
        <v>157</v>
      </c>
      <c r="B325" s="117" t="s">
        <v>264</v>
      </c>
      <c r="C325" s="8" t="s">
        <v>260</v>
      </c>
      <c r="D325" s="104" t="s">
        <v>152</v>
      </c>
      <c r="E325" s="18">
        <f t="shared" ref="E325:I325" si="34">E305</f>
        <v>30.167210832577048</v>
      </c>
      <c r="F325" s="18">
        <f t="shared" si="34"/>
        <v>30.01559141140477</v>
      </c>
      <c r="G325" s="18">
        <f t="shared" si="34"/>
        <v>29.862377254357579</v>
      </c>
      <c r="H325" s="18">
        <f t="shared" si="34"/>
        <v>29.709795538827009</v>
      </c>
      <c r="I325" s="18">
        <f t="shared" si="34"/>
        <v>29.557546009185039</v>
      </c>
      <c r="K325" s="20" t="str">
        <f t="shared" si="33"/>
        <v>HDDC_COSTPERHH2_PR19CA012</v>
      </c>
    </row>
    <row r="326" spans="1:11" x14ac:dyDescent="0.25">
      <c r="A326" s="120" t="s">
        <v>21</v>
      </c>
      <c r="B326" s="117" t="s">
        <v>264</v>
      </c>
      <c r="C326" s="8" t="s">
        <v>260</v>
      </c>
      <c r="D326" s="104" t="s">
        <v>152</v>
      </c>
      <c r="E326" s="18">
        <f t="shared" ref="E326:I326" si="35">E306</f>
        <v>25.742910984685068</v>
      </c>
      <c r="F326" s="18">
        <f t="shared" si="35"/>
        <v>25.496511341320694</v>
      </c>
      <c r="G326" s="18">
        <f t="shared" si="35"/>
        <v>25.261961971489402</v>
      </c>
      <c r="H326" s="18">
        <f t="shared" si="35"/>
        <v>25.03967522542526</v>
      </c>
      <c r="I326" s="18">
        <f t="shared" si="35"/>
        <v>24.821903142865981</v>
      </c>
      <c r="K326" s="20" t="str">
        <f t="shared" si="33"/>
        <v>NESC_COSTPERHH2_PR19CA012</v>
      </c>
    </row>
    <row r="327" spans="1:11" x14ac:dyDescent="0.25">
      <c r="A327" s="120" t="s">
        <v>22</v>
      </c>
      <c r="B327" s="117" t="s">
        <v>264</v>
      </c>
      <c r="C327" s="8" t="s">
        <v>260</v>
      </c>
      <c r="D327" s="104" t="s">
        <v>152</v>
      </c>
      <c r="E327" s="18">
        <f t="shared" ref="E327:I327" si="36">E307</f>
        <v>31.345067877805548</v>
      </c>
      <c r="F327" s="18">
        <f t="shared" si="36"/>
        <v>31.112399853793242</v>
      </c>
      <c r="G327" s="18">
        <f t="shared" si="36"/>
        <v>30.872865076264727</v>
      </c>
      <c r="H327" s="18">
        <f t="shared" si="36"/>
        <v>30.626868785941408</v>
      </c>
      <c r="I327" s="18">
        <f t="shared" si="36"/>
        <v>30.374820946582194</v>
      </c>
      <c r="K327" s="20" t="str">
        <f t="shared" si="33"/>
        <v>NWTC_COSTPERHH2_PR19CA012</v>
      </c>
    </row>
    <row r="328" spans="1:11" x14ac:dyDescent="0.25">
      <c r="A328" s="120" t="s">
        <v>23</v>
      </c>
      <c r="B328" s="117" t="s">
        <v>264</v>
      </c>
      <c r="C328" s="8" t="s">
        <v>260</v>
      </c>
      <c r="D328" s="104" t="s">
        <v>152</v>
      </c>
      <c r="E328" s="18">
        <f t="shared" ref="E328:I328" si="37">E308</f>
        <v>26.130840749972709</v>
      </c>
      <c r="F328" s="18">
        <f t="shared" si="37"/>
        <v>25.794475299299862</v>
      </c>
      <c r="G328" s="18">
        <f t="shared" si="37"/>
        <v>25.491326741168802</v>
      </c>
      <c r="H328" s="18">
        <f t="shared" si="37"/>
        <v>25.205191041470389</v>
      </c>
      <c r="I328" s="18">
        <f t="shared" si="37"/>
        <v>24.941139575453214</v>
      </c>
      <c r="K328" s="20" t="str">
        <f t="shared" si="33"/>
        <v>SRNC_COSTPERHH2_PR19CA012</v>
      </c>
    </row>
    <row r="329" spans="1:11" x14ac:dyDescent="0.25">
      <c r="A329" s="120" t="s">
        <v>156</v>
      </c>
      <c r="B329" s="117" t="s">
        <v>264</v>
      </c>
      <c r="C329" s="8" t="s">
        <v>260</v>
      </c>
      <c r="D329" s="104" t="s">
        <v>152</v>
      </c>
      <c r="E329" s="18">
        <f t="shared" ref="E329:I329" si="38">E309</f>
        <v>23.760637152510316</v>
      </c>
      <c r="F329" s="18">
        <f t="shared" si="38"/>
        <v>23.623921348870827</v>
      </c>
      <c r="G329" s="18">
        <f t="shared" si="38"/>
        <v>23.480497168235335</v>
      </c>
      <c r="H329" s="18">
        <f t="shared" si="38"/>
        <v>23.336410591036866</v>
      </c>
      <c r="I329" s="18">
        <f t="shared" si="38"/>
        <v>23.19172556356942</v>
      </c>
      <c r="K329" s="20" t="str">
        <f t="shared" si="33"/>
        <v>SVEC_COSTPERHH2_PR19CA012</v>
      </c>
    </row>
    <row r="330" spans="1:11" x14ac:dyDescent="0.25">
      <c r="A330" s="120" t="s">
        <v>232</v>
      </c>
      <c r="B330" s="117" t="s">
        <v>264</v>
      </c>
      <c r="C330" s="8" t="s">
        <v>260</v>
      </c>
      <c r="D330" s="104" t="s">
        <v>152</v>
      </c>
      <c r="E330" s="18">
        <f t="shared" ref="E330:I330" si="39">E310</f>
        <v>0</v>
      </c>
      <c r="F330" s="18">
        <f t="shared" si="39"/>
        <v>0</v>
      </c>
      <c r="G330" s="18">
        <f t="shared" si="39"/>
        <v>0</v>
      </c>
      <c r="H330" s="18">
        <f t="shared" si="39"/>
        <v>0</v>
      </c>
      <c r="I330" s="18">
        <f t="shared" si="39"/>
        <v>0</v>
      </c>
      <c r="K330" s="20" t="str">
        <f t="shared" si="33"/>
        <v>SVHC_COSTPERHH2_PR19CA012</v>
      </c>
    </row>
    <row r="331" spans="1:11" x14ac:dyDescent="0.25">
      <c r="A331" s="120" t="s">
        <v>24</v>
      </c>
      <c r="B331" s="117" t="s">
        <v>264</v>
      </c>
      <c r="C331" s="8" t="s">
        <v>260</v>
      </c>
      <c r="D331" s="104" t="s">
        <v>152</v>
      </c>
      <c r="E331" s="18">
        <f t="shared" ref="E331:I331" si="40">E311</f>
        <v>0</v>
      </c>
      <c r="F331" s="18">
        <f t="shared" si="40"/>
        <v>0</v>
      </c>
      <c r="G331" s="18">
        <f t="shared" si="40"/>
        <v>0</v>
      </c>
      <c r="H331" s="18">
        <f t="shared" si="40"/>
        <v>0</v>
      </c>
      <c r="I331" s="18">
        <f t="shared" si="40"/>
        <v>0</v>
      </c>
      <c r="K331" s="20" t="str">
        <f t="shared" si="33"/>
        <v>SVTC_COSTPERHH2_PR19CA012</v>
      </c>
    </row>
    <row r="332" spans="1:11" x14ac:dyDescent="0.25">
      <c r="A332" s="21" t="s">
        <v>35</v>
      </c>
      <c r="B332" s="117" t="s">
        <v>264</v>
      </c>
      <c r="C332" s="8" t="s">
        <v>260</v>
      </c>
      <c r="D332" s="104" t="s">
        <v>152</v>
      </c>
      <c r="E332" s="18">
        <f t="shared" ref="E332:I332" si="41">E312</f>
        <v>28.934205122220163</v>
      </c>
      <c r="F332" s="18">
        <f t="shared" si="41"/>
        <v>28.579019552923679</v>
      </c>
      <c r="G332" s="18">
        <f t="shared" si="41"/>
        <v>28.325080233122719</v>
      </c>
      <c r="H332" s="18">
        <f t="shared" si="41"/>
        <v>28.071575174988642</v>
      </c>
      <c r="I332" s="18">
        <f t="shared" si="41"/>
        <v>27.828574197924123</v>
      </c>
      <c r="K332" s="20" t="str">
        <f t="shared" si="33"/>
        <v>SWBC_COSTPERHH2_PR19CA012</v>
      </c>
    </row>
    <row r="333" spans="1:11" x14ac:dyDescent="0.25">
      <c r="A333" s="21" t="s">
        <v>25</v>
      </c>
      <c r="B333" s="117" t="s">
        <v>264</v>
      </c>
      <c r="C333" s="8" t="s">
        <v>260</v>
      </c>
      <c r="D333" s="104" t="s">
        <v>152</v>
      </c>
      <c r="E333" s="18">
        <f t="shared" ref="E333:I333" si="42">E313</f>
        <v>27.040666138624957</v>
      </c>
      <c r="F333" s="18">
        <f t="shared" si="42"/>
        <v>26.690970664529157</v>
      </c>
      <c r="G333" s="18">
        <f t="shared" si="42"/>
        <v>26.372264755015248</v>
      </c>
      <c r="H333" s="18">
        <f t="shared" si="42"/>
        <v>26.055812643412001</v>
      </c>
      <c r="I333" s="18">
        <f t="shared" si="42"/>
        <v>25.795983658053927</v>
      </c>
      <c r="K333" s="20" t="str">
        <f t="shared" si="33"/>
        <v>TMSC_COSTPERHH2_PR19CA012</v>
      </c>
    </row>
    <row r="334" spans="1:11" x14ac:dyDescent="0.25">
      <c r="A334" s="21" t="s">
        <v>41</v>
      </c>
      <c r="B334" s="117" t="s">
        <v>264</v>
      </c>
      <c r="C334" s="8" t="s">
        <v>260</v>
      </c>
      <c r="D334" s="104" t="s">
        <v>152</v>
      </c>
      <c r="E334" s="18">
        <f t="shared" ref="E334:I334" si="43">E314</f>
        <v>29.045986762210315</v>
      </c>
      <c r="F334" s="18">
        <f t="shared" si="43"/>
        <v>28.818958185475473</v>
      </c>
      <c r="G334" s="18">
        <f t="shared" si="43"/>
        <v>28.591856051701033</v>
      </c>
      <c r="H334" s="18">
        <f t="shared" si="43"/>
        <v>28.367022036225265</v>
      </c>
      <c r="I334" s="18">
        <f t="shared" si="43"/>
        <v>28.144471596525612</v>
      </c>
      <c r="K334" s="20" t="str">
        <f t="shared" si="33"/>
        <v>WSHC_COSTPERHH2_PR19CA012</v>
      </c>
    </row>
    <row r="335" spans="1:11" x14ac:dyDescent="0.25">
      <c r="A335" s="21" t="s">
        <v>26</v>
      </c>
      <c r="B335" s="117" t="s">
        <v>264</v>
      </c>
      <c r="C335" s="8" t="s">
        <v>260</v>
      </c>
      <c r="D335" s="104" t="s">
        <v>152</v>
      </c>
      <c r="E335" s="18">
        <f t="shared" ref="E335:I335" si="44">E315</f>
        <v>23.214178458234056</v>
      </c>
      <c r="F335" s="18">
        <f t="shared" si="44"/>
        <v>22.973678513435186</v>
      </c>
      <c r="G335" s="18">
        <f t="shared" si="44"/>
        <v>22.742428105862</v>
      </c>
      <c r="H335" s="18">
        <f t="shared" si="44"/>
        <v>22.52111868514962</v>
      </c>
      <c r="I335" s="18">
        <f t="shared" si="44"/>
        <v>22.314037139983753</v>
      </c>
      <c r="K335" s="20" t="str">
        <f t="shared" si="33"/>
        <v>WSXC_COSTPERHH2_PR19CA012</v>
      </c>
    </row>
    <row r="336" spans="1:11" x14ac:dyDescent="0.25">
      <c r="A336" s="21" t="s">
        <v>27</v>
      </c>
      <c r="B336" s="117" t="s">
        <v>264</v>
      </c>
      <c r="C336" s="8" t="s">
        <v>260</v>
      </c>
      <c r="D336" s="104" t="s">
        <v>152</v>
      </c>
      <c r="E336" s="18">
        <f t="shared" ref="E336:I336" si="45">E316</f>
        <v>29.273534222993401</v>
      </c>
      <c r="F336" s="18">
        <f t="shared" si="45"/>
        <v>29.000053131174575</v>
      </c>
      <c r="G336" s="18">
        <f t="shared" si="45"/>
        <v>28.730351004090046</v>
      </c>
      <c r="H336" s="18">
        <f t="shared" si="45"/>
        <v>28.466068259948393</v>
      </c>
      <c r="I336" s="18">
        <f t="shared" si="45"/>
        <v>28.206027625338734</v>
      </c>
      <c r="K336" s="20" t="str">
        <f t="shared" si="33"/>
        <v>YKYC_COSTPERHH2_PR19CA012</v>
      </c>
    </row>
    <row r="337" spans="1:11" x14ac:dyDescent="0.25">
      <c r="A337" s="21" t="s">
        <v>28</v>
      </c>
      <c r="B337" s="117" t="s">
        <v>264</v>
      </c>
      <c r="C337" s="8" t="s">
        <v>260</v>
      </c>
      <c r="D337" s="104" t="s">
        <v>152</v>
      </c>
      <c r="E337" s="18">
        <f t="shared" ref="E337:I337" si="46">E317</f>
        <v>19.819387922711186</v>
      </c>
      <c r="F337" s="18">
        <f t="shared" si="46"/>
        <v>19.540870368929721</v>
      </c>
      <c r="G337" s="18">
        <f t="shared" si="46"/>
        <v>19.314787508464292</v>
      </c>
      <c r="H337" s="18">
        <f t="shared" si="46"/>
        <v>19.093863196369654</v>
      </c>
      <c r="I337" s="18">
        <f t="shared" si="46"/>
        <v>18.877935636082455</v>
      </c>
      <c r="K337" s="20" t="str">
        <f t="shared" si="33"/>
        <v>AFWC_COSTPERHH2_PR19CA012</v>
      </c>
    </row>
    <row r="338" spans="1:11" x14ac:dyDescent="0.25">
      <c r="A338" s="21" t="s">
        <v>29</v>
      </c>
      <c r="B338" s="117" t="s">
        <v>264</v>
      </c>
      <c r="C338" s="8" t="s">
        <v>260</v>
      </c>
      <c r="D338" s="104" t="s">
        <v>152</v>
      </c>
      <c r="E338" s="18">
        <f t="shared" ref="E338:I338" si="47">E318</f>
        <v>19.806139429594449</v>
      </c>
      <c r="F338" s="18">
        <f t="shared" si="47"/>
        <v>19.576836414642663</v>
      </c>
      <c r="G338" s="18">
        <f t="shared" si="47"/>
        <v>19.370850136201209</v>
      </c>
      <c r="H338" s="18">
        <f t="shared" si="47"/>
        <v>19.172513534760931</v>
      </c>
      <c r="I338" s="18">
        <f t="shared" si="47"/>
        <v>18.982636535539079</v>
      </c>
      <c r="K338" s="20" t="str">
        <f t="shared" si="33"/>
        <v>BRLC_COSTPERHH2_PR19CA012</v>
      </c>
    </row>
    <row r="339" spans="1:11" x14ac:dyDescent="0.25">
      <c r="A339" s="21" t="s">
        <v>30</v>
      </c>
      <c r="B339" s="117" t="s">
        <v>264</v>
      </c>
      <c r="C339" s="8" t="s">
        <v>260</v>
      </c>
      <c r="D339" s="104" t="s">
        <v>152</v>
      </c>
      <c r="E339" s="18">
        <f t="shared" ref="E339:I339" si="48">E319</f>
        <v>0</v>
      </c>
      <c r="F339" s="18">
        <f t="shared" si="48"/>
        <v>0</v>
      </c>
      <c r="G339" s="18">
        <f t="shared" si="48"/>
        <v>0</v>
      </c>
      <c r="H339" s="18">
        <f t="shared" si="48"/>
        <v>0</v>
      </c>
      <c r="I339" s="18">
        <f t="shared" si="48"/>
        <v>0</v>
      </c>
      <c r="K339" s="20" t="str">
        <f t="shared" si="33"/>
        <v>DVWC_COSTPERHH2_PR19CA012</v>
      </c>
    </row>
    <row r="340" spans="1:11" x14ac:dyDescent="0.25">
      <c r="A340" s="21" t="s">
        <v>31</v>
      </c>
      <c r="B340" s="117" t="s">
        <v>264</v>
      </c>
      <c r="C340" s="8" t="s">
        <v>260</v>
      </c>
      <c r="D340" s="104" t="s">
        <v>152</v>
      </c>
      <c r="E340" s="18">
        <f t="shared" ref="E340:I340" si="49">E320</f>
        <v>14.600261225862047</v>
      </c>
      <c r="F340" s="18">
        <f t="shared" si="49"/>
        <v>14.510362008509837</v>
      </c>
      <c r="G340" s="18">
        <f t="shared" si="49"/>
        <v>14.420946288681119</v>
      </c>
      <c r="H340" s="18">
        <f t="shared" si="49"/>
        <v>14.330891991252946</v>
      </c>
      <c r="I340" s="18">
        <f t="shared" si="49"/>
        <v>14.238994472490452</v>
      </c>
      <c r="K340" s="20" t="str">
        <f t="shared" si="33"/>
        <v>PRTC_COSTPERHH2_PR19CA012</v>
      </c>
    </row>
    <row r="341" spans="1:11" x14ac:dyDescent="0.25">
      <c r="A341" s="21" t="s">
        <v>32</v>
      </c>
      <c r="B341" s="117" t="s">
        <v>264</v>
      </c>
      <c r="C341" s="8" t="s">
        <v>260</v>
      </c>
      <c r="D341" s="104" t="s">
        <v>152</v>
      </c>
      <c r="E341" s="18">
        <f t="shared" ref="E341:I341" si="50">E321</f>
        <v>19.332056754488907</v>
      </c>
      <c r="F341" s="18">
        <f t="shared" si="50"/>
        <v>19.162419585996396</v>
      </c>
      <c r="G341" s="18">
        <f t="shared" si="50"/>
        <v>18.989595764228088</v>
      </c>
      <c r="H341" s="18">
        <f t="shared" si="50"/>
        <v>18.81456474972936</v>
      </c>
      <c r="I341" s="18">
        <f t="shared" si="50"/>
        <v>18.64331575696788</v>
      </c>
      <c r="K341" s="20" t="str">
        <f t="shared" si="33"/>
        <v>SESC_COSTPERHH2_PR19CA012</v>
      </c>
    </row>
    <row r="342" spans="1:11" x14ac:dyDescent="0.25">
      <c r="A342" s="21" t="s">
        <v>33</v>
      </c>
      <c r="B342" s="117" t="s">
        <v>264</v>
      </c>
      <c r="C342" s="8" t="s">
        <v>260</v>
      </c>
      <c r="D342" s="104" t="s">
        <v>152</v>
      </c>
      <c r="E342" s="18">
        <f t="shared" ref="E342:I342" si="51">E322</f>
        <v>19.83988267972958</v>
      </c>
      <c r="F342" s="18">
        <f t="shared" si="51"/>
        <v>19.647952527144426</v>
      </c>
      <c r="G342" s="18">
        <f t="shared" si="51"/>
        <v>19.456899682991271</v>
      </c>
      <c r="H342" s="18">
        <f t="shared" si="51"/>
        <v>19.266780485623105</v>
      </c>
      <c r="I342" s="18">
        <f t="shared" si="51"/>
        <v>19.077523107157006</v>
      </c>
      <c r="K342" s="20" t="str">
        <f t="shared" si="33"/>
        <v>SEWC_COSTPERHH2_PR19CA012</v>
      </c>
    </row>
    <row r="343" spans="1:11" x14ac:dyDescent="0.25">
      <c r="A343" s="21" t="s">
        <v>34</v>
      </c>
      <c r="B343" s="117" t="s">
        <v>264</v>
      </c>
      <c r="C343" s="8" t="s">
        <v>260</v>
      </c>
      <c r="D343" s="104" t="s">
        <v>152</v>
      </c>
      <c r="E343" s="18">
        <f t="shared" ref="E343:I343" si="52">E323</f>
        <v>17.870127448822505</v>
      </c>
      <c r="F343" s="18">
        <f t="shared" si="52"/>
        <v>17.650368020215833</v>
      </c>
      <c r="G343" s="18">
        <f t="shared" si="52"/>
        <v>17.444877083652262</v>
      </c>
      <c r="H343" s="18">
        <f t="shared" si="52"/>
        <v>17.232050605712068</v>
      </c>
      <c r="I343" s="18">
        <f t="shared" si="52"/>
        <v>17.02848611148789</v>
      </c>
      <c r="K343" s="20" t="str">
        <f t="shared" si="33"/>
        <v>SSCC_COSTPERHH2_PR19CA012</v>
      </c>
    </row>
    <row r="344" spans="1:11" x14ac:dyDescent="0.25">
      <c r="A344" s="120" t="s">
        <v>20</v>
      </c>
      <c r="B344" s="117" t="s">
        <v>265</v>
      </c>
      <c r="C344" s="8" t="s">
        <v>260</v>
      </c>
      <c r="D344" s="104" t="s">
        <v>152</v>
      </c>
      <c r="E344" s="18">
        <f>E304</f>
        <v>27.448139778489168</v>
      </c>
      <c r="F344" s="18">
        <f t="shared" ref="F344:I344" si="53">F304</f>
        <v>27.034185973166949</v>
      </c>
      <c r="G344" s="18">
        <f t="shared" si="53"/>
        <v>26.667594278773965</v>
      </c>
      <c r="H344" s="18">
        <f t="shared" si="53"/>
        <v>26.327196080957815</v>
      </c>
      <c r="I344" s="18">
        <f t="shared" si="53"/>
        <v>26.012284669650121</v>
      </c>
      <c r="K344" s="20" t="str">
        <f t="shared" ref="K344:K363" si="54">A344&amp;B344</f>
        <v>ANHC_COSTPERHH3_PR19CA012</v>
      </c>
    </row>
    <row r="345" spans="1:11" x14ac:dyDescent="0.25">
      <c r="A345" s="120" t="s">
        <v>157</v>
      </c>
      <c r="B345" s="117" t="s">
        <v>265</v>
      </c>
      <c r="C345" s="8" t="s">
        <v>260</v>
      </c>
      <c r="D345" s="104" t="s">
        <v>152</v>
      </c>
      <c r="E345" s="18">
        <f t="shared" ref="E345:I345" si="55">E305</f>
        <v>30.167210832577048</v>
      </c>
      <c r="F345" s="18">
        <f t="shared" si="55"/>
        <v>30.01559141140477</v>
      </c>
      <c r="G345" s="18">
        <f t="shared" si="55"/>
        <v>29.862377254357579</v>
      </c>
      <c r="H345" s="18">
        <f t="shared" si="55"/>
        <v>29.709795538827009</v>
      </c>
      <c r="I345" s="18">
        <f t="shared" si="55"/>
        <v>29.557546009185039</v>
      </c>
      <c r="K345" s="20" t="str">
        <f t="shared" si="54"/>
        <v>HDDC_COSTPERHH3_PR19CA012</v>
      </c>
    </row>
    <row r="346" spans="1:11" x14ac:dyDescent="0.25">
      <c r="A346" s="120" t="s">
        <v>21</v>
      </c>
      <c r="B346" s="117" t="s">
        <v>265</v>
      </c>
      <c r="C346" s="8" t="s">
        <v>260</v>
      </c>
      <c r="D346" s="104" t="s">
        <v>152</v>
      </c>
      <c r="E346" s="18">
        <f t="shared" ref="E346:I346" si="56">E306</f>
        <v>25.742910984685068</v>
      </c>
      <c r="F346" s="18">
        <f t="shared" si="56"/>
        <v>25.496511341320694</v>
      </c>
      <c r="G346" s="18">
        <f t="shared" si="56"/>
        <v>25.261961971489402</v>
      </c>
      <c r="H346" s="18">
        <f t="shared" si="56"/>
        <v>25.03967522542526</v>
      </c>
      <c r="I346" s="18">
        <f t="shared" si="56"/>
        <v>24.821903142865981</v>
      </c>
      <c r="K346" s="20" t="str">
        <f t="shared" si="54"/>
        <v>NESC_COSTPERHH3_PR19CA012</v>
      </c>
    </row>
    <row r="347" spans="1:11" x14ac:dyDescent="0.25">
      <c r="A347" s="120" t="s">
        <v>22</v>
      </c>
      <c r="B347" s="117" t="s">
        <v>265</v>
      </c>
      <c r="C347" s="8" t="s">
        <v>260</v>
      </c>
      <c r="D347" s="104" t="s">
        <v>152</v>
      </c>
      <c r="E347" s="18">
        <f t="shared" ref="E347:I347" si="57">E307</f>
        <v>31.345067877805548</v>
      </c>
      <c r="F347" s="18">
        <f t="shared" si="57"/>
        <v>31.112399853793242</v>
      </c>
      <c r="G347" s="18">
        <f t="shared" si="57"/>
        <v>30.872865076264727</v>
      </c>
      <c r="H347" s="18">
        <f t="shared" si="57"/>
        <v>30.626868785941408</v>
      </c>
      <c r="I347" s="18">
        <f t="shared" si="57"/>
        <v>30.374820946582194</v>
      </c>
      <c r="K347" s="20" t="str">
        <f t="shared" si="54"/>
        <v>NWTC_COSTPERHH3_PR19CA012</v>
      </c>
    </row>
    <row r="348" spans="1:11" x14ac:dyDescent="0.25">
      <c r="A348" s="120" t="s">
        <v>23</v>
      </c>
      <c r="B348" s="117" t="s">
        <v>265</v>
      </c>
      <c r="C348" s="8" t="s">
        <v>260</v>
      </c>
      <c r="D348" s="104" t="s">
        <v>152</v>
      </c>
      <c r="E348" s="18">
        <f t="shared" ref="E348:I348" si="58">E308</f>
        <v>26.130840749972709</v>
      </c>
      <c r="F348" s="18">
        <f t="shared" si="58"/>
        <v>25.794475299299862</v>
      </c>
      <c r="G348" s="18">
        <f t="shared" si="58"/>
        <v>25.491326741168802</v>
      </c>
      <c r="H348" s="18">
        <f t="shared" si="58"/>
        <v>25.205191041470389</v>
      </c>
      <c r="I348" s="18">
        <f t="shared" si="58"/>
        <v>24.941139575453214</v>
      </c>
      <c r="K348" s="20" t="str">
        <f t="shared" si="54"/>
        <v>SRNC_COSTPERHH3_PR19CA012</v>
      </c>
    </row>
    <row r="349" spans="1:11" x14ac:dyDescent="0.25">
      <c r="A349" s="120" t="s">
        <v>156</v>
      </c>
      <c r="B349" s="117" t="s">
        <v>265</v>
      </c>
      <c r="C349" s="8" t="s">
        <v>260</v>
      </c>
      <c r="D349" s="104" t="s">
        <v>152</v>
      </c>
      <c r="E349" s="18">
        <f t="shared" ref="E349:I349" si="59">E309</f>
        <v>23.760637152510316</v>
      </c>
      <c r="F349" s="18">
        <f t="shared" si="59"/>
        <v>23.623921348870827</v>
      </c>
      <c r="G349" s="18">
        <f t="shared" si="59"/>
        <v>23.480497168235335</v>
      </c>
      <c r="H349" s="18">
        <f t="shared" si="59"/>
        <v>23.336410591036866</v>
      </c>
      <c r="I349" s="18">
        <f t="shared" si="59"/>
        <v>23.19172556356942</v>
      </c>
      <c r="K349" s="20" t="str">
        <f t="shared" si="54"/>
        <v>SVEC_COSTPERHH3_PR19CA012</v>
      </c>
    </row>
    <row r="350" spans="1:11" x14ac:dyDescent="0.25">
      <c r="A350" s="120" t="s">
        <v>232</v>
      </c>
      <c r="B350" s="117" t="s">
        <v>265</v>
      </c>
      <c r="C350" s="8" t="s">
        <v>260</v>
      </c>
      <c r="D350" s="104" t="s">
        <v>152</v>
      </c>
      <c r="E350" s="18">
        <f t="shared" ref="E350:I350" si="60">E310</f>
        <v>0</v>
      </c>
      <c r="F350" s="18">
        <f t="shared" si="60"/>
        <v>0</v>
      </c>
      <c r="G350" s="18">
        <f t="shared" si="60"/>
        <v>0</v>
      </c>
      <c r="H350" s="18">
        <f t="shared" si="60"/>
        <v>0</v>
      </c>
      <c r="I350" s="18">
        <f t="shared" si="60"/>
        <v>0</v>
      </c>
      <c r="K350" s="20" t="str">
        <f t="shared" si="54"/>
        <v>SVHC_COSTPERHH3_PR19CA012</v>
      </c>
    </row>
    <row r="351" spans="1:11" x14ac:dyDescent="0.25">
      <c r="A351" s="120" t="s">
        <v>24</v>
      </c>
      <c r="B351" s="117" t="s">
        <v>265</v>
      </c>
      <c r="C351" s="8" t="s">
        <v>260</v>
      </c>
      <c r="D351" s="104" t="s">
        <v>152</v>
      </c>
      <c r="E351" s="18">
        <f t="shared" ref="E351:I351" si="61">E311</f>
        <v>0</v>
      </c>
      <c r="F351" s="18">
        <f t="shared" si="61"/>
        <v>0</v>
      </c>
      <c r="G351" s="18">
        <f t="shared" si="61"/>
        <v>0</v>
      </c>
      <c r="H351" s="18">
        <f t="shared" si="61"/>
        <v>0</v>
      </c>
      <c r="I351" s="18">
        <f t="shared" si="61"/>
        <v>0</v>
      </c>
      <c r="K351" s="20" t="str">
        <f t="shared" si="54"/>
        <v>SVTC_COSTPERHH3_PR19CA012</v>
      </c>
    </row>
    <row r="352" spans="1:11" x14ac:dyDescent="0.25">
      <c r="A352" s="21" t="s">
        <v>35</v>
      </c>
      <c r="B352" s="117" t="s">
        <v>265</v>
      </c>
      <c r="C352" s="8" t="s">
        <v>260</v>
      </c>
      <c r="D352" s="104" t="s">
        <v>152</v>
      </c>
      <c r="E352" s="18">
        <f t="shared" ref="E352:I352" si="62">E312</f>
        <v>28.934205122220163</v>
      </c>
      <c r="F352" s="18">
        <f t="shared" si="62"/>
        <v>28.579019552923679</v>
      </c>
      <c r="G352" s="18">
        <f t="shared" si="62"/>
        <v>28.325080233122719</v>
      </c>
      <c r="H352" s="18">
        <f t="shared" si="62"/>
        <v>28.071575174988642</v>
      </c>
      <c r="I352" s="18">
        <f t="shared" si="62"/>
        <v>27.828574197924123</v>
      </c>
      <c r="K352" s="20" t="str">
        <f t="shared" si="54"/>
        <v>SWBC_COSTPERHH3_PR19CA012</v>
      </c>
    </row>
    <row r="353" spans="1:11" x14ac:dyDescent="0.25">
      <c r="A353" s="21" t="s">
        <v>25</v>
      </c>
      <c r="B353" s="117" t="s">
        <v>265</v>
      </c>
      <c r="C353" s="8" t="s">
        <v>260</v>
      </c>
      <c r="D353" s="104" t="s">
        <v>152</v>
      </c>
      <c r="E353" s="18">
        <f t="shared" ref="E353:I353" si="63">E313</f>
        <v>27.040666138624957</v>
      </c>
      <c r="F353" s="18">
        <f t="shared" si="63"/>
        <v>26.690970664529157</v>
      </c>
      <c r="G353" s="18">
        <f t="shared" si="63"/>
        <v>26.372264755015248</v>
      </c>
      <c r="H353" s="18">
        <f t="shared" si="63"/>
        <v>26.055812643412001</v>
      </c>
      <c r="I353" s="18">
        <f t="shared" si="63"/>
        <v>25.795983658053927</v>
      </c>
      <c r="K353" s="20" t="str">
        <f t="shared" si="54"/>
        <v>TMSC_COSTPERHH3_PR19CA012</v>
      </c>
    </row>
    <row r="354" spans="1:11" x14ac:dyDescent="0.25">
      <c r="A354" s="21" t="s">
        <v>41</v>
      </c>
      <c r="B354" s="117" t="s">
        <v>265</v>
      </c>
      <c r="C354" s="8" t="s">
        <v>260</v>
      </c>
      <c r="D354" s="104" t="s">
        <v>152</v>
      </c>
      <c r="E354" s="18">
        <f t="shared" ref="E354:I354" si="64">E314</f>
        <v>29.045986762210315</v>
      </c>
      <c r="F354" s="18">
        <f t="shared" si="64"/>
        <v>28.818958185475473</v>
      </c>
      <c r="G354" s="18">
        <f t="shared" si="64"/>
        <v>28.591856051701033</v>
      </c>
      <c r="H354" s="18">
        <f t="shared" si="64"/>
        <v>28.367022036225265</v>
      </c>
      <c r="I354" s="18">
        <f t="shared" si="64"/>
        <v>28.144471596525612</v>
      </c>
      <c r="K354" s="20" t="str">
        <f t="shared" si="54"/>
        <v>WSHC_COSTPERHH3_PR19CA012</v>
      </c>
    </row>
    <row r="355" spans="1:11" x14ac:dyDescent="0.25">
      <c r="A355" s="21" t="s">
        <v>26</v>
      </c>
      <c r="B355" s="117" t="s">
        <v>265</v>
      </c>
      <c r="C355" s="8" t="s">
        <v>260</v>
      </c>
      <c r="D355" s="104" t="s">
        <v>152</v>
      </c>
      <c r="E355" s="18">
        <f t="shared" ref="E355:I355" si="65">E315</f>
        <v>23.214178458234056</v>
      </c>
      <c r="F355" s="18">
        <f t="shared" si="65"/>
        <v>22.973678513435186</v>
      </c>
      <c r="G355" s="18">
        <f t="shared" si="65"/>
        <v>22.742428105862</v>
      </c>
      <c r="H355" s="18">
        <f t="shared" si="65"/>
        <v>22.52111868514962</v>
      </c>
      <c r="I355" s="18">
        <f t="shared" si="65"/>
        <v>22.314037139983753</v>
      </c>
      <c r="K355" s="20" t="str">
        <f t="shared" si="54"/>
        <v>WSXC_COSTPERHH3_PR19CA012</v>
      </c>
    </row>
    <row r="356" spans="1:11" x14ac:dyDescent="0.25">
      <c r="A356" s="21" t="s">
        <v>27</v>
      </c>
      <c r="B356" s="117" t="s">
        <v>265</v>
      </c>
      <c r="C356" s="8" t="s">
        <v>260</v>
      </c>
      <c r="D356" s="104" t="s">
        <v>152</v>
      </c>
      <c r="E356" s="18">
        <f t="shared" ref="E356:I356" si="66">E316</f>
        <v>29.273534222993401</v>
      </c>
      <c r="F356" s="18">
        <f t="shared" si="66"/>
        <v>29.000053131174575</v>
      </c>
      <c r="G356" s="18">
        <f t="shared" si="66"/>
        <v>28.730351004090046</v>
      </c>
      <c r="H356" s="18">
        <f t="shared" si="66"/>
        <v>28.466068259948393</v>
      </c>
      <c r="I356" s="18">
        <f t="shared" si="66"/>
        <v>28.206027625338734</v>
      </c>
      <c r="K356" s="20" t="str">
        <f t="shared" si="54"/>
        <v>YKYC_COSTPERHH3_PR19CA012</v>
      </c>
    </row>
    <row r="357" spans="1:11" x14ac:dyDescent="0.25">
      <c r="A357" s="21" t="s">
        <v>28</v>
      </c>
      <c r="B357" s="117" t="s">
        <v>265</v>
      </c>
      <c r="C357" s="8" t="s">
        <v>260</v>
      </c>
      <c r="D357" s="104" t="s">
        <v>152</v>
      </c>
      <c r="E357" s="18">
        <f t="shared" ref="E357:I357" si="67">E317</f>
        <v>19.819387922711186</v>
      </c>
      <c r="F357" s="18">
        <f t="shared" si="67"/>
        <v>19.540870368929721</v>
      </c>
      <c r="G357" s="18">
        <f t="shared" si="67"/>
        <v>19.314787508464292</v>
      </c>
      <c r="H357" s="18">
        <f t="shared" si="67"/>
        <v>19.093863196369654</v>
      </c>
      <c r="I357" s="18">
        <f t="shared" si="67"/>
        <v>18.877935636082455</v>
      </c>
      <c r="K357" s="20" t="str">
        <f t="shared" si="54"/>
        <v>AFWC_COSTPERHH3_PR19CA012</v>
      </c>
    </row>
    <row r="358" spans="1:11" x14ac:dyDescent="0.25">
      <c r="A358" s="21" t="s">
        <v>29</v>
      </c>
      <c r="B358" s="117" t="s">
        <v>265</v>
      </c>
      <c r="C358" s="8" t="s">
        <v>260</v>
      </c>
      <c r="D358" s="104" t="s">
        <v>152</v>
      </c>
      <c r="E358" s="18">
        <f t="shared" ref="E358:I358" si="68">E318</f>
        <v>19.806139429594449</v>
      </c>
      <c r="F358" s="18">
        <f t="shared" si="68"/>
        <v>19.576836414642663</v>
      </c>
      <c r="G358" s="18">
        <f t="shared" si="68"/>
        <v>19.370850136201209</v>
      </c>
      <c r="H358" s="18">
        <f t="shared" si="68"/>
        <v>19.172513534760931</v>
      </c>
      <c r="I358" s="18">
        <f t="shared" si="68"/>
        <v>18.982636535539079</v>
      </c>
      <c r="K358" s="20" t="str">
        <f t="shared" si="54"/>
        <v>BRLC_COSTPERHH3_PR19CA012</v>
      </c>
    </row>
    <row r="359" spans="1:11" x14ac:dyDescent="0.25">
      <c r="A359" s="21" t="s">
        <v>30</v>
      </c>
      <c r="B359" s="117" t="s">
        <v>265</v>
      </c>
      <c r="C359" s="8" t="s">
        <v>260</v>
      </c>
      <c r="D359" s="104" t="s">
        <v>152</v>
      </c>
      <c r="E359" s="18">
        <f t="shared" ref="E359:I359" si="69">E319</f>
        <v>0</v>
      </c>
      <c r="F359" s="18">
        <f t="shared" si="69"/>
        <v>0</v>
      </c>
      <c r="G359" s="18">
        <f t="shared" si="69"/>
        <v>0</v>
      </c>
      <c r="H359" s="18">
        <f t="shared" si="69"/>
        <v>0</v>
      </c>
      <c r="I359" s="18">
        <f t="shared" si="69"/>
        <v>0</v>
      </c>
      <c r="K359" s="20" t="str">
        <f t="shared" si="54"/>
        <v>DVWC_COSTPERHH3_PR19CA012</v>
      </c>
    </row>
    <row r="360" spans="1:11" x14ac:dyDescent="0.25">
      <c r="A360" s="21" t="s">
        <v>31</v>
      </c>
      <c r="B360" s="117" t="s">
        <v>265</v>
      </c>
      <c r="C360" s="8" t="s">
        <v>260</v>
      </c>
      <c r="D360" s="104" t="s">
        <v>152</v>
      </c>
      <c r="E360" s="18">
        <f t="shared" ref="E360:I360" si="70">E320</f>
        <v>14.600261225862047</v>
      </c>
      <c r="F360" s="18">
        <f t="shared" si="70"/>
        <v>14.510362008509837</v>
      </c>
      <c r="G360" s="18">
        <f t="shared" si="70"/>
        <v>14.420946288681119</v>
      </c>
      <c r="H360" s="18">
        <f t="shared" si="70"/>
        <v>14.330891991252946</v>
      </c>
      <c r="I360" s="18">
        <f t="shared" si="70"/>
        <v>14.238994472490452</v>
      </c>
      <c r="K360" s="20" t="str">
        <f t="shared" si="54"/>
        <v>PRTC_COSTPERHH3_PR19CA012</v>
      </c>
    </row>
    <row r="361" spans="1:11" x14ac:dyDescent="0.25">
      <c r="A361" s="21" t="s">
        <v>32</v>
      </c>
      <c r="B361" s="117" t="s">
        <v>265</v>
      </c>
      <c r="C361" s="8" t="s">
        <v>260</v>
      </c>
      <c r="D361" s="104" t="s">
        <v>152</v>
      </c>
      <c r="E361" s="18">
        <f t="shared" ref="E361:I361" si="71">E321</f>
        <v>19.332056754488907</v>
      </c>
      <c r="F361" s="18">
        <f t="shared" si="71"/>
        <v>19.162419585996396</v>
      </c>
      <c r="G361" s="18">
        <f t="shared" si="71"/>
        <v>18.989595764228088</v>
      </c>
      <c r="H361" s="18">
        <f t="shared" si="71"/>
        <v>18.81456474972936</v>
      </c>
      <c r="I361" s="18">
        <f t="shared" si="71"/>
        <v>18.64331575696788</v>
      </c>
      <c r="K361" s="20" t="str">
        <f t="shared" si="54"/>
        <v>SESC_COSTPERHH3_PR19CA012</v>
      </c>
    </row>
    <row r="362" spans="1:11" x14ac:dyDescent="0.25">
      <c r="A362" s="21" t="s">
        <v>33</v>
      </c>
      <c r="B362" s="117" t="s">
        <v>265</v>
      </c>
      <c r="C362" s="8" t="s">
        <v>260</v>
      </c>
      <c r="D362" s="104" t="s">
        <v>152</v>
      </c>
      <c r="E362" s="18">
        <f t="shared" ref="E362:I362" si="72">E322</f>
        <v>19.83988267972958</v>
      </c>
      <c r="F362" s="18">
        <f t="shared" si="72"/>
        <v>19.647952527144426</v>
      </c>
      <c r="G362" s="18">
        <f t="shared" si="72"/>
        <v>19.456899682991271</v>
      </c>
      <c r="H362" s="18">
        <f t="shared" si="72"/>
        <v>19.266780485623105</v>
      </c>
      <c r="I362" s="18">
        <f t="shared" si="72"/>
        <v>19.077523107157006</v>
      </c>
      <c r="K362" s="20" t="str">
        <f t="shared" si="54"/>
        <v>SEWC_COSTPERHH3_PR19CA012</v>
      </c>
    </row>
    <row r="363" spans="1:11" x14ac:dyDescent="0.25">
      <c r="A363" s="21" t="s">
        <v>34</v>
      </c>
      <c r="B363" s="117" t="s">
        <v>265</v>
      </c>
      <c r="C363" s="8" t="s">
        <v>260</v>
      </c>
      <c r="D363" s="104" t="s">
        <v>152</v>
      </c>
      <c r="E363" s="18">
        <f t="shared" ref="E363:I363" si="73">E323</f>
        <v>17.870127448822505</v>
      </c>
      <c r="F363" s="18">
        <f t="shared" si="73"/>
        <v>17.650368020215833</v>
      </c>
      <c r="G363" s="18">
        <f t="shared" si="73"/>
        <v>17.444877083652262</v>
      </c>
      <c r="H363" s="18">
        <f t="shared" si="73"/>
        <v>17.232050605712068</v>
      </c>
      <c r="I363" s="18">
        <f t="shared" si="73"/>
        <v>17.02848611148789</v>
      </c>
      <c r="K363" s="20" t="str">
        <f t="shared" si="54"/>
        <v>SSCC_COSTPERHH3_PR19CA012</v>
      </c>
    </row>
    <row r="364" spans="1:11" x14ac:dyDescent="0.25">
      <c r="A364" s="120" t="s">
        <v>20</v>
      </c>
      <c r="B364" s="117" t="s">
        <v>266</v>
      </c>
      <c r="C364" s="8" t="s">
        <v>260</v>
      </c>
      <c r="D364" s="104" t="s">
        <v>152</v>
      </c>
      <c r="E364" s="18">
        <f>E304</f>
        <v>27.448139778489168</v>
      </c>
      <c r="F364" s="18">
        <f t="shared" ref="F364:I364" si="74">F304</f>
        <v>27.034185973166949</v>
      </c>
      <c r="G364" s="18">
        <f t="shared" si="74"/>
        <v>26.667594278773965</v>
      </c>
      <c r="H364" s="18">
        <f t="shared" si="74"/>
        <v>26.327196080957815</v>
      </c>
      <c r="I364" s="18">
        <f t="shared" si="74"/>
        <v>26.012284669650121</v>
      </c>
      <c r="K364" s="20" t="str">
        <f t="shared" ref="K364:K383" si="75">A364&amp;B364</f>
        <v>ANHC_COSTPERHH4_PR19CA012</v>
      </c>
    </row>
    <row r="365" spans="1:11" x14ac:dyDescent="0.25">
      <c r="A365" s="120" t="s">
        <v>157</v>
      </c>
      <c r="B365" s="117" t="s">
        <v>266</v>
      </c>
      <c r="C365" s="8" t="s">
        <v>260</v>
      </c>
      <c r="D365" s="104" t="s">
        <v>152</v>
      </c>
      <c r="E365" s="18">
        <f t="shared" ref="E365:I365" si="76">E305</f>
        <v>30.167210832577048</v>
      </c>
      <c r="F365" s="18">
        <f t="shared" si="76"/>
        <v>30.01559141140477</v>
      </c>
      <c r="G365" s="18">
        <f t="shared" si="76"/>
        <v>29.862377254357579</v>
      </c>
      <c r="H365" s="18">
        <f t="shared" si="76"/>
        <v>29.709795538827009</v>
      </c>
      <c r="I365" s="18">
        <f t="shared" si="76"/>
        <v>29.557546009185039</v>
      </c>
      <c r="K365" s="20" t="str">
        <f t="shared" si="75"/>
        <v>HDDC_COSTPERHH4_PR19CA012</v>
      </c>
    </row>
    <row r="366" spans="1:11" x14ac:dyDescent="0.25">
      <c r="A366" s="120" t="s">
        <v>21</v>
      </c>
      <c r="B366" s="117" t="s">
        <v>266</v>
      </c>
      <c r="C366" s="8" t="s">
        <v>260</v>
      </c>
      <c r="D366" s="104" t="s">
        <v>152</v>
      </c>
      <c r="E366" s="18">
        <f t="shared" ref="E366:I366" si="77">E306</f>
        <v>25.742910984685068</v>
      </c>
      <c r="F366" s="18">
        <f t="shared" si="77"/>
        <v>25.496511341320694</v>
      </c>
      <c r="G366" s="18">
        <f t="shared" si="77"/>
        <v>25.261961971489402</v>
      </c>
      <c r="H366" s="18">
        <f t="shared" si="77"/>
        <v>25.03967522542526</v>
      </c>
      <c r="I366" s="18">
        <f t="shared" si="77"/>
        <v>24.821903142865981</v>
      </c>
      <c r="K366" s="20" t="str">
        <f t="shared" si="75"/>
        <v>NESC_COSTPERHH4_PR19CA012</v>
      </c>
    </row>
    <row r="367" spans="1:11" x14ac:dyDescent="0.25">
      <c r="A367" s="120" t="s">
        <v>22</v>
      </c>
      <c r="B367" s="117" t="s">
        <v>266</v>
      </c>
      <c r="C367" s="8" t="s">
        <v>260</v>
      </c>
      <c r="D367" s="104" t="s">
        <v>152</v>
      </c>
      <c r="E367" s="18">
        <f t="shared" ref="E367:I367" si="78">E307</f>
        <v>31.345067877805548</v>
      </c>
      <c r="F367" s="18">
        <f t="shared" si="78"/>
        <v>31.112399853793242</v>
      </c>
      <c r="G367" s="18">
        <f t="shared" si="78"/>
        <v>30.872865076264727</v>
      </c>
      <c r="H367" s="18">
        <f t="shared" si="78"/>
        <v>30.626868785941408</v>
      </c>
      <c r="I367" s="18">
        <f t="shared" si="78"/>
        <v>30.374820946582194</v>
      </c>
      <c r="K367" s="20" t="str">
        <f t="shared" si="75"/>
        <v>NWTC_COSTPERHH4_PR19CA012</v>
      </c>
    </row>
    <row r="368" spans="1:11" x14ac:dyDescent="0.25">
      <c r="A368" s="120" t="s">
        <v>23</v>
      </c>
      <c r="B368" s="117" t="s">
        <v>266</v>
      </c>
      <c r="C368" s="8" t="s">
        <v>260</v>
      </c>
      <c r="D368" s="104" t="s">
        <v>152</v>
      </c>
      <c r="E368" s="18">
        <f t="shared" ref="E368:I368" si="79">E308</f>
        <v>26.130840749972709</v>
      </c>
      <c r="F368" s="18">
        <f t="shared" si="79"/>
        <v>25.794475299299862</v>
      </c>
      <c r="G368" s="18">
        <f t="shared" si="79"/>
        <v>25.491326741168802</v>
      </c>
      <c r="H368" s="18">
        <f t="shared" si="79"/>
        <v>25.205191041470389</v>
      </c>
      <c r="I368" s="18">
        <f t="shared" si="79"/>
        <v>24.941139575453214</v>
      </c>
      <c r="K368" s="20" t="str">
        <f t="shared" si="75"/>
        <v>SRNC_COSTPERHH4_PR19CA012</v>
      </c>
    </row>
    <row r="369" spans="1:11" x14ac:dyDescent="0.25">
      <c r="A369" s="120" t="s">
        <v>156</v>
      </c>
      <c r="B369" s="117" t="s">
        <v>266</v>
      </c>
      <c r="C369" s="8" t="s">
        <v>260</v>
      </c>
      <c r="D369" s="104" t="s">
        <v>152</v>
      </c>
      <c r="E369" s="18">
        <f t="shared" ref="E369:I369" si="80">E309</f>
        <v>23.760637152510316</v>
      </c>
      <c r="F369" s="18">
        <f t="shared" si="80"/>
        <v>23.623921348870827</v>
      </c>
      <c r="G369" s="18">
        <f t="shared" si="80"/>
        <v>23.480497168235335</v>
      </c>
      <c r="H369" s="18">
        <f t="shared" si="80"/>
        <v>23.336410591036866</v>
      </c>
      <c r="I369" s="18">
        <f t="shared" si="80"/>
        <v>23.19172556356942</v>
      </c>
      <c r="K369" s="20" t="str">
        <f t="shared" si="75"/>
        <v>SVEC_COSTPERHH4_PR19CA012</v>
      </c>
    </row>
    <row r="370" spans="1:11" x14ac:dyDescent="0.25">
      <c r="A370" s="120" t="s">
        <v>232</v>
      </c>
      <c r="B370" s="117" t="s">
        <v>266</v>
      </c>
      <c r="C370" s="8" t="s">
        <v>260</v>
      </c>
      <c r="D370" s="104" t="s">
        <v>152</v>
      </c>
      <c r="E370" s="18">
        <f t="shared" ref="E370:I370" si="81">E310</f>
        <v>0</v>
      </c>
      <c r="F370" s="18">
        <f t="shared" si="81"/>
        <v>0</v>
      </c>
      <c r="G370" s="18">
        <f t="shared" si="81"/>
        <v>0</v>
      </c>
      <c r="H370" s="18">
        <f t="shared" si="81"/>
        <v>0</v>
      </c>
      <c r="I370" s="18">
        <f t="shared" si="81"/>
        <v>0</v>
      </c>
      <c r="K370" s="20" t="str">
        <f t="shared" si="75"/>
        <v>SVHC_COSTPERHH4_PR19CA012</v>
      </c>
    </row>
    <row r="371" spans="1:11" x14ac:dyDescent="0.25">
      <c r="A371" s="120" t="s">
        <v>24</v>
      </c>
      <c r="B371" s="117" t="s">
        <v>266</v>
      </c>
      <c r="C371" s="8" t="s">
        <v>260</v>
      </c>
      <c r="D371" s="104" t="s">
        <v>152</v>
      </c>
      <c r="E371" s="18">
        <f t="shared" ref="E371:I371" si="82">E311</f>
        <v>0</v>
      </c>
      <c r="F371" s="18">
        <f t="shared" si="82"/>
        <v>0</v>
      </c>
      <c r="G371" s="18">
        <f t="shared" si="82"/>
        <v>0</v>
      </c>
      <c r="H371" s="18">
        <f t="shared" si="82"/>
        <v>0</v>
      </c>
      <c r="I371" s="18">
        <f t="shared" si="82"/>
        <v>0</v>
      </c>
      <c r="K371" s="20" t="str">
        <f t="shared" si="75"/>
        <v>SVTC_COSTPERHH4_PR19CA012</v>
      </c>
    </row>
    <row r="372" spans="1:11" x14ac:dyDescent="0.25">
      <c r="A372" s="21" t="s">
        <v>35</v>
      </c>
      <c r="B372" s="117" t="s">
        <v>266</v>
      </c>
      <c r="C372" s="8" t="s">
        <v>260</v>
      </c>
      <c r="D372" s="104" t="s">
        <v>152</v>
      </c>
      <c r="E372" s="18">
        <f t="shared" ref="E372:I372" si="83">E312</f>
        <v>28.934205122220163</v>
      </c>
      <c r="F372" s="18">
        <f t="shared" si="83"/>
        <v>28.579019552923679</v>
      </c>
      <c r="G372" s="18">
        <f t="shared" si="83"/>
        <v>28.325080233122719</v>
      </c>
      <c r="H372" s="18">
        <f t="shared" si="83"/>
        <v>28.071575174988642</v>
      </c>
      <c r="I372" s="18">
        <f t="shared" si="83"/>
        <v>27.828574197924123</v>
      </c>
      <c r="K372" s="20" t="str">
        <f t="shared" si="75"/>
        <v>SWBC_COSTPERHH4_PR19CA012</v>
      </c>
    </row>
    <row r="373" spans="1:11" x14ac:dyDescent="0.25">
      <c r="A373" s="21" t="s">
        <v>25</v>
      </c>
      <c r="B373" s="117" t="s">
        <v>266</v>
      </c>
      <c r="C373" s="8" t="s">
        <v>260</v>
      </c>
      <c r="D373" s="104" t="s">
        <v>152</v>
      </c>
      <c r="E373" s="18">
        <f t="shared" ref="E373:I373" si="84">E313</f>
        <v>27.040666138624957</v>
      </c>
      <c r="F373" s="18">
        <f t="shared" si="84"/>
        <v>26.690970664529157</v>
      </c>
      <c r="G373" s="18">
        <f t="shared" si="84"/>
        <v>26.372264755015248</v>
      </c>
      <c r="H373" s="18">
        <f t="shared" si="84"/>
        <v>26.055812643412001</v>
      </c>
      <c r="I373" s="18">
        <f t="shared" si="84"/>
        <v>25.795983658053927</v>
      </c>
      <c r="K373" s="20" t="str">
        <f t="shared" si="75"/>
        <v>TMSC_COSTPERHH4_PR19CA012</v>
      </c>
    </row>
    <row r="374" spans="1:11" x14ac:dyDescent="0.25">
      <c r="A374" s="21" t="s">
        <v>41</v>
      </c>
      <c r="B374" s="117" t="s">
        <v>266</v>
      </c>
      <c r="C374" s="8" t="s">
        <v>260</v>
      </c>
      <c r="D374" s="104" t="s">
        <v>152</v>
      </c>
      <c r="E374" s="18">
        <f t="shared" ref="E374:I374" si="85">E314</f>
        <v>29.045986762210315</v>
      </c>
      <c r="F374" s="18">
        <f t="shared" si="85"/>
        <v>28.818958185475473</v>
      </c>
      <c r="G374" s="18">
        <f t="shared" si="85"/>
        <v>28.591856051701033</v>
      </c>
      <c r="H374" s="18">
        <f t="shared" si="85"/>
        <v>28.367022036225265</v>
      </c>
      <c r="I374" s="18">
        <f t="shared" si="85"/>
        <v>28.144471596525612</v>
      </c>
      <c r="K374" s="20" t="str">
        <f t="shared" si="75"/>
        <v>WSHC_COSTPERHH4_PR19CA012</v>
      </c>
    </row>
    <row r="375" spans="1:11" x14ac:dyDescent="0.25">
      <c r="A375" s="21" t="s">
        <v>26</v>
      </c>
      <c r="B375" s="117" t="s">
        <v>266</v>
      </c>
      <c r="C375" s="8" t="s">
        <v>260</v>
      </c>
      <c r="D375" s="104" t="s">
        <v>152</v>
      </c>
      <c r="E375" s="18">
        <f t="shared" ref="E375:I375" si="86">E315</f>
        <v>23.214178458234056</v>
      </c>
      <c r="F375" s="18">
        <f t="shared" si="86"/>
        <v>22.973678513435186</v>
      </c>
      <c r="G375" s="18">
        <f t="shared" si="86"/>
        <v>22.742428105862</v>
      </c>
      <c r="H375" s="18">
        <f t="shared" si="86"/>
        <v>22.52111868514962</v>
      </c>
      <c r="I375" s="18">
        <f t="shared" si="86"/>
        <v>22.314037139983753</v>
      </c>
      <c r="K375" s="20" t="str">
        <f t="shared" si="75"/>
        <v>WSXC_COSTPERHH4_PR19CA012</v>
      </c>
    </row>
    <row r="376" spans="1:11" x14ac:dyDescent="0.25">
      <c r="A376" s="21" t="s">
        <v>27</v>
      </c>
      <c r="B376" s="117" t="s">
        <v>266</v>
      </c>
      <c r="C376" s="8" t="s">
        <v>260</v>
      </c>
      <c r="D376" s="104" t="s">
        <v>152</v>
      </c>
      <c r="E376" s="18">
        <f t="shared" ref="E376:I376" si="87">E316</f>
        <v>29.273534222993401</v>
      </c>
      <c r="F376" s="18">
        <f t="shared" si="87"/>
        <v>29.000053131174575</v>
      </c>
      <c r="G376" s="18">
        <f t="shared" si="87"/>
        <v>28.730351004090046</v>
      </c>
      <c r="H376" s="18">
        <f t="shared" si="87"/>
        <v>28.466068259948393</v>
      </c>
      <c r="I376" s="18">
        <f t="shared" si="87"/>
        <v>28.206027625338734</v>
      </c>
      <c r="K376" s="20" t="str">
        <f t="shared" si="75"/>
        <v>YKYC_COSTPERHH4_PR19CA012</v>
      </c>
    </row>
    <row r="377" spans="1:11" x14ac:dyDescent="0.25">
      <c r="A377" s="21" t="s">
        <v>28</v>
      </c>
      <c r="B377" s="117" t="s">
        <v>266</v>
      </c>
      <c r="C377" s="8" t="s">
        <v>260</v>
      </c>
      <c r="D377" s="104" t="s">
        <v>152</v>
      </c>
      <c r="E377" s="18">
        <f t="shared" ref="E377:I377" si="88">E317</f>
        <v>19.819387922711186</v>
      </c>
      <c r="F377" s="18">
        <f t="shared" si="88"/>
        <v>19.540870368929721</v>
      </c>
      <c r="G377" s="18">
        <f t="shared" si="88"/>
        <v>19.314787508464292</v>
      </c>
      <c r="H377" s="18">
        <f t="shared" si="88"/>
        <v>19.093863196369654</v>
      </c>
      <c r="I377" s="18">
        <f t="shared" si="88"/>
        <v>18.877935636082455</v>
      </c>
      <c r="K377" s="20" t="str">
        <f t="shared" si="75"/>
        <v>AFWC_COSTPERHH4_PR19CA012</v>
      </c>
    </row>
    <row r="378" spans="1:11" x14ac:dyDescent="0.25">
      <c r="A378" s="21" t="s">
        <v>29</v>
      </c>
      <c r="B378" s="117" t="s">
        <v>266</v>
      </c>
      <c r="C378" s="8" t="s">
        <v>260</v>
      </c>
      <c r="D378" s="104" t="s">
        <v>152</v>
      </c>
      <c r="E378" s="18">
        <f t="shared" ref="E378:I378" si="89">E318</f>
        <v>19.806139429594449</v>
      </c>
      <c r="F378" s="18">
        <f t="shared" si="89"/>
        <v>19.576836414642663</v>
      </c>
      <c r="G378" s="18">
        <f t="shared" si="89"/>
        <v>19.370850136201209</v>
      </c>
      <c r="H378" s="18">
        <f t="shared" si="89"/>
        <v>19.172513534760931</v>
      </c>
      <c r="I378" s="18">
        <f t="shared" si="89"/>
        <v>18.982636535539079</v>
      </c>
      <c r="K378" s="20" t="str">
        <f t="shared" si="75"/>
        <v>BRLC_COSTPERHH4_PR19CA012</v>
      </c>
    </row>
    <row r="379" spans="1:11" x14ac:dyDescent="0.25">
      <c r="A379" s="21" t="s">
        <v>30</v>
      </c>
      <c r="B379" s="117" t="s">
        <v>266</v>
      </c>
      <c r="C379" s="8" t="s">
        <v>260</v>
      </c>
      <c r="D379" s="104" t="s">
        <v>152</v>
      </c>
      <c r="E379" s="18">
        <f t="shared" ref="E379:I379" si="90">E319</f>
        <v>0</v>
      </c>
      <c r="F379" s="18">
        <f t="shared" si="90"/>
        <v>0</v>
      </c>
      <c r="G379" s="18">
        <f t="shared" si="90"/>
        <v>0</v>
      </c>
      <c r="H379" s="18">
        <f t="shared" si="90"/>
        <v>0</v>
      </c>
      <c r="I379" s="18">
        <f t="shared" si="90"/>
        <v>0</v>
      </c>
      <c r="K379" s="20" t="str">
        <f t="shared" si="75"/>
        <v>DVWC_COSTPERHH4_PR19CA012</v>
      </c>
    </row>
    <row r="380" spans="1:11" x14ac:dyDescent="0.25">
      <c r="A380" s="21" t="s">
        <v>31</v>
      </c>
      <c r="B380" s="117" t="s">
        <v>266</v>
      </c>
      <c r="C380" s="8" t="s">
        <v>260</v>
      </c>
      <c r="D380" s="104" t="s">
        <v>152</v>
      </c>
      <c r="E380" s="18">
        <f t="shared" ref="E380:I380" si="91">E320</f>
        <v>14.600261225862047</v>
      </c>
      <c r="F380" s="18">
        <f t="shared" si="91"/>
        <v>14.510362008509837</v>
      </c>
      <c r="G380" s="18">
        <f t="shared" si="91"/>
        <v>14.420946288681119</v>
      </c>
      <c r="H380" s="18">
        <f t="shared" si="91"/>
        <v>14.330891991252946</v>
      </c>
      <c r="I380" s="18">
        <f t="shared" si="91"/>
        <v>14.238994472490452</v>
      </c>
      <c r="K380" s="20" t="str">
        <f t="shared" si="75"/>
        <v>PRTC_COSTPERHH4_PR19CA012</v>
      </c>
    </row>
    <row r="381" spans="1:11" x14ac:dyDescent="0.25">
      <c r="A381" s="21" t="s">
        <v>32</v>
      </c>
      <c r="B381" s="117" t="s">
        <v>266</v>
      </c>
      <c r="C381" s="8" t="s">
        <v>260</v>
      </c>
      <c r="D381" s="104" t="s">
        <v>152</v>
      </c>
      <c r="E381" s="18">
        <f t="shared" ref="E381:I381" si="92">E321</f>
        <v>19.332056754488907</v>
      </c>
      <c r="F381" s="18">
        <f t="shared" si="92"/>
        <v>19.162419585996396</v>
      </c>
      <c r="G381" s="18">
        <f t="shared" si="92"/>
        <v>18.989595764228088</v>
      </c>
      <c r="H381" s="18">
        <f t="shared" si="92"/>
        <v>18.81456474972936</v>
      </c>
      <c r="I381" s="18">
        <f t="shared" si="92"/>
        <v>18.64331575696788</v>
      </c>
      <c r="K381" s="20" t="str">
        <f t="shared" si="75"/>
        <v>SESC_COSTPERHH4_PR19CA012</v>
      </c>
    </row>
    <row r="382" spans="1:11" x14ac:dyDescent="0.25">
      <c r="A382" s="21" t="s">
        <v>33</v>
      </c>
      <c r="B382" s="117" t="s">
        <v>266</v>
      </c>
      <c r="C382" s="8" t="s">
        <v>260</v>
      </c>
      <c r="D382" s="104" t="s">
        <v>152</v>
      </c>
      <c r="E382" s="18">
        <f t="shared" ref="E382:I382" si="93">E322</f>
        <v>19.83988267972958</v>
      </c>
      <c r="F382" s="18">
        <f t="shared" si="93"/>
        <v>19.647952527144426</v>
      </c>
      <c r="G382" s="18">
        <f t="shared" si="93"/>
        <v>19.456899682991271</v>
      </c>
      <c r="H382" s="18">
        <f t="shared" si="93"/>
        <v>19.266780485623105</v>
      </c>
      <c r="I382" s="18">
        <f t="shared" si="93"/>
        <v>19.077523107157006</v>
      </c>
      <c r="K382" s="20" t="str">
        <f t="shared" si="75"/>
        <v>SEWC_COSTPERHH4_PR19CA012</v>
      </c>
    </row>
    <row r="383" spans="1:11" x14ac:dyDescent="0.25">
      <c r="A383" s="21" t="s">
        <v>34</v>
      </c>
      <c r="B383" s="117" t="s">
        <v>266</v>
      </c>
      <c r="C383" s="8" t="s">
        <v>260</v>
      </c>
      <c r="D383" s="104" t="s">
        <v>152</v>
      </c>
      <c r="E383" s="18">
        <f t="shared" ref="E383:I383" si="94">E323</f>
        <v>17.870127448822505</v>
      </c>
      <c r="F383" s="18">
        <f t="shared" si="94"/>
        <v>17.650368020215833</v>
      </c>
      <c r="G383" s="18">
        <f t="shared" si="94"/>
        <v>17.444877083652262</v>
      </c>
      <c r="H383" s="18">
        <f t="shared" si="94"/>
        <v>17.232050605712068</v>
      </c>
      <c r="I383" s="18">
        <f t="shared" si="94"/>
        <v>17.02848611148789</v>
      </c>
      <c r="K383" s="20" t="str">
        <f t="shared" si="75"/>
        <v>SSCC_COSTPERHH4_PR19CA012</v>
      </c>
    </row>
    <row r="384" spans="1:11" x14ac:dyDescent="0.25">
      <c r="A384" s="120" t="s">
        <v>20</v>
      </c>
      <c r="B384" s="117" t="s">
        <v>267</v>
      </c>
      <c r="C384" s="8" t="s">
        <v>260</v>
      </c>
      <c r="D384" s="104" t="s">
        <v>152</v>
      </c>
      <c r="E384" s="18">
        <f>E304</f>
        <v>27.448139778489168</v>
      </c>
      <c r="F384" s="18">
        <f t="shared" ref="F384:I384" si="95">F304</f>
        <v>27.034185973166949</v>
      </c>
      <c r="G384" s="18">
        <f t="shared" si="95"/>
        <v>26.667594278773965</v>
      </c>
      <c r="H384" s="18">
        <f t="shared" si="95"/>
        <v>26.327196080957815</v>
      </c>
      <c r="I384" s="18">
        <f t="shared" si="95"/>
        <v>26.012284669650121</v>
      </c>
      <c r="K384" s="20" t="str">
        <f t="shared" ref="K384:K403" si="96">A384&amp;B384</f>
        <v>ANHC_COSTPERHH5_PR19CA012</v>
      </c>
    </row>
    <row r="385" spans="1:11" x14ac:dyDescent="0.25">
      <c r="A385" s="120" t="s">
        <v>157</v>
      </c>
      <c r="B385" s="117" t="s">
        <v>267</v>
      </c>
      <c r="C385" s="8" t="s">
        <v>260</v>
      </c>
      <c r="D385" s="104" t="s">
        <v>152</v>
      </c>
      <c r="E385" s="18">
        <f t="shared" ref="E385:I385" si="97">E305</f>
        <v>30.167210832577048</v>
      </c>
      <c r="F385" s="18">
        <f t="shared" si="97"/>
        <v>30.01559141140477</v>
      </c>
      <c r="G385" s="18">
        <f t="shared" si="97"/>
        <v>29.862377254357579</v>
      </c>
      <c r="H385" s="18">
        <f t="shared" si="97"/>
        <v>29.709795538827009</v>
      </c>
      <c r="I385" s="18">
        <f t="shared" si="97"/>
        <v>29.557546009185039</v>
      </c>
      <c r="K385" s="20" t="str">
        <f t="shared" si="96"/>
        <v>HDDC_COSTPERHH5_PR19CA012</v>
      </c>
    </row>
    <row r="386" spans="1:11" x14ac:dyDescent="0.25">
      <c r="A386" s="120" t="s">
        <v>21</v>
      </c>
      <c r="B386" s="117" t="s">
        <v>267</v>
      </c>
      <c r="C386" s="8" t="s">
        <v>260</v>
      </c>
      <c r="D386" s="104" t="s">
        <v>152</v>
      </c>
      <c r="E386" s="18">
        <f t="shared" ref="E386:I386" si="98">E306</f>
        <v>25.742910984685068</v>
      </c>
      <c r="F386" s="18">
        <f t="shared" si="98"/>
        <v>25.496511341320694</v>
      </c>
      <c r="G386" s="18">
        <f t="shared" si="98"/>
        <v>25.261961971489402</v>
      </c>
      <c r="H386" s="18">
        <f t="shared" si="98"/>
        <v>25.03967522542526</v>
      </c>
      <c r="I386" s="18">
        <f t="shared" si="98"/>
        <v>24.821903142865981</v>
      </c>
      <c r="K386" s="20" t="str">
        <f t="shared" si="96"/>
        <v>NESC_COSTPERHH5_PR19CA012</v>
      </c>
    </row>
    <row r="387" spans="1:11" x14ac:dyDescent="0.25">
      <c r="A387" s="120" t="s">
        <v>22</v>
      </c>
      <c r="B387" s="117" t="s">
        <v>267</v>
      </c>
      <c r="C387" s="8" t="s">
        <v>260</v>
      </c>
      <c r="D387" s="104" t="s">
        <v>152</v>
      </c>
      <c r="E387" s="18">
        <f t="shared" ref="E387:I387" si="99">E307</f>
        <v>31.345067877805548</v>
      </c>
      <c r="F387" s="18">
        <f t="shared" si="99"/>
        <v>31.112399853793242</v>
      </c>
      <c r="G387" s="18">
        <f t="shared" si="99"/>
        <v>30.872865076264727</v>
      </c>
      <c r="H387" s="18">
        <f t="shared" si="99"/>
        <v>30.626868785941408</v>
      </c>
      <c r="I387" s="18">
        <f t="shared" si="99"/>
        <v>30.374820946582194</v>
      </c>
      <c r="K387" s="20" t="str">
        <f t="shared" si="96"/>
        <v>NWTC_COSTPERHH5_PR19CA012</v>
      </c>
    </row>
    <row r="388" spans="1:11" x14ac:dyDescent="0.25">
      <c r="A388" s="120" t="s">
        <v>23</v>
      </c>
      <c r="B388" s="117" t="s">
        <v>267</v>
      </c>
      <c r="C388" s="8" t="s">
        <v>260</v>
      </c>
      <c r="D388" s="104" t="s">
        <v>152</v>
      </c>
      <c r="E388" s="18">
        <f t="shared" ref="E388:I388" si="100">E308</f>
        <v>26.130840749972709</v>
      </c>
      <c r="F388" s="18">
        <f t="shared" si="100"/>
        <v>25.794475299299862</v>
      </c>
      <c r="G388" s="18">
        <f t="shared" si="100"/>
        <v>25.491326741168802</v>
      </c>
      <c r="H388" s="18">
        <f t="shared" si="100"/>
        <v>25.205191041470389</v>
      </c>
      <c r="I388" s="18">
        <f t="shared" si="100"/>
        <v>24.941139575453214</v>
      </c>
      <c r="K388" s="20" t="str">
        <f t="shared" si="96"/>
        <v>SRNC_COSTPERHH5_PR19CA012</v>
      </c>
    </row>
    <row r="389" spans="1:11" x14ac:dyDescent="0.25">
      <c r="A389" s="120" t="s">
        <v>156</v>
      </c>
      <c r="B389" s="117" t="s">
        <v>267</v>
      </c>
      <c r="C389" s="8" t="s">
        <v>260</v>
      </c>
      <c r="D389" s="104" t="s">
        <v>152</v>
      </c>
      <c r="E389" s="18">
        <f t="shared" ref="E389:I389" si="101">E309</f>
        <v>23.760637152510316</v>
      </c>
      <c r="F389" s="18">
        <f t="shared" si="101"/>
        <v>23.623921348870827</v>
      </c>
      <c r="G389" s="18">
        <f t="shared" si="101"/>
        <v>23.480497168235335</v>
      </c>
      <c r="H389" s="18">
        <f t="shared" si="101"/>
        <v>23.336410591036866</v>
      </c>
      <c r="I389" s="18">
        <f t="shared" si="101"/>
        <v>23.19172556356942</v>
      </c>
      <c r="K389" s="20" t="str">
        <f t="shared" si="96"/>
        <v>SVEC_COSTPERHH5_PR19CA012</v>
      </c>
    </row>
    <row r="390" spans="1:11" x14ac:dyDescent="0.25">
      <c r="A390" s="120" t="s">
        <v>232</v>
      </c>
      <c r="B390" s="117" t="s">
        <v>267</v>
      </c>
      <c r="C390" s="8" t="s">
        <v>260</v>
      </c>
      <c r="D390" s="104" t="s">
        <v>152</v>
      </c>
      <c r="E390" s="18">
        <f t="shared" ref="E390:I390" si="102">E310</f>
        <v>0</v>
      </c>
      <c r="F390" s="18">
        <f t="shared" si="102"/>
        <v>0</v>
      </c>
      <c r="G390" s="18">
        <f t="shared" si="102"/>
        <v>0</v>
      </c>
      <c r="H390" s="18">
        <f t="shared" si="102"/>
        <v>0</v>
      </c>
      <c r="I390" s="18">
        <f t="shared" si="102"/>
        <v>0</v>
      </c>
      <c r="K390" s="20" t="str">
        <f t="shared" si="96"/>
        <v>SVHC_COSTPERHH5_PR19CA012</v>
      </c>
    </row>
    <row r="391" spans="1:11" x14ac:dyDescent="0.25">
      <c r="A391" s="120" t="s">
        <v>24</v>
      </c>
      <c r="B391" s="117" t="s">
        <v>267</v>
      </c>
      <c r="C391" s="8" t="s">
        <v>260</v>
      </c>
      <c r="D391" s="104" t="s">
        <v>152</v>
      </c>
      <c r="E391" s="18">
        <f t="shared" ref="E391:I391" si="103">E311</f>
        <v>0</v>
      </c>
      <c r="F391" s="18">
        <f t="shared" si="103"/>
        <v>0</v>
      </c>
      <c r="G391" s="18">
        <f t="shared" si="103"/>
        <v>0</v>
      </c>
      <c r="H391" s="18">
        <f t="shared" si="103"/>
        <v>0</v>
      </c>
      <c r="I391" s="18">
        <f t="shared" si="103"/>
        <v>0</v>
      </c>
      <c r="K391" s="20" t="str">
        <f t="shared" si="96"/>
        <v>SVTC_COSTPERHH5_PR19CA012</v>
      </c>
    </row>
    <row r="392" spans="1:11" x14ac:dyDescent="0.25">
      <c r="A392" s="21" t="s">
        <v>35</v>
      </c>
      <c r="B392" s="117" t="s">
        <v>267</v>
      </c>
      <c r="C392" s="8" t="s">
        <v>260</v>
      </c>
      <c r="D392" s="104" t="s">
        <v>152</v>
      </c>
      <c r="E392" s="18">
        <f t="shared" ref="E392:I392" si="104">E312</f>
        <v>28.934205122220163</v>
      </c>
      <c r="F392" s="18">
        <f t="shared" si="104"/>
        <v>28.579019552923679</v>
      </c>
      <c r="G392" s="18">
        <f t="shared" si="104"/>
        <v>28.325080233122719</v>
      </c>
      <c r="H392" s="18">
        <f t="shared" si="104"/>
        <v>28.071575174988642</v>
      </c>
      <c r="I392" s="18">
        <f t="shared" si="104"/>
        <v>27.828574197924123</v>
      </c>
      <c r="K392" s="20" t="str">
        <f t="shared" si="96"/>
        <v>SWBC_COSTPERHH5_PR19CA012</v>
      </c>
    </row>
    <row r="393" spans="1:11" x14ac:dyDescent="0.25">
      <c r="A393" s="21" t="s">
        <v>25</v>
      </c>
      <c r="B393" s="117" t="s">
        <v>267</v>
      </c>
      <c r="C393" s="8" t="s">
        <v>260</v>
      </c>
      <c r="D393" s="104" t="s">
        <v>152</v>
      </c>
      <c r="E393" s="18">
        <f t="shared" ref="E393:I393" si="105">E313</f>
        <v>27.040666138624957</v>
      </c>
      <c r="F393" s="18">
        <f t="shared" si="105"/>
        <v>26.690970664529157</v>
      </c>
      <c r="G393" s="18">
        <f t="shared" si="105"/>
        <v>26.372264755015248</v>
      </c>
      <c r="H393" s="18">
        <f t="shared" si="105"/>
        <v>26.055812643412001</v>
      </c>
      <c r="I393" s="18">
        <f t="shared" si="105"/>
        <v>25.795983658053927</v>
      </c>
      <c r="K393" s="20" t="str">
        <f t="shared" si="96"/>
        <v>TMSC_COSTPERHH5_PR19CA012</v>
      </c>
    </row>
    <row r="394" spans="1:11" x14ac:dyDescent="0.25">
      <c r="A394" s="21" t="s">
        <v>41</v>
      </c>
      <c r="B394" s="117" t="s">
        <v>267</v>
      </c>
      <c r="C394" s="8" t="s">
        <v>260</v>
      </c>
      <c r="D394" s="104" t="s">
        <v>152</v>
      </c>
      <c r="E394" s="18">
        <f t="shared" ref="E394:I394" si="106">E314</f>
        <v>29.045986762210315</v>
      </c>
      <c r="F394" s="18">
        <f t="shared" si="106"/>
        <v>28.818958185475473</v>
      </c>
      <c r="G394" s="18">
        <f t="shared" si="106"/>
        <v>28.591856051701033</v>
      </c>
      <c r="H394" s="18">
        <f t="shared" si="106"/>
        <v>28.367022036225265</v>
      </c>
      <c r="I394" s="18">
        <f t="shared" si="106"/>
        <v>28.144471596525612</v>
      </c>
      <c r="K394" s="20" t="str">
        <f t="shared" si="96"/>
        <v>WSHC_COSTPERHH5_PR19CA012</v>
      </c>
    </row>
    <row r="395" spans="1:11" x14ac:dyDescent="0.25">
      <c r="A395" s="21" t="s">
        <v>26</v>
      </c>
      <c r="B395" s="117" t="s">
        <v>267</v>
      </c>
      <c r="C395" s="8" t="s">
        <v>260</v>
      </c>
      <c r="D395" s="104" t="s">
        <v>152</v>
      </c>
      <c r="E395" s="18">
        <f t="shared" ref="E395:I395" si="107">E315</f>
        <v>23.214178458234056</v>
      </c>
      <c r="F395" s="18">
        <f t="shared" si="107"/>
        <v>22.973678513435186</v>
      </c>
      <c r="G395" s="18">
        <f t="shared" si="107"/>
        <v>22.742428105862</v>
      </c>
      <c r="H395" s="18">
        <f t="shared" si="107"/>
        <v>22.52111868514962</v>
      </c>
      <c r="I395" s="18">
        <f t="shared" si="107"/>
        <v>22.314037139983753</v>
      </c>
      <c r="K395" s="20" t="str">
        <f t="shared" si="96"/>
        <v>WSXC_COSTPERHH5_PR19CA012</v>
      </c>
    </row>
    <row r="396" spans="1:11" x14ac:dyDescent="0.25">
      <c r="A396" s="21" t="s">
        <v>27</v>
      </c>
      <c r="B396" s="117" t="s">
        <v>267</v>
      </c>
      <c r="C396" s="8" t="s">
        <v>260</v>
      </c>
      <c r="D396" s="104" t="s">
        <v>152</v>
      </c>
      <c r="E396" s="18">
        <f t="shared" ref="E396:I396" si="108">E316</f>
        <v>29.273534222993401</v>
      </c>
      <c r="F396" s="18">
        <f t="shared" si="108"/>
        <v>29.000053131174575</v>
      </c>
      <c r="G396" s="18">
        <f t="shared" si="108"/>
        <v>28.730351004090046</v>
      </c>
      <c r="H396" s="18">
        <f t="shared" si="108"/>
        <v>28.466068259948393</v>
      </c>
      <c r="I396" s="18">
        <f t="shared" si="108"/>
        <v>28.206027625338734</v>
      </c>
      <c r="K396" s="20" t="str">
        <f t="shared" si="96"/>
        <v>YKYC_COSTPERHH5_PR19CA012</v>
      </c>
    </row>
    <row r="397" spans="1:11" x14ac:dyDescent="0.25">
      <c r="A397" s="21" t="s">
        <v>28</v>
      </c>
      <c r="B397" s="117" t="s">
        <v>267</v>
      </c>
      <c r="C397" s="8" t="s">
        <v>260</v>
      </c>
      <c r="D397" s="104" t="s">
        <v>152</v>
      </c>
      <c r="E397" s="18">
        <f t="shared" ref="E397:I397" si="109">E317</f>
        <v>19.819387922711186</v>
      </c>
      <c r="F397" s="18">
        <f t="shared" si="109"/>
        <v>19.540870368929721</v>
      </c>
      <c r="G397" s="18">
        <f t="shared" si="109"/>
        <v>19.314787508464292</v>
      </c>
      <c r="H397" s="18">
        <f t="shared" si="109"/>
        <v>19.093863196369654</v>
      </c>
      <c r="I397" s="18">
        <f t="shared" si="109"/>
        <v>18.877935636082455</v>
      </c>
      <c r="K397" s="20" t="str">
        <f t="shared" si="96"/>
        <v>AFWC_COSTPERHH5_PR19CA012</v>
      </c>
    </row>
    <row r="398" spans="1:11" x14ac:dyDescent="0.25">
      <c r="A398" s="21" t="s">
        <v>29</v>
      </c>
      <c r="B398" s="117" t="s">
        <v>267</v>
      </c>
      <c r="C398" s="8" t="s">
        <v>260</v>
      </c>
      <c r="D398" s="104" t="s">
        <v>152</v>
      </c>
      <c r="E398" s="18">
        <f t="shared" ref="E398:I398" si="110">E318</f>
        <v>19.806139429594449</v>
      </c>
      <c r="F398" s="18">
        <f t="shared" si="110"/>
        <v>19.576836414642663</v>
      </c>
      <c r="G398" s="18">
        <f t="shared" si="110"/>
        <v>19.370850136201209</v>
      </c>
      <c r="H398" s="18">
        <f t="shared" si="110"/>
        <v>19.172513534760931</v>
      </c>
      <c r="I398" s="18">
        <f t="shared" si="110"/>
        <v>18.982636535539079</v>
      </c>
      <c r="K398" s="20" t="str">
        <f t="shared" si="96"/>
        <v>BRLC_COSTPERHH5_PR19CA012</v>
      </c>
    </row>
    <row r="399" spans="1:11" x14ac:dyDescent="0.25">
      <c r="A399" s="21" t="s">
        <v>30</v>
      </c>
      <c r="B399" s="117" t="s">
        <v>267</v>
      </c>
      <c r="C399" s="8" t="s">
        <v>260</v>
      </c>
      <c r="D399" s="104" t="s">
        <v>152</v>
      </c>
      <c r="E399" s="18">
        <f t="shared" ref="E399:I399" si="111">E319</f>
        <v>0</v>
      </c>
      <c r="F399" s="18">
        <f t="shared" si="111"/>
        <v>0</v>
      </c>
      <c r="G399" s="18">
        <f t="shared" si="111"/>
        <v>0</v>
      </c>
      <c r="H399" s="18">
        <f t="shared" si="111"/>
        <v>0</v>
      </c>
      <c r="I399" s="18">
        <f t="shared" si="111"/>
        <v>0</v>
      </c>
      <c r="K399" s="20" t="str">
        <f t="shared" si="96"/>
        <v>DVWC_COSTPERHH5_PR19CA012</v>
      </c>
    </row>
    <row r="400" spans="1:11" x14ac:dyDescent="0.25">
      <c r="A400" s="21" t="s">
        <v>31</v>
      </c>
      <c r="B400" s="117" t="s">
        <v>267</v>
      </c>
      <c r="C400" s="8" t="s">
        <v>260</v>
      </c>
      <c r="D400" s="104" t="s">
        <v>152</v>
      </c>
      <c r="E400" s="18">
        <f t="shared" ref="E400:I400" si="112">E320</f>
        <v>14.600261225862047</v>
      </c>
      <c r="F400" s="18">
        <f t="shared" si="112"/>
        <v>14.510362008509837</v>
      </c>
      <c r="G400" s="18">
        <f t="shared" si="112"/>
        <v>14.420946288681119</v>
      </c>
      <c r="H400" s="18">
        <f t="shared" si="112"/>
        <v>14.330891991252946</v>
      </c>
      <c r="I400" s="18">
        <f t="shared" si="112"/>
        <v>14.238994472490452</v>
      </c>
      <c r="K400" s="20" t="str">
        <f t="shared" si="96"/>
        <v>PRTC_COSTPERHH5_PR19CA012</v>
      </c>
    </row>
    <row r="401" spans="1:11" x14ac:dyDescent="0.25">
      <c r="A401" s="21" t="s">
        <v>32</v>
      </c>
      <c r="B401" s="117" t="s">
        <v>267</v>
      </c>
      <c r="C401" s="8" t="s">
        <v>260</v>
      </c>
      <c r="D401" s="104" t="s">
        <v>152</v>
      </c>
      <c r="E401" s="18">
        <f t="shared" ref="E401:I401" si="113">E321</f>
        <v>19.332056754488907</v>
      </c>
      <c r="F401" s="18">
        <f t="shared" si="113"/>
        <v>19.162419585996396</v>
      </c>
      <c r="G401" s="18">
        <f t="shared" si="113"/>
        <v>18.989595764228088</v>
      </c>
      <c r="H401" s="18">
        <f t="shared" si="113"/>
        <v>18.81456474972936</v>
      </c>
      <c r="I401" s="18">
        <f t="shared" si="113"/>
        <v>18.64331575696788</v>
      </c>
      <c r="K401" s="20" t="str">
        <f t="shared" si="96"/>
        <v>SESC_COSTPERHH5_PR19CA012</v>
      </c>
    </row>
    <row r="402" spans="1:11" x14ac:dyDescent="0.25">
      <c r="A402" s="21" t="s">
        <v>33</v>
      </c>
      <c r="B402" s="117" t="s">
        <v>267</v>
      </c>
      <c r="C402" s="8" t="s">
        <v>260</v>
      </c>
      <c r="D402" s="104" t="s">
        <v>152</v>
      </c>
      <c r="E402" s="18">
        <f t="shared" ref="E402:I402" si="114">E322</f>
        <v>19.83988267972958</v>
      </c>
      <c r="F402" s="18">
        <f t="shared" si="114"/>
        <v>19.647952527144426</v>
      </c>
      <c r="G402" s="18">
        <f t="shared" si="114"/>
        <v>19.456899682991271</v>
      </c>
      <c r="H402" s="18">
        <f t="shared" si="114"/>
        <v>19.266780485623105</v>
      </c>
      <c r="I402" s="18">
        <f t="shared" si="114"/>
        <v>19.077523107157006</v>
      </c>
      <c r="K402" s="20" t="str">
        <f t="shared" si="96"/>
        <v>SEWC_COSTPERHH5_PR19CA012</v>
      </c>
    </row>
    <row r="403" spans="1:11" x14ac:dyDescent="0.25">
      <c r="A403" s="21" t="s">
        <v>34</v>
      </c>
      <c r="B403" s="117" t="s">
        <v>267</v>
      </c>
      <c r="C403" s="8" t="s">
        <v>260</v>
      </c>
      <c r="D403" s="104" t="s">
        <v>152</v>
      </c>
      <c r="E403" s="18">
        <f t="shared" ref="E403:I403" si="115">E323</f>
        <v>17.870127448822505</v>
      </c>
      <c r="F403" s="18">
        <f t="shared" si="115"/>
        <v>17.650368020215833</v>
      </c>
      <c r="G403" s="18">
        <f t="shared" si="115"/>
        <v>17.444877083652262</v>
      </c>
      <c r="H403" s="18">
        <f t="shared" si="115"/>
        <v>17.232050605712068</v>
      </c>
      <c r="I403" s="18">
        <f t="shared" si="115"/>
        <v>17.02848611148789</v>
      </c>
      <c r="K403" s="20" t="str">
        <f t="shared" si="96"/>
        <v>SSCC_COSTPERHH5_PR19CA012</v>
      </c>
    </row>
    <row r="404" spans="1:11" x14ac:dyDescent="0.25">
      <c r="A404" s="120" t="s">
        <v>20</v>
      </c>
      <c r="B404" s="117" t="s">
        <v>268</v>
      </c>
      <c r="C404" s="8" t="s">
        <v>260</v>
      </c>
      <c r="D404" s="104" t="s">
        <v>152</v>
      </c>
      <c r="E404" s="18">
        <f>E304</f>
        <v>27.448139778489168</v>
      </c>
      <c r="F404" s="18">
        <f t="shared" ref="F404:I404" si="116">F304</f>
        <v>27.034185973166949</v>
      </c>
      <c r="G404" s="18">
        <f t="shared" si="116"/>
        <v>26.667594278773965</v>
      </c>
      <c r="H404" s="18">
        <f t="shared" si="116"/>
        <v>26.327196080957815</v>
      </c>
      <c r="I404" s="18">
        <f t="shared" si="116"/>
        <v>26.012284669650121</v>
      </c>
      <c r="K404" s="20" t="str">
        <f t="shared" ref="K404:K423" si="117">A404&amp;B404</f>
        <v>ANHC_COSTPERHH6_PR19CA012</v>
      </c>
    </row>
    <row r="405" spans="1:11" x14ac:dyDescent="0.25">
      <c r="A405" s="120" t="s">
        <v>157</v>
      </c>
      <c r="B405" s="117" t="s">
        <v>268</v>
      </c>
      <c r="C405" s="8" t="s">
        <v>260</v>
      </c>
      <c r="D405" s="104" t="s">
        <v>152</v>
      </c>
      <c r="E405" s="18">
        <f t="shared" ref="E405:I405" si="118">E305</f>
        <v>30.167210832577048</v>
      </c>
      <c r="F405" s="18">
        <f t="shared" si="118"/>
        <v>30.01559141140477</v>
      </c>
      <c r="G405" s="18">
        <f t="shared" si="118"/>
        <v>29.862377254357579</v>
      </c>
      <c r="H405" s="18">
        <f t="shared" si="118"/>
        <v>29.709795538827009</v>
      </c>
      <c r="I405" s="18">
        <f t="shared" si="118"/>
        <v>29.557546009185039</v>
      </c>
      <c r="K405" s="20" t="str">
        <f t="shared" si="117"/>
        <v>HDDC_COSTPERHH6_PR19CA012</v>
      </c>
    </row>
    <row r="406" spans="1:11" x14ac:dyDescent="0.25">
      <c r="A406" s="120" t="s">
        <v>21</v>
      </c>
      <c r="B406" s="117" t="s">
        <v>268</v>
      </c>
      <c r="C406" s="8" t="s">
        <v>260</v>
      </c>
      <c r="D406" s="104" t="s">
        <v>152</v>
      </c>
      <c r="E406" s="18">
        <f t="shared" ref="E406:I406" si="119">E306</f>
        <v>25.742910984685068</v>
      </c>
      <c r="F406" s="18">
        <f t="shared" si="119"/>
        <v>25.496511341320694</v>
      </c>
      <c r="G406" s="18">
        <f t="shared" si="119"/>
        <v>25.261961971489402</v>
      </c>
      <c r="H406" s="18">
        <f t="shared" si="119"/>
        <v>25.03967522542526</v>
      </c>
      <c r="I406" s="18">
        <f t="shared" si="119"/>
        <v>24.821903142865981</v>
      </c>
      <c r="K406" s="20" t="str">
        <f t="shared" si="117"/>
        <v>NESC_COSTPERHH6_PR19CA012</v>
      </c>
    </row>
    <row r="407" spans="1:11" x14ac:dyDescent="0.25">
      <c r="A407" s="120" t="s">
        <v>22</v>
      </c>
      <c r="B407" s="117" t="s">
        <v>268</v>
      </c>
      <c r="C407" s="8" t="s">
        <v>260</v>
      </c>
      <c r="D407" s="104" t="s">
        <v>152</v>
      </c>
      <c r="E407" s="18">
        <f t="shared" ref="E407:I407" si="120">E307</f>
        <v>31.345067877805548</v>
      </c>
      <c r="F407" s="18">
        <f t="shared" si="120"/>
        <v>31.112399853793242</v>
      </c>
      <c r="G407" s="18">
        <f t="shared" si="120"/>
        <v>30.872865076264727</v>
      </c>
      <c r="H407" s="18">
        <f t="shared" si="120"/>
        <v>30.626868785941408</v>
      </c>
      <c r="I407" s="18">
        <f t="shared" si="120"/>
        <v>30.374820946582194</v>
      </c>
      <c r="K407" s="20" t="str">
        <f t="shared" si="117"/>
        <v>NWTC_COSTPERHH6_PR19CA012</v>
      </c>
    </row>
    <row r="408" spans="1:11" x14ac:dyDescent="0.25">
      <c r="A408" s="120" t="s">
        <v>23</v>
      </c>
      <c r="B408" s="117" t="s">
        <v>268</v>
      </c>
      <c r="C408" s="8" t="s">
        <v>260</v>
      </c>
      <c r="D408" s="104" t="s">
        <v>152</v>
      </c>
      <c r="E408" s="18">
        <f t="shared" ref="E408:I408" si="121">E308</f>
        <v>26.130840749972709</v>
      </c>
      <c r="F408" s="18">
        <f t="shared" si="121"/>
        <v>25.794475299299862</v>
      </c>
      <c r="G408" s="18">
        <f t="shared" si="121"/>
        <v>25.491326741168802</v>
      </c>
      <c r="H408" s="18">
        <f t="shared" si="121"/>
        <v>25.205191041470389</v>
      </c>
      <c r="I408" s="18">
        <f t="shared" si="121"/>
        <v>24.941139575453214</v>
      </c>
      <c r="K408" s="20" t="str">
        <f t="shared" si="117"/>
        <v>SRNC_COSTPERHH6_PR19CA012</v>
      </c>
    </row>
    <row r="409" spans="1:11" x14ac:dyDescent="0.25">
      <c r="A409" s="120" t="s">
        <v>156</v>
      </c>
      <c r="B409" s="117" t="s">
        <v>268</v>
      </c>
      <c r="C409" s="8" t="s">
        <v>260</v>
      </c>
      <c r="D409" s="104" t="s">
        <v>152</v>
      </c>
      <c r="E409" s="18">
        <f t="shared" ref="E409:I409" si="122">E309</f>
        <v>23.760637152510316</v>
      </c>
      <c r="F409" s="18">
        <f t="shared" si="122"/>
        <v>23.623921348870827</v>
      </c>
      <c r="G409" s="18">
        <f t="shared" si="122"/>
        <v>23.480497168235335</v>
      </c>
      <c r="H409" s="18">
        <f t="shared" si="122"/>
        <v>23.336410591036866</v>
      </c>
      <c r="I409" s="18">
        <f t="shared" si="122"/>
        <v>23.19172556356942</v>
      </c>
      <c r="K409" s="20" t="str">
        <f t="shared" si="117"/>
        <v>SVEC_COSTPERHH6_PR19CA012</v>
      </c>
    </row>
    <row r="410" spans="1:11" x14ac:dyDescent="0.25">
      <c r="A410" s="120" t="s">
        <v>232</v>
      </c>
      <c r="B410" s="117" t="s">
        <v>268</v>
      </c>
      <c r="C410" s="8" t="s">
        <v>260</v>
      </c>
      <c r="D410" s="104" t="s">
        <v>152</v>
      </c>
      <c r="E410" s="18">
        <f t="shared" ref="E410:I410" si="123">E310</f>
        <v>0</v>
      </c>
      <c r="F410" s="18">
        <f t="shared" si="123"/>
        <v>0</v>
      </c>
      <c r="G410" s="18">
        <f t="shared" si="123"/>
        <v>0</v>
      </c>
      <c r="H410" s="18">
        <f t="shared" si="123"/>
        <v>0</v>
      </c>
      <c r="I410" s="18">
        <f t="shared" si="123"/>
        <v>0</v>
      </c>
      <c r="K410" s="20" t="str">
        <f t="shared" si="117"/>
        <v>SVHC_COSTPERHH6_PR19CA012</v>
      </c>
    </row>
    <row r="411" spans="1:11" x14ac:dyDescent="0.25">
      <c r="A411" s="120" t="s">
        <v>24</v>
      </c>
      <c r="B411" s="117" t="s">
        <v>268</v>
      </c>
      <c r="C411" s="8" t="s">
        <v>260</v>
      </c>
      <c r="D411" s="104" t="s">
        <v>152</v>
      </c>
      <c r="E411" s="18">
        <f t="shared" ref="E411:I411" si="124">E311</f>
        <v>0</v>
      </c>
      <c r="F411" s="18">
        <f t="shared" si="124"/>
        <v>0</v>
      </c>
      <c r="G411" s="18">
        <f t="shared" si="124"/>
        <v>0</v>
      </c>
      <c r="H411" s="18">
        <f t="shared" si="124"/>
        <v>0</v>
      </c>
      <c r="I411" s="18">
        <f t="shared" si="124"/>
        <v>0</v>
      </c>
      <c r="K411" s="20" t="str">
        <f t="shared" si="117"/>
        <v>SVTC_COSTPERHH6_PR19CA012</v>
      </c>
    </row>
    <row r="412" spans="1:11" x14ac:dyDescent="0.25">
      <c r="A412" s="21" t="s">
        <v>35</v>
      </c>
      <c r="B412" s="117" t="s">
        <v>268</v>
      </c>
      <c r="C412" s="8" t="s">
        <v>260</v>
      </c>
      <c r="D412" s="104" t="s">
        <v>152</v>
      </c>
      <c r="E412" s="18">
        <f t="shared" ref="E412:I412" si="125">E312</f>
        <v>28.934205122220163</v>
      </c>
      <c r="F412" s="18">
        <f t="shared" si="125"/>
        <v>28.579019552923679</v>
      </c>
      <c r="G412" s="18">
        <f t="shared" si="125"/>
        <v>28.325080233122719</v>
      </c>
      <c r="H412" s="18">
        <f t="shared" si="125"/>
        <v>28.071575174988642</v>
      </c>
      <c r="I412" s="18">
        <f t="shared" si="125"/>
        <v>27.828574197924123</v>
      </c>
      <c r="K412" s="20" t="str">
        <f t="shared" si="117"/>
        <v>SWBC_COSTPERHH6_PR19CA012</v>
      </c>
    </row>
    <row r="413" spans="1:11" x14ac:dyDescent="0.25">
      <c r="A413" s="21" t="s">
        <v>25</v>
      </c>
      <c r="B413" s="117" t="s">
        <v>268</v>
      </c>
      <c r="C413" s="8" t="s">
        <v>260</v>
      </c>
      <c r="D413" s="104" t="s">
        <v>152</v>
      </c>
      <c r="E413" s="18">
        <f t="shared" ref="E413:I413" si="126">E313</f>
        <v>27.040666138624957</v>
      </c>
      <c r="F413" s="18">
        <f t="shared" si="126"/>
        <v>26.690970664529157</v>
      </c>
      <c r="G413" s="18">
        <f t="shared" si="126"/>
        <v>26.372264755015248</v>
      </c>
      <c r="H413" s="18">
        <f t="shared" si="126"/>
        <v>26.055812643412001</v>
      </c>
      <c r="I413" s="18">
        <f t="shared" si="126"/>
        <v>25.795983658053927</v>
      </c>
      <c r="K413" s="20" t="str">
        <f t="shared" si="117"/>
        <v>TMSC_COSTPERHH6_PR19CA012</v>
      </c>
    </row>
    <row r="414" spans="1:11" x14ac:dyDescent="0.25">
      <c r="A414" s="21" t="s">
        <v>41</v>
      </c>
      <c r="B414" s="117" t="s">
        <v>268</v>
      </c>
      <c r="C414" s="8" t="s">
        <v>260</v>
      </c>
      <c r="D414" s="104" t="s">
        <v>152</v>
      </c>
      <c r="E414" s="18">
        <f t="shared" ref="E414:I414" si="127">E314</f>
        <v>29.045986762210315</v>
      </c>
      <c r="F414" s="18">
        <f t="shared" si="127"/>
        <v>28.818958185475473</v>
      </c>
      <c r="G414" s="18">
        <f t="shared" si="127"/>
        <v>28.591856051701033</v>
      </c>
      <c r="H414" s="18">
        <f t="shared" si="127"/>
        <v>28.367022036225265</v>
      </c>
      <c r="I414" s="18">
        <f t="shared" si="127"/>
        <v>28.144471596525612</v>
      </c>
      <c r="K414" s="20" t="str">
        <f t="shared" si="117"/>
        <v>WSHC_COSTPERHH6_PR19CA012</v>
      </c>
    </row>
    <row r="415" spans="1:11" x14ac:dyDescent="0.25">
      <c r="A415" s="21" t="s">
        <v>26</v>
      </c>
      <c r="B415" s="117" t="s">
        <v>268</v>
      </c>
      <c r="C415" s="8" t="s">
        <v>260</v>
      </c>
      <c r="D415" s="104" t="s">
        <v>152</v>
      </c>
      <c r="E415" s="18">
        <f t="shared" ref="E415:I415" si="128">E315</f>
        <v>23.214178458234056</v>
      </c>
      <c r="F415" s="18">
        <f t="shared" si="128"/>
        <v>22.973678513435186</v>
      </c>
      <c r="G415" s="18">
        <f t="shared" si="128"/>
        <v>22.742428105862</v>
      </c>
      <c r="H415" s="18">
        <f t="shared" si="128"/>
        <v>22.52111868514962</v>
      </c>
      <c r="I415" s="18">
        <f t="shared" si="128"/>
        <v>22.314037139983753</v>
      </c>
      <c r="K415" s="20" t="str">
        <f t="shared" si="117"/>
        <v>WSXC_COSTPERHH6_PR19CA012</v>
      </c>
    </row>
    <row r="416" spans="1:11" x14ac:dyDescent="0.25">
      <c r="A416" s="21" t="s">
        <v>27</v>
      </c>
      <c r="B416" s="117" t="s">
        <v>268</v>
      </c>
      <c r="C416" s="8" t="s">
        <v>260</v>
      </c>
      <c r="D416" s="104" t="s">
        <v>152</v>
      </c>
      <c r="E416" s="18">
        <f t="shared" ref="E416:I416" si="129">E316</f>
        <v>29.273534222993401</v>
      </c>
      <c r="F416" s="18">
        <f t="shared" si="129"/>
        <v>29.000053131174575</v>
      </c>
      <c r="G416" s="18">
        <f t="shared" si="129"/>
        <v>28.730351004090046</v>
      </c>
      <c r="H416" s="18">
        <f t="shared" si="129"/>
        <v>28.466068259948393</v>
      </c>
      <c r="I416" s="18">
        <f t="shared" si="129"/>
        <v>28.206027625338734</v>
      </c>
      <c r="K416" s="20" t="str">
        <f t="shared" si="117"/>
        <v>YKYC_COSTPERHH6_PR19CA012</v>
      </c>
    </row>
    <row r="417" spans="1:11" x14ac:dyDescent="0.25">
      <c r="A417" s="21" t="s">
        <v>28</v>
      </c>
      <c r="B417" s="117" t="s">
        <v>268</v>
      </c>
      <c r="C417" s="8" t="s">
        <v>260</v>
      </c>
      <c r="D417" s="104" t="s">
        <v>152</v>
      </c>
      <c r="E417" s="18">
        <f t="shared" ref="E417:I417" si="130">E317</f>
        <v>19.819387922711186</v>
      </c>
      <c r="F417" s="18">
        <f t="shared" si="130"/>
        <v>19.540870368929721</v>
      </c>
      <c r="G417" s="18">
        <f t="shared" si="130"/>
        <v>19.314787508464292</v>
      </c>
      <c r="H417" s="18">
        <f t="shared" si="130"/>
        <v>19.093863196369654</v>
      </c>
      <c r="I417" s="18">
        <f t="shared" si="130"/>
        <v>18.877935636082455</v>
      </c>
      <c r="K417" s="20" t="str">
        <f t="shared" si="117"/>
        <v>AFWC_COSTPERHH6_PR19CA012</v>
      </c>
    </row>
    <row r="418" spans="1:11" x14ac:dyDescent="0.25">
      <c r="A418" s="21" t="s">
        <v>29</v>
      </c>
      <c r="B418" s="117" t="s">
        <v>268</v>
      </c>
      <c r="C418" s="8" t="s">
        <v>260</v>
      </c>
      <c r="D418" s="104" t="s">
        <v>152</v>
      </c>
      <c r="E418" s="18">
        <f t="shared" ref="E418:I418" si="131">E318</f>
        <v>19.806139429594449</v>
      </c>
      <c r="F418" s="18">
        <f t="shared" si="131"/>
        <v>19.576836414642663</v>
      </c>
      <c r="G418" s="18">
        <f t="shared" si="131"/>
        <v>19.370850136201209</v>
      </c>
      <c r="H418" s="18">
        <f t="shared" si="131"/>
        <v>19.172513534760931</v>
      </c>
      <c r="I418" s="18">
        <f t="shared" si="131"/>
        <v>18.982636535539079</v>
      </c>
      <c r="K418" s="20" t="str">
        <f t="shared" si="117"/>
        <v>BRLC_COSTPERHH6_PR19CA012</v>
      </c>
    </row>
    <row r="419" spans="1:11" x14ac:dyDescent="0.25">
      <c r="A419" s="21" t="s">
        <v>30</v>
      </c>
      <c r="B419" s="117" t="s">
        <v>268</v>
      </c>
      <c r="C419" s="8" t="s">
        <v>260</v>
      </c>
      <c r="D419" s="104" t="s">
        <v>152</v>
      </c>
      <c r="E419" s="18">
        <f t="shared" ref="E419:I419" si="132">E319</f>
        <v>0</v>
      </c>
      <c r="F419" s="18">
        <f t="shared" si="132"/>
        <v>0</v>
      </c>
      <c r="G419" s="18">
        <f t="shared" si="132"/>
        <v>0</v>
      </c>
      <c r="H419" s="18">
        <f t="shared" si="132"/>
        <v>0</v>
      </c>
      <c r="I419" s="18">
        <f t="shared" si="132"/>
        <v>0</v>
      </c>
      <c r="K419" s="20" t="str">
        <f t="shared" si="117"/>
        <v>DVWC_COSTPERHH6_PR19CA012</v>
      </c>
    </row>
    <row r="420" spans="1:11" x14ac:dyDescent="0.25">
      <c r="A420" s="21" t="s">
        <v>31</v>
      </c>
      <c r="B420" s="117" t="s">
        <v>268</v>
      </c>
      <c r="C420" s="8" t="s">
        <v>260</v>
      </c>
      <c r="D420" s="104" t="s">
        <v>152</v>
      </c>
      <c r="E420" s="18">
        <f t="shared" ref="E420:I420" si="133">E320</f>
        <v>14.600261225862047</v>
      </c>
      <c r="F420" s="18">
        <f t="shared" si="133"/>
        <v>14.510362008509837</v>
      </c>
      <c r="G420" s="18">
        <f t="shared" si="133"/>
        <v>14.420946288681119</v>
      </c>
      <c r="H420" s="18">
        <f t="shared" si="133"/>
        <v>14.330891991252946</v>
      </c>
      <c r="I420" s="18">
        <f t="shared" si="133"/>
        <v>14.238994472490452</v>
      </c>
      <c r="K420" s="20" t="str">
        <f t="shared" si="117"/>
        <v>PRTC_COSTPERHH6_PR19CA012</v>
      </c>
    </row>
    <row r="421" spans="1:11" x14ac:dyDescent="0.25">
      <c r="A421" s="21" t="s">
        <v>32</v>
      </c>
      <c r="B421" s="117" t="s">
        <v>268</v>
      </c>
      <c r="C421" s="8" t="s">
        <v>260</v>
      </c>
      <c r="D421" s="104" t="s">
        <v>152</v>
      </c>
      <c r="E421" s="18">
        <f t="shared" ref="E421:I421" si="134">E321</f>
        <v>19.332056754488907</v>
      </c>
      <c r="F421" s="18">
        <f t="shared" si="134"/>
        <v>19.162419585996396</v>
      </c>
      <c r="G421" s="18">
        <f t="shared" si="134"/>
        <v>18.989595764228088</v>
      </c>
      <c r="H421" s="18">
        <f t="shared" si="134"/>
        <v>18.81456474972936</v>
      </c>
      <c r="I421" s="18">
        <f t="shared" si="134"/>
        <v>18.64331575696788</v>
      </c>
      <c r="K421" s="20" t="str">
        <f t="shared" si="117"/>
        <v>SESC_COSTPERHH6_PR19CA012</v>
      </c>
    </row>
    <row r="422" spans="1:11" x14ac:dyDescent="0.25">
      <c r="A422" s="21" t="s">
        <v>33</v>
      </c>
      <c r="B422" s="117" t="s">
        <v>268</v>
      </c>
      <c r="C422" s="8" t="s">
        <v>260</v>
      </c>
      <c r="D422" s="104" t="s">
        <v>152</v>
      </c>
      <c r="E422" s="18">
        <f t="shared" ref="E422:I422" si="135">E322</f>
        <v>19.83988267972958</v>
      </c>
      <c r="F422" s="18">
        <f t="shared" si="135"/>
        <v>19.647952527144426</v>
      </c>
      <c r="G422" s="18">
        <f t="shared" si="135"/>
        <v>19.456899682991271</v>
      </c>
      <c r="H422" s="18">
        <f t="shared" si="135"/>
        <v>19.266780485623105</v>
      </c>
      <c r="I422" s="18">
        <f t="shared" si="135"/>
        <v>19.077523107157006</v>
      </c>
      <c r="K422" s="20" t="str">
        <f t="shared" si="117"/>
        <v>SEWC_COSTPERHH6_PR19CA012</v>
      </c>
    </row>
    <row r="423" spans="1:11" x14ac:dyDescent="0.25">
      <c r="A423" s="21" t="s">
        <v>34</v>
      </c>
      <c r="B423" s="117" t="s">
        <v>268</v>
      </c>
      <c r="C423" s="8" t="s">
        <v>260</v>
      </c>
      <c r="D423" s="104" t="s">
        <v>152</v>
      </c>
      <c r="E423" s="18">
        <f t="shared" ref="E423:I423" si="136">E323</f>
        <v>17.870127448822505</v>
      </c>
      <c r="F423" s="18">
        <f t="shared" si="136"/>
        <v>17.650368020215833</v>
      </c>
      <c r="G423" s="18">
        <f t="shared" si="136"/>
        <v>17.444877083652262</v>
      </c>
      <c r="H423" s="18">
        <f t="shared" si="136"/>
        <v>17.232050605712068</v>
      </c>
      <c r="I423" s="18">
        <f t="shared" si="136"/>
        <v>17.02848611148789</v>
      </c>
      <c r="K423" s="20" t="str">
        <f t="shared" si="117"/>
        <v>SSCC_COSTPERHH6_PR19CA012</v>
      </c>
    </row>
    <row r="424" spans="1:11" x14ac:dyDescent="0.25">
      <c r="A424" s="120" t="s">
        <v>20</v>
      </c>
      <c r="B424" s="8" t="s">
        <v>261</v>
      </c>
      <c r="C424" s="8" t="s">
        <v>15</v>
      </c>
      <c r="D424" s="104" t="s">
        <v>152</v>
      </c>
      <c r="E424" s="18">
        <f>_xlfn.IFNA(INDEX('Financial model inputs'!$A$2:$F$88,MATCH(F_interface!$A424&amp;RIGHT(E$2,2),'Financial model inputs'!$A$2:$A$88,0),MATCH($B424,'Financial model inputs'!$A$2:$F$2,0)),0)</f>
        <v>2.1756310746867329</v>
      </c>
      <c r="F424" s="18">
        <f>_xlfn.IFNA(INDEX('Financial model inputs'!$A$2:$F$88,MATCH(F_interface!$A424&amp;RIGHT(F$2,2),'Financial model inputs'!$A$2:$A$88,0),MATCH($B424,'Financial model inputs'!$A$2:$F$2,0)),0)</f>
        <v>2.2067077879129586</v>
      </c>
      <c r="G424" s="18">
        <f>_xlfn.IFNA(INDEX('Financial model inputs'!$A$2:$F$88,MATCH(F_interface!$A424&amp;RIGHT(G$2,2),'Financial model inputs'!$A$2:$A$88,0),MATCH($B424,'Financial model inputs'!$A$2:$F$2,0)),0)</f>
        <v>1.897621406038863</v>
      </c>
      <c r="H424" s="18">
        <f>_xlfn.IFNA(INDEX('Financial model inputs'!$A$2:$F$88,MATCH(F_interface!$A424&amp;RIGHT(H$2,2),'Financial model inputs'!$A$2:$A$88,0),MATCH($B424,'Financial model inputs'!$A$2:$F$2,0)),0)</f>
        <v>1.4765183675994948</v>
      </c>
      <c r="I424" s="18">
        <f>_xlfn.IFNA(INDEX('Financial model inputs'!$A$2:$F$88,MATCH(F_interface!$A424&amp;RIGHT(I$2,2),'Financial model inputs'!$A$2:$A$88,0),MATCH($B424,'Financial model inputs'!$A$2:$F$2,0)),0)</f>
        <v>1.0371817748872931</v>
      </c>
      <c r="K424" s="20" t="str">
        <f t="shared" si="30"/>
        <v>ANHC_DEP_PR19CA012</v>
      </c>
    </row>
    <row r="425" spans="1:11" x14ac:dyDescent="0.25">
      <c r="A425" s="120" t="s">
        <v>157</v>
      </c>
      <c r="B425" s="8" t="s">
        <v>261</v>
      </c>
      <c r="C425" s="8" t="s">
        <v>15</v>
      </c>
      <c r="D425" s="104" t="s">
        <v>152</v>
      </c>
      <c r="E425" s="18">
        <f>_xlfn.IFNA(INDEX('Financial model inputs'!$A$2:$F$88,MATCH(F_interface!$A425&amp;RIGHT(E$2,2),'Financial model inputs'!$A$2:$A$88,0),MATCH($B425,'Financial model inputs'!$A$2:$F$2,0)),0)</f>
        <v>0.63219511418719931</v>
      </c>
      <c r="F425" s="18">
        <f>_xlfn.IFNA(INDEX('Financial model inputs'!$A$2:$F$88,MATCH(F_interface!$A425&amp;RIGHT(F$2,2),'Financial model inputs'!$A$2:$A$88,0),MATCH($B425,'Financial model inputs'!$A$2:$F$2,0)),0)</f>
        <v>0.61460884807585814</v>
      </c>
      <c r="G425" s="18">
        <f>_xlfn.IFNA(INDEX('Financial model inputs'!$A$2:$F$88,MATCH(F_interface!$A425&amp;RIGHT(G$2,2),'Financial model inputs'!$A$2:$A$88,0),MATCH($B425,'Financial model inputs'!$A$2:$F$2,0)),0)</f>
        <v>0.51846085354247218</v>
      </c>
      <c r="H425" s="18">
        <f>_xlfn.IFNA(INDEX('Financial model inputs'!$A$2:$F$88,MATCH(F_interface!$A425&amp;RIGHT(H$2,2),'Financial model inputs'!$A$2:$A$88,0),MATCH($B425,'Financial model inputs'!$A$2:$F$2,0)),0)</f>
        <v>0.50118057216635381</v>
      </c>
      <c r="I425" s="18">
        <f>_xlfn.IFNA(INDEX('Financial model inputs'!$A$2:$F$88,MATCH(F_interface!$A425&amp;RIGHT(I$2,2),'Financial model inputs'!$A$2:$A$88,0),MATCH($B425,'Financial model inputs'!$A$2:$F$2,0)),0)</f>
        <v>0.51151088600306005</v>
      </c>
      <c r="K425" s="20" t="str">
        <f t="shared" si="30"/>
        <v>HDDC_DEP_PR19CA012</v>
      </c>
    </row>
    <row r="426" spans="1:11" x14ac:dyDescent="0.25">
      <c r="A426" s="120" t="s">
        <v>21</v>
      </c>
      <c r="B426" s="8" t="s">
        <v>261</v>
      </c>
      <c r="C426" s="8" t="s">
        <v>15</v>
      </c>
      <c r="D426" s="104" t="s">
        <v>152</v>
      </c>
      <c r="E426" s="18">
        <f>_xlfn.IFNA(INDEX('Financial model inputs'!$A$2:$F$88,MATCH(F_interface!$A426&amp;RIGHT(E$2,2),'Financial model inputs'!$A$2:$A$88,0),MATCH($B426,'Financial model inputs'!$A$2:$F$2,0)),0)</f>
        <v>2.0445440499865275</v>
      </c>
      <c r="F426" s="18">
        <f>_xlfn.IFNA(INDEX('Financial model inputs'!$A$2:$F$88,MATCH(F_interface!$A426&amp;RIGHT(F$2,2),'Financial model inputs'!$A$2:$A$88,0),MATCH($B426,'Financial model inputs'!$A$2:$F$2,0)),0)</f>
        <v>2.0556056865012424</v>
      </c>
      <c r="G426" s="18">
        <f>_xlfn.IFNA(INDEX('Financial model inputs'!$A$2:$F$88,MATCH(F_interface!$A426&amp;RIGHT(G$2,2),'Financial model inputs'!$A$2:$A$88,0),MATCH($B426,'Financial model inputs'!$A$2:$F$2,0)),0)</f>
        <v>2.0680727427954562</v>
      </c>
      <c r="H426" s="18">
        <f>_xlfn.IFNA(INDEX('Financial model inputs'!$A$2:$F$88,MATCH(F_interface!$A426&amp;RIGHT(H$2,2),'Financial model inputs'!$A$2:$A$88,0),MATCH($B426,'Financial model inputs'!$A$2:$F$2,0)),0)</f>
        <v>2.0809508072327416</v>
      </c>
      <c r="I426" s="18">
        <f>_xlfn.IFNA(INDEX('Financial model inputs'!$A$2:$F$88,MATCH(F_interface!$A426&amp;RIGHT(I$2,2),'Financial model inputs'!$A$2:$A$88,0),MATCH($B426,'Financial model inputs'!$A$2:$F$2,0)),0)</f>
        <v>2.091588210407914</v>
      </c>
      <c r="K426" s="20" t="str">
        <f t="shared" si="30"/>
        <v>NESC_DEP_PR19CA012</v>
      </c>
    </row>
    <row r="427" spans="1:11" x14ac:dyDescent="0.25">
      <c r="A427" s="120" t="s">
        <v>22</v>
      </c>
      <c r="B427" s="8" t="s">
        <v>261</v>
      </c>
      <c r="C427" s="8" t="s">
        <v>15</v>
      </c>
      <c r="D427" s="104" t="s">
        <v>152</v>
      </c>
      <c r="E427" s="18">
        <f>_xlfn.IFNA(INDEX('Financial model inputs'!$A$2:$F$88,MATCH(F_interface!$A427&amp;RIGHT(E$2,2),'Financial model inputs'!$A$2:$A$88,0),MATCH($B427,'Financial model inputs'!$A$2:$F$2,0)),0)</f>
        <v>4.9214571485465424</v>
      </c>
      <c r="F427" s="18">
        <f>_xlfn.IFNA(INDEX('Financial model inputs'!$A$2:$F$88,MATCH(F_interface!$A427&amp;RIGHT(F$2,2),'Financial model inputs'!$A$2:$A$88,0),MATCH($B427,'Financial model inputs'!$A$2:$F$2,0)),0)</f>
        <v>5.1544526414484606</v>
      </c>
      <c r="G427" s="18">
        <f>_xlfn.IFNA(INDEX('Financial model inputs'!$A$2:$F$88,MATCH(F_interface!$A427&amp;RIGHT(G$2,2),'Financial model inputs'!$A$2:$A$88,0),MATCH($B427,'Financial model inputs'!$A$2:$F$2,0)),0)</f>
        <v>5.1327658650445205</v>
      </c>
      <c r="H427" s="18">
        <f>_xlfn.IFNA(INDEX('Financial model inputs'!$A$2:$F$88,MATCH(F_interface!$A427&amp;RIGHT(H$2,2),'Financial model inputs'!$A$2:$A$88,0),MATCH($B427,'Financial model inputs'!$A$2:$F$2,0)),0)</f>
        <v>5.0468314587581622</v>
      </c>
      <c r="I427" s="18">
        <f>_xlfn.IFNA(INDEX('Financial model inputs'!$A$2:$F$88,MATCH(F_interface!$A427&amp;RIGHT(I$2,2),'Financial model inputs'!$A$2:$A$88,0),MATCH($B427,'Financial model inputs'!$A$2:$F$2,0)),0)</f>
        <v>4.1048939212864992</v>
      </c>
      <c r="K427" s="20" t="str">
        <f t="shared" si="30"/>
        <v>NWTC_DEP_PR19CA012</v>
      </c>
    </row>
    <row r="428" spans="1:11" x14ac:dyDescent="0.25">
      <c r="A428" s="120" t="s">
        <v>23</v>
      </c>
      <c r="B428" s="8" t="s">
        <v>261</v>
      </c>
      <c r="C428" s="8" t="s">
        <v>15</v>
      </c>
      <c r="D428" s="104" t="s">
        <v>152</v>
      </c>
      <c r="E428" s="18">
        <f>_xlfn.IFNA(INDEX('Financial model inputs'!$A$2:$F$88,MATCH(F_interface!$A428&amp;RIGHT(E$2,2),'Financial model inputs'!$A$2:$A$88,0),MATCH($B428,'Financial model inputs'!$A$2:$F$2,0)),0)</f>
        <v>0.91749753485041174</v>
      </c>
      <c r="F428" s="18">
        <f>_xlfn.IFNA(INDEX('Financial model inputs'!$A$2:$F$88,MATCH(F_interface!$A428&amp;RIGHT(F$2,2),'Financial model inputs'!$A$2:$A$88,0),MATCH($B428,'Financial model inputs'!$A$2:$F$2,0)),0)</f>
        <v>1.0270905040985201</v>
      </c>
      <c r="G428" s="18">
        <f>_xlfn.IFNA(INDEX('Financial model inputs'!$A$2:$F$88,MATCH(F_interface!$A428&amp;RIGHT(G$2,2),'Financial model inputs'!$A$2:$A$88,0),MATCH($B428,'Financial model inputs'!$A$2:$F$2,0)),0)</f>
        <v>1.1659683420834659</v>
      </c>
      <c r="H428" s="18">
        <f>_xlfn.IFNA(INDEX('Financial model inputs'!$A$2:$F$88,MATCH(F_interface!$A428&amp;RIGHT(H$2,2),'Financial model inputs'!$A$2:$A$88,0),MATCH($B428,'Financial model inputs'!$A$2:$F$2,0)),0)</f>
        <v>1.30495326433931</v>
      </c>
      <c r="I428" s="18">
        <f>_xlfn.IFNA(INDEX('Financial model inputs'!$A$2:$F$88,MATCH(F_interface!$A428&amp;RIGHT(I$2,2),'Financial model inputs'!$A$2:$A$88,0),MATCH($B428,'Financial model inputs'!$A$2:$F$2,0)),0)</f>
        <v>1.4387234058452989</v>
      </c>
      <c r="K428" s="20" t="str">
        <f t="shared" si="30"/>
        <v>SRNC_DEP_PR19CA012</v>
      </c>
    </row>
    <row r="429" spans="1:11" x14ac:dyDescent="0.25">
      <c r="A429" s="120" t="s">
        <v>156</v>
      </c>
      <c r="B429" s="8" t="s">
        <v>261</v>
      </c>
      <c r="C429" s="8" t="s">
        <v>15</v>
      </c>
      <c r="D429" s="104" t="s">
        <v>152</v>
      </c>
      <c r="E429" s="18">
        <f>_xlfn.IFNA(INDEX('Financial model inputs'!$A$2:$F$88,MATCH(F_interface!$A429&amp;RIGHT(E$2,2),'Financial model inputs'!$A$2:$A$88,0),MATCH($B429,'Financial model inputs'!$A$2:$F$2,0)),0)</f>
        <v>5.4715150411020259</v>
      </c>
      <c r="F429" s="18">
        <f>_xlfn.IFNA(INDEX('Financial model inputs'!$A$2:$F$88,MATCH(F_interface!$A429&amp;RIGHT(F$2,2),'Financial model inputs'!$A$2:$A$88,0),MATCH($B429,'Financial model inputs'!$A$2:$F$2,0)),0)</f>
        <v>6.4740499349884901</v>
      </c>
      <c r="G429" s="18">
        <f>_xlfn.IFNA(INDEX('Financial model inputs'!$A$2:$F$88,MATCH(F_interface!$A429&amp;RIGHT(G$2,2),'Financial model inputs'!$A$2:$A$88,0),MATCH($B429,'Financial model inputs'!$A$2:$F$2,0)),0)</f>
        <v>7.3006134998628021</v>
      </c>
      <c r="H429" s="18">
        <f>_xlfn.IFNA(INDEX('Financial model inputs'!$A$2:$F$88,MATCH(F_interface!$A429&amp;RIGHT(H$2,2),'Financial model inputs'!$A$2:$A$88,0),MATCH($B429,'Financial model inputs'!$A$2:$F$2,0)),0)</f>
        <v>5.7493721265788276</v>
      </c>
      <c r="I429" s="18">
        <f>_xlfn.IFNA(INDEX('Financial model inputs'!$A$2:$F$88,MATCH(F_interface!$A429&amp;RIGHT(I$2,2),'Financial model inputs'!$A$2:$A$88,0),MATCH($B429,'Financial model inputs'!$A$2:$F$2,0)),0)</f>
        <v>5.5155582815062081</v>
      </c>
      <c r="K429" s="20" t="str">
        <f t="shared" si="30"/>
        <v>SVEC_DEP_PR19CA012</v>
      </c>
    </row>
    <row r="430" spans="1:11" x14ac:dyDescent="0.25">
      <c r="A430" s="120" t="s">
        <v>232</v>
      </c>
      <c r="B430" s="8" t="s">
        <v>261</v>
      </c>
      <c r="C430" s="8" t="s">
        <v>15</v>
      </c>
      <c r="D430" s="104" t="s">
        <v>152</v>
      </c>
      <c r="E430" s="18">
        <f>_xlfn.IFNA(INDEX('Financial model inputs'!$A$2:$F$88,MATCH(F_interface!$A430&amp;RIGHT(E$2,2),'Financial model inputs'!$A$2:$A$88,0),MATCH($B430,'Financial model inputs'!$A$2:$F$2,0)),0)</f>
        <v>0</v>
      </c>
      <c r="F430" s="18">
        <f>_xlfn.IFNA(INDEX('Financial model inputs'!$A$2:$F$88,MATCH(F_interface!$A430&amp;RIGHT(F$2,2),'Financial model inputs'!$A$2:$A$88,0),MATCH($B430,'Financial model inputs'!$A$2:$F$2,0)),0)</f>
        <v>0</v>
      </c>
      <c r="G430" s="18">
        <f>_xlfn.IFNA(INDEX('Financial model inputs'!$A$2:$F$88,MATCH(F_interface!$A430&amp;RIGHT(G$2,2),'Financial model inputs'!$A$2:$A$88,0),MATCH($B430,'Financial model inputs'!$A$2:$F$2,0)),0)</f>
        <v>0</v>
      </c>
      <c r="H430" s="18">
        <f>_xlfn.IFNA(INDEX('Financial model inputs'!$A$2:$F$88,MATCH(F_interface!$A430&amp;RIGHT(H$2,2),'Financial model inputs'!$A$2:$A$88,0),MATCH($B430,'Financial model inputs'!$A$2:$F$2,0)),0)</f>
        <v>0</v>
      </c>
      <c r="I430" s="18">
        <f>_xlfn.IFNA(INDEX('Financial model inputs'!$A$2:$F$88,MATCH(F_interface!$A430&amp;RIGHT(I$2,2),'Financial model inputs'!$A$2:$A$88,0),MATCH($B430,'Financial model inputs'!$A$2:$F$2,0)),0)</f>
        <v>0</v>
      </c>
      <c r="K430" s="20" t="str">
        <f t="shared" si="30"/>
        <v>SVHC_DEP_PR19CA012</v>
      </c>
    </row>
    <row r="431" spans="1:11" x14ac:dyDescent="0.25">
      <c r="A431" s="120" t="s">
        <v>24</v>
      </c>
      <c r="B431" s="8" t="s">
        <v>261</v>
      </c>
      <c r="C431" s="8" t="s">
        <v>15</v>
      </c>
      <c r="D431" s="104" t="s">
        <v>152</v>
      </c>
      <c r="E431" s="18">
        <f>_xlfn.IFNA(INDEX('Financial model inputs'!$A$2:$F$88,MATCH(F_interface!$A431&amp;RIGHT(E$2,2),'Financial model inputs'!$A$2:$A$88,0),MATCH($B431,'Financial model inputs'!$A$2:$F$2,0)),0)</f>
        <v>0</v>
      </c>
      <c r="F431" s="18">
        <f>_xlfn.IFNA(INDEX('Financial model inputs'!$A$2:$F$88,MATCH(F_interface!$A431&amp;RIGHT(F$2,2),'Financial model inputs'!$A$2:$A$88,0),MATCH($B431,'Financial model inputs'!$A$2:$F$2,0)),0)</f>
        <v>0</v>
      </c>
      <c r="G431" s="18">
        <f>_xlfn.IFNA(INDEX('Financial model inputs'!$A$2:$F$88,MATCH(F_interface!$A431&amp;RIGHT(G$2,2),'Financial model inputs'!$A$2:$A$88,0),MATCH($B431,'Financial model inputs'!$A$2:$F$2,0)),0)</f>
        <v>0</v>
      </c>
      <c r="H431" s="18">
        <f>_xlfn.IFNA(INDEX('Financial model inputs'!$A$2:$F$88,MATCH(F_interface!$A431&amp;RIGHT(H$2,2),'Financial model inputs'!$A$2:$A$88,0),MATCH($B431,'Financial model inputs'!$A$2:$F$2,0)),0)</f>
        <v>0</v>
      </c>
      <c r="I431" s="18">
        <f>_xlfn.IFNA(INDEX('Financial model inputs'!$A$2:$F$88,MATCH(F_interface!$A431&amp;RIGHT(I$2,2),'Financial model inputs'!$A$2:$A$88,0),MATCH($B431,'Financial model inputs'!$A$2:$F$2,0)),0)</f>
        <v>0</v>
      </c>
      <c r="K431" s="20" t="str">
        <f t="shared" si="30"/>
        <v>SVTC_DEP_PR19CA012</v>
      </c>
    </row>
    <row r="432" spans="1:11" x14ac:dyDescent="0.25">
      <c r="A432" s="21" t="s">
        <v>35</v>
      </c>
      <c r="B432" s="8" t="s">
        <v>261</v>
      </c>
      <c r="C432" s="8" t="s">
        <v>15</v>
      </c>
      <c r="D432" s="104" t="s">
        <v>152</v>
      </c>
      <c r="E432" s="18">
        <f>_xlfn.IFNA(INDEX('Financial model inputs'!$A$2:$F$88,MATCH(F_interface!$A432&amp;RIGHT(E$2,2),'Financial model inputs'!$A$2:$A$88,0),MATCH($B432,'Financial model inputs'!$A$2:$F$2,0)),0)</f>
        <v>1.0092205480311942</v>
      </c>
      <c r="F432" s="18">
        <f>_xlfn.IFNA(INDEX('Financial model inputs'!$A$2:$F$88,MATCH(F_interface!$A432&amp;RIGHT(F$2,2),'Financial model inputs'!$A$2:$A$88,0),MATCH($B432,'Financial model inputs'!$A$2:$F$2,0)),0)</f>
        <v>0.77490298625524945</v>
      </c>
      <c r="G432" s="18">
        <f>_xlfn.IFNA(INDEX('Financial model inputs'!$A$2:$F$88,MATCH(F_interface!$A432&amp;RIGHT(G$2,2),'Financial model inputs'!$A$2:$A$88,0),MATCH($B432,'Financial model inputs'!$A$2:$F$2,0)),0)</f>
        <v>0.68499869395210866</v>
      </c>
      <c r="H432" s="18">
        <f>_xlfn.IFNA(INDEX('Financial model inputs'!$A$2:$F$88,MATCH(F_interface!$A432&amp;RIGHT(H$2,2),'Financial model inputs'!$A$2:$A$88,0),MATCH($B432,'Financial model inputs'!$A$2:$F$2,0)),0)</f>
        <v>0.53699604500011633</v>
      </c>
      <c r="I432" s="18">
        <f>_xlfn.IFNA(INDEX('Financial model inputs'!$A$2:$F$88,MATCH(F_interface!$A432&amp;RIGHT(I$2,2),'Financial model inputs'!$A$2:$A$88,0),MATCH($B432,'Financial model inputs'!$A$2:$F$2,0)),0)</f>
        <v>0.48798306641728412</v>
      </c>
      <c r="K432" s="20" t="str">
        <f t="shared" si="30"/>
        <v>SWBC_DEP_PR19CA012</v>
      </c>
    </row>
    <row r="433" spans="1:11" x14ac:dyDescent="0.25">
      <c r="A433" s="21" t="s">
        <v>25</v>
      </c>
      <c r="B433" s="8" t="s">
        <v>261</v>
      </c>
      <c r="C433" s="8" t="s">
        <v>15</v>
      </c>
      <c r="D433" s="104" t="s">
        <v>152</v>
      </c>
      <c r="E433" s="18">
        <f>_xlfn.IFNA(INDEX('Financial model inputs'!$A$2:$F$88,MATCH(F_interface!$A433&amp;RIGHT(E$2,2),'Financial model inputs'!$A$2:$A$88,0),MATCH($B433,'Financial model inputs'!$A$2:$F$2,0)),0)</f>
        <v>16.56133959526791</v>
      </c>
      <c r="F433" s="18">
        <f>_xlfn.IFNA(INDEX('Financial model inputs'!$A$2:$F$88,MATCH(F_interface!$A433&amp;RIGHT(F$2,2),'Financial model inputs'!$A$2:$A$88,0),MATCH($B433,'Financial model inputs'!$A$2:$F$2,0)),0)</f>
        <v>17.691892323106522</v>
      </c>
      <c r="G433" s="18">
        <f>_xlfn.IFNA(INDEX('Financial model inputs'!$A$2:$F$88,MATCH(F_interface!$A433&amp;RIGHT(G$2,2),'Financial model inputs'!$A$2:$A$88,0),MATCH($B433,'Financial model inputs'!$A$2:$F$2,0)),0)</f>
        <v>19.025221590707794</v>
      </c>
      <c r="H433" s="18">
        <f>_xlfn.IFNA(INDEX('Financial model inputs'!$A$2:$F$88,MATCH(F_interface!$A433&amp;RIGHT(H$2,2),'Financial model inputs'!$A$2:$A$88,0),MATCH($B433,'Financial model inputs'!$A$2:$F$2,0)),0)</f>
        <v>20.089993300223448</v>
      </c>
      <c r="I433" s="18">
        <f>_xlfn.IFNA(INDEX('Financial model inputs'!$A$2:$F$88,MATCH(F_interface!$A433&amp;RIGHT(I$2,2),'Financial model inputs'!$A$2:$A$88,0),MATCH($B433,'Financial model inputs'!$A$2:$F$2,0)),0)</f>
        <v>17.81290086910797</v>
      </c>
      <c r="K433" s="20" t="str">
        <f t="shared" si="30"/>
        <v>TMSC_DEP_PR19CA012</v>
      </c>
    </row>
    <row r="434" spans="1:11" x14ac:dyDescent="0.25">
      <c r="A434" s="21" t="s">
        <v>41</v>
      </c>
      <c r="B434" s="8" t="s">
        <v>261</v>
      </c>
      <c r="C434" s="8" t="s">
        <v>15</v>
      </c>
      <c r="D434" s="104" t="s">
        <v>152</v>
      </c>
      <c r="E434" s="18">
        <f>_xlfn.IFNA(INDEX('Financial model inputs'!$A$2:$F$88,MATCH(F_interface!$A434&amp;RIGHT(E$2,2),'Financial model inputs'!$A$2:$A$88,0),MATCH($B434,'Financial model inputs'!$A$2:$F$2,0)),0)</f>
        <v>3.4017199639036431</v>
      </c>
      <c r="F434" s="18">
        <f>_xlfn.IFNA(INDEX('Financial model inputs'!$A$2:$F$88,MATCH(F_interface!$A434&amp;RIGHT(F$2,2),'Financial model inputs'!$A$2:$A$88,0),MATCH($B434,'Financial model inputs'!$A$2:$F$2,0)),0)</f>
        <v>3.5538390204924486</v>
      </c>
      <c r="G434" s="18">
        <f>_xlfn.IFNA(INDEX('Financial model inputs'!$A$2:$F$88,MATCH(F_interface!$A434&amp;RIGHT(G$2,2),'Financial model inputs'!$A$2:$A$88,0),MATCH($B434,'Financial model inputs'!$A$2:$F$2,0)),0)</f>
        <v>3.6461725264673981</v>
      </c>
      <c r="H434" s="18">
        <f>_xlfn.IFNA(INDEX('Financial model inputs'!$A$2:$F$88,MATCH(F_interface!$A434&amp;RIGHT(H$2,2),'Financial model inputs'!$A$2:$A$88,0),MATCH($B434,'Financial model inputs'!$A$2:$F$2,0)),0)</f>
        <v>3.5268852978353502</v>
      </c>
      <c r="I434" s="18">
        <f>_xlfn.IFNA(INDEX('Financial model inputs'!$A$2:$F$88,MATCH(F_interface!$A434&amp;RIGHT(I$2,2),'Financial model inputs'!$A$2:$A$88,0),MATCH($B434,'Financial model inputs'!$A$2:$F$2,0)),0)</f>
        <v>3.6610406762503431</v>
      </c>
      <c r="K434" s="20" t="str">
        <f t="shared" si="30"/>
        <v>WSHC_DEP_PR19CA012</v>
      </c>
    </row>
    <row r="435" spans="1:11" x14ac:dyDescent="0.25">
      <c r="A435" s="21" t="s">
        <v>26</v>
      </c>
      <c r="B435" s="8" t="s">
        <v>261</v>
      </c>
      <c r="C435" s="8" t="s">
        <v>15</v>
      </c>
      <c r="D435" s="104" t="s">
        <v>152</v>
      </c>
      <c r="E435" s="18">
        <f>_xlfn.IFNA(INDEX('Financial model inputs'!$A$2:$F$88,MATCH(F_interface!$A435&amp;RIGHT(E$2,2),'Financial model inputs'!$A$2:$A$88,0),MATCH($B435,'Financial model inputs'!$A$2:$F$2,0)),0)</f>
        <v>0.29743332986607868</v>
      </c>
      <c r="F435" s="18">
        <f>_xlfn.IFNA(INDEX('Financial model inputs'!$A$2:$F$88,MATCH(F_interface!$A435&amp;RIGHT(F$2,2),'Financial model inputs'!$A$2:$A$88,0),MATCH($B435,'Financial model inputs'!$A$2:$F$2,0)),0)</f>
        <v>0.3972874906137322</v>
      </c>
      <c r="G435" s="18">
        <f>_xlfn.IFNA(INDEX('Financial model inputs'!$A$2:$F$88,MATCH(F_interface!$A435&amp;RIGHT(G$2,2),'Financial model inputs'!$A$2:$A$88,0),MATCH($B435,'Financial model inputs'!$A$2:$F$2,0)),0)</f>
        <v>0.51731323734969048</v>
      </c>
      <c r="H435" s="18">
        <f>_xlfn.IFNA(INDEX('Financial model inputs'!$A$2:$F$88,MATCH(F_interface!$A435&amp;RIGHT(H$2,2),'Financial model inputs'!$A$2:$A$88,0),MATCH($B435,'Financial model inputs'!$A$2:$F$2,0)),0)</f>
        <v>0.64434296992443585</v>
      </c>
      <c r="I435" s="18">
        <f>_xlfn.IFNA(INDEX('Financial model inputs'!$A$2:$F$88,MATCH(F_interface!$A435&amp;RIGHT(I$2,2),'Financial model inputs'!$A$2:$A$88,0),MATCH($B435,'Financial model inputs'!$A$2:$F$2,0)),0)</f>
        <v>0.76037675324461296</v>
      </c>
      <c r="K435" s="20" t="str">
        <f t="shared" si="30"/>
        <v>WSXC_DEP_PR19CA012</v>
      </c>
    </row>
    <row r="436" spans="1:11" x14ac:dyDescent="0.25">
      <c r="A436" s="21" t="s">
        <v>27</v>
      </c>
      <c r="B436" s="8" t="s">
        <v>261</v>
      </c>
      <c r="C436" s="8" t="s">
        <v>15</v>
      </c>
      <c r="D436" s="104" t="s">
        <v>152</v>
      </c>
      <c r="E436" s="18">
        <f>_xlfn.IFNA(INDEX('Financial model inputs'!$A$2:$F$88,MATCH(F_interface!$A436&amp;RIGHT(E$2,2),'Financial model inputs'!$A$2:$A$88,0),MATCH($B436,'Financial model inputs'!$A$2:$F$2,0)),0)</f>
        <v>1.9140845307550542</v>
      </c>
      <c r="F436" s="18">
        <f>_xlfn.IFNA(INDEX('Financial model inputs'!$A$2:$F$88,MATCH(F_interface!$A436&amp;RIGHT(F$2,2),'Financial model inputs'!$A$2:$A$88,0),MATCH($B436,'Financial model inputs'!$A$2:$F$2,0)),0)</f>
        <v>1.6582354534889066</v>
      </c>
      <c r="G436" s="18">
        <f>_xlfn.IFNA(INDEX('Financial model inputs'!$A$2:$F$88,MATCH(F_interface!$A436&amp;RIGHT(G$2,2),'Financial model inputs'!$A$2:$A$88,0),MATCH($B436,'Financial model inputs'!$A$2:$F$2,0)),0)</f>
        <v>1.625788863793985</v>
      </c>
      <c r="H436" s="18">
        <f>_xlfn.IFNA(INDEX('Financial model inputs'!$A$2:$F$88,MATCH(F_interface!$A436&amp;RIGHT(H$2,2),'Financial model inputs'!$A$2:$A$88,0),MATCH($B436,'Financial model inputs'!$A$2:$F$2,0)),0)</f>
        <v>1.0580379642221485</v>
      </c>
      <c r="I436" s="18">
        <f>_xlfn.IFNA(INDEX('Financial model inputs'!$A$2:$F$88,MATCH(F_interface!$A436&amp;RIGHT(I$2,2),'Financial model inputs'!$A$2:$A$88,0),MATCH($B436,'Financial model inputs'!$A$2:$F$2,0)),0)</f>
        <v>0.70436845481267696</v>
      </c>
      <c r="K436" s="20" t="str">
        <f t="shared" si="30"/>
        <v>YKYC_DEP_PR19CA012</v>
      </c>
    </row>
    <row r="437" spans="1:11" x14ac:dyDescent="0.25">
      <c r="A437" s="21" t="s">
        <v>28</v>
      </c>
      <c r="B437" s="8" t="s">
        <v>261</v>
      </c>
      <c r="C437" s="8" t="s">
        <v>15</v>
      </c>
      <c r="D437" s="104" t="s">
        <v>152</v>
      </c>
      <c r="E437" s="18">
        <f>_xlfn.IFNA(INDEX('Financial model inputs'!$A$2:$F$88,MATCH(F_interface!$A437&amp;RIGHT(E$2,2),'Financial model inputs'!$A$2:$A$88,0),MATCH($B437,'Financial model inputs'!$A$2:$F$2,0)),0)</f>
        <v>0.66707328992582882</v>
      </c>
      <c r="F437" s="18">
        <f>_xlfn.IFNA(INDEX('Financial model inputs'!$A$2:$F$88,MATCH(F_interface!$A437&amp;RIGHT(F$2,2),'Financial model inputs'!$A$2:$A$88,0),MATCH($B437,'Financial model inputs'!$A$2:$F$2,0)),0)</f>
        <v>0.70525907303865232</v>
      </c>
      <c r="G437" s="18">
        <f>_xlfn.IFNA(INDEX('Financial model inputs'!$A$2:$F$88,MATCH(F_interface!$A437&amp;RIGHT(G$2,2),'Financial model inputs'!$A$2:$A$88,0),MATCH($B437,'Financial model inputs'!$A$2:$F$2,0)),0)</f>
        <v>0.73877165956729673</v>
      </c>
      <c r="H437" s="18">
        <f>_xlfn.IFNA(INDEX('Financial model inputs'!$A$2:$F$88,MATCH(F_interface!$A437&amp;RIGHT(H$2,2),'Financial model inputs'!$A$2:$A$88,0),MATCH($B437,'Financial model inputs'!$A$2:$F$2,0)),0)</f>
        <v>0.76034928059710116</v>
      </c>
      <c r="I437" s="18">
        <f>_xlfn.IFNA(INDEX('Financial model inputs'!$A$2:$F$88,MATCH(F_interface!$A437&amp;RIGHT(I$2,2),'Financial model inputs'!$A$2:$A$88,0),MATCH($B437,'Financial model inputs'!$A$2:$F$2,0)),0)</f>
        <v>0.31925311045276317</v>
      </c>
      <c r="K437" s="20" t="str">
        <f t="shared" si="30"/>
        <v>AFWC_DEP_PR19CA012</v>
      </c>
    </row>
    <row r="438" spans="1:11" x14ac:dyDescent="0.25">
      <c r="A438" s="21" t="s">
        <v>29</v>
      </c>
      <c r="B438" s="8" t="s">
        <v>261</v>
      </c>
      <c r="C438" s="8" t="s">
        <v>15</v>
      </c>
      <c r="D438" s="104" t="s">
        <v>152</v>
      </c>
      <c r="E438" s="18">
        <f>_xlfn.IFNA(INDEX('Financial model inputs'!$A$2:$F$88,MATCH(F_interface!$A438&amp;RIGHT(E$2,2),'Financial model inputs'!$A$2:$A$88,0),MATCH($B438,'Financial model inputs'!$A$2:$F$2,0)),0)</f>
        <v>0.37085458489990319</v>
      </c>
      <c r="F438" s="18">
        <f>_xlfn.IFNA(INDEX('Financial model inputs'!$A$2:$F$88,MATCH(F_interface!$A438&amp;RIGHT(F$2,2),'Financial model inputs'!$A$2:$A$88,0),MATCH($B438,'Financial model inputs'!$A$2:$F$2,0)),0)</f>
        <v>0.39364198715372262</v>
      </c>
      <c r="G438" s="18">
        <f>_xlfn.IFNA(INDEX('Financial model inputs'!$A$2:$F$88,MATCH(F_interface!$A438&amp;RIGHT(G$2,2),'Financial model inputs'!$A$2:$A$88,0),MATCH($B438,'Financial model inputs'!$A$2:$F$2,0)),0)</f>
        <v>0.40329110912224964</v>
      </c>
      <c r="H438" s="18">
        <f>_xlfn.IFNA(INDEX('Financial model inputs'!$A$2:$F$88,MATCH(F_interface!$A438&amp;RIGHT(H$2,2),'Financial model inputs'!$A$2:$A$88,0),MATCH($B438,'Financial model inputs'!$A$2:$F$2,0)),0)</f>
        <v>0.38645925076937376</v>
      </c>
      <c r="I438" s="18">
        <f>_xlfn.IFNA(INDEX('Financial model inputs'!$A$2:$F$88,MATCH(F_interface!$A438&amp;RIGHT(I$2,2),'Financial model inputs'!$A$2:$A$88,0),MATCH($B438,'Financial model inputs'!$A$2:$F$2,0)),0)</f>
        <v>0.35201661941025736</v>
      </c>
      <c r="K438" s="20" t="str">
        <f t="shared" si="30"/>
        <v>BRLC_DEP_PR19CA012</v>
      </c>
    </row>
    <row r="439" spans="1:11" x14ac:dyDescent="0.25">
      <c r="A439" s="21" t="s">
        <v>30</v>
      </c>
      <c r="B439" s="8" t="s">
        <v>261</v>
      </c>
      <c r="C439" s="8" t="s">
        <v>15</v>
      </c>
      <c r="D439" s="104" t="s">
        <v>152</v>
      </c>
      <c r="E439" s="18">
        <f>_xlfn.IFNA(INDEX('Financial model inputs'!$A$2:$F$88,MATCH(F_interface!$A439&amp;RIGHT(E$2,2),'Financial model inputs'!$A$2:$A$88,0),MATCH($B439,'Financial model inputs'!$A$2:$F$2,0)),0)</f>
        <v>0</v>
      </c>
      <c r="F439" s="18">
        <f>_xlfn.IFNA(INDEX('Financial model inputs'!$A$2:$F$88,MATCH(F_interface!$A439&amp;RIGHT(F$2,2),'Financial model inputs'!$A$2:$A$88,0),MATCH($B439,'Financial model inputs'!$A$2:$F$2,0)),0)</f>
        <v>0</v>
      </c>
      <c r="G439" s="18">
        <f>_xlfn.IFNA(INDEX('Financial model inputs'!$A$2:$F$88,MATCH(F_interface!$A439&amp;RIGHT(G$2,2),'Financial model inputs'!$A$2:$A$88,0),MATCH($B439,'Financial model inputs'!$A$2:$F$2,0)),0)</f>
        <v>0</v>
      </c>
      <c r="H439" s="18">
        <f>_xlfn.IFNA(INDEX('Financial model inputs'!$A$2:$F$88,MATCH(F_interface!$A439&amp;RIGHT(H$2,2),'Financial model inputs'!$A$2:$A$88,0),MATCH($B439,'Financial model inputs'!$A$2:$F$2,0)),0)</f>
        <v>0</v>
      </c>
      <c r="I439" s="18">
        <f>_xlfn.IFNA(INDEX('Financial model inputs'!$A$2:$F$88,MATCH(F_interface!$A439&amp;RIGHT(I$2,2),'Financial model inputs'!$A$2:$A$88,0),MATCH($B439,'Financial model inputs'!$A$2:$F$2,0)),0)</f>
        <v>0</v>
      </c>
      <c r="K439" s="20" t="str">
        <f t="shared" si="30"/>
        <v>DVWC_DEP_PR19CA012</v>
      </c>
    </row>
    <row r="440" spans="1:11" x14ac:dyDescent="0.25">
      <c r="A440" s="21" t="s">
        <v>31</v>
      </c>
      <c r="B440" s="8" t="s">
        <v>261</v>
      </c>
      <c r="C440" s="8" t="s">
        <v>15</v>
      </c>
      <c r="D440" s="104" t="s">
        <v>152</v>
      </c>
      <c r="E440" s="18">
        <f>_xlfn.IFNA(INDEX('Financial model inputs'!$A$2:$F$88,MATCH(F_interface!$A440&amp;RIGHT(E$2,2),'Financial model inputs'!$A$2:$A$88,0),MATCH($B440,'Financial model inputs'!$A$2:$F$2,0)),0)</f>
        <v>1.1022059836107023E-2</v>
      </c>
      <c r="F440" s="18">
        <f>_xlfn.IFNA(INDEX('Financial model inputs'!$A$2:$F$88,MATCH(F_interface!$A440&amp;RIGHT(F$2,2),'Financial model inputs'!$A$2:$A$88,0),MATCH($B440,'Financial model inputs'!$A$2:$F$2,0)),0)</f>
        <v>1.7752617383085496E-2</v>
      </c>
      <c r="G440" s="18">
        <f>_xlfn.IFNA(INDEX('Financial model inputs'!$A$2:$F$88,MATCH(F_interface!$A440&amp;RIGHT(G$2,2),'Financial model inputs'!$A$2:$A$88,0),MATCH($B440,'Financial model inputs'!$A$2:$F$2,0)),0)</f>
        <v>1.8917963963219857E-2</v>
      </c>
      <c r="H440" s="18">
        <f>_xlfn.IFNA(INDEX('Financial model inputs'!$A$2:$F$88,MATCH(F_interface!$A440&amp;RIGHT(H$2,2),'Financial model inputs'!$A$2:$A$88,0),MATCH($B440,'Financial model inputs'!$A$2:$F$2,0)),0)</f>
        <v>2.2998309131757495E-2</v>
      </c>
      <c r="I440" s="18">
        <f>_xlfn.IFNA(INDEX('Financial model inputs'!$A$2:$F$88,MATCH(F_interface!$A440&amp;RIGHT(I$2,2),'Financial model inputs'!$A$2:$A$88,0),MATCH($B440,'Financial model inputs'!$A$2:$F$2,0)),0)</f>
        <v>2.9093370185651529E-2</v>
      </c>
      <c r="K440" s="20" t="str">
        <f t="shared" si="30"/>
        <v>PRTC_DEP_PR19CA012</v>
      </c>
    </row>
    <row r="441" spans="1:11" x14ac:dyDescent="0.25">
      <c r="A441" s="21" t="s">
        <v>32</v>
      </c>
      <c r="B441" s="8" t="s">
        <v>261</v>
      </c>
      <c r="C441" s="8" t="s">
        <v>15</v>
      </c>
      <c r="D441" s="104" t="s">
        <v>152</v>
      </c>
      <c r="E441" s="18">
        <f>_xlfn.IFNA(INDEX('Financial model inputs'!$A$2:$F$88,MATCH(F_interface!$A441&amp;RIGHT(E$2,2),'Financial model inputs'!$A$2:$A$88,0),MATCH($B441,'Financial model inputs'!$A$2:$F$2,0)),0)</f>
        <v>0.31217628790157032</v>
      </c>
      <c r="F441" s="18">
        <f>_xlfn.IFNA(INDEX('Financial model inputs'!$A$2:$F$88,MATCH(F_interface!$A441&amp;RIGHT(F$2,2),'Financial model inputs'!$A$2:$A$88,0),MATCH($B441,'Financial model inputs'!$A$2:$F$2,0)),0)</f>
        <v>0.32610682052182366</v>
      </c>
      <c r="G441" s="18">
        <f>_xlfn.IFNA(INDEX('Financial model inputs'!$A$2:$F$88,MATCH(F_interface!$A441&amp;RIGHT(G$2,2),'Financial model inputs'!$A$2:$A$88,0),MATCH($B441,'Financial model inputs'!$A$2:$F$2,0)),0)</f>
        <v>0.33775344511526589</v>
      </c>
      <c r="H441" s="18">
        <f>_xlfn.IFNA(INDEX('Financial model inputs'!$A$2:$F$88,MATCH(F_interface!$A441&amp;RIGHT(H$2,2),'Financial model inputs'!$A$2:$A$88,0),MATCH($B441,'Financial model inputs'!$A$2:$F$2,0)),0)</f>
        <v>0.34668152494043597</v>
      </c>
      <c r="I441" s="18">
        <f>_xlfn.IFNA(INDEX('Financial model inputs'!$A$2:$F$88,MATCH(F_interface!$A441&amp;RIGHT(I$2,2),'Financial model inputs'!$A$2:$A$88,0),MATCH($B441,'Financial model inputs'!$A$2:$F$2,0)),0)</f>
        <v>0.35362124472051065</v>
      </c>
      <c r="K441" s="20" t="str">
        <f t="shared" si="30"/>
        <v>SESC_DEP_PR19CA012</v>
      </c>
    </row>
    <row r="442" spans="1:11" x14ac:dyDescent="0.25">
      <c r="A442" s="21" t="s">
        <v>33</v>
      </c>
      <c r="B442" s="8" t="s">
        <v>261</v>
      </c>
      <c r="C442" s="8" t="s">
        <v>15</v>
      </c>
      <c r="D442" s="104" t="s">
        <v>152</v>
      </c>
      <c r="E442" s="18">
        <f>_xlfn.IFNA(INDEX('Financial model inputs'!$A$2:$F$88,MATCH(F_interface!$A442&amp;RIGHT(E$2,2),'Financial model inputs'!$A$2:$A$88,0),MATCH($B442,'Financial model inputs'!$A$2:$F$2,0)),0)</f>
        <v>9.1049233071612098E-2</v>
      </c>
      <c r="F442" s="18">
        <f>_xlfn.IFNA(INDEX('Financial model inputs'!$A$2:$F$88,MATCH(F_interface!$A442&amp;RIGHT(F$2,2),'Financial model inputs'!$A$2:$A$88,0),MATCH($B442,'Financial model inputs'!$A$2:$F$2,0)),0)</f>
        <v>9.3234621900478001E-2</v>
      </c>
      <c r="G442" s="18">
        <f>_xlfn.IFNA(INDEX('Financial model inputs'!$A$2:$F$88,MATCH(F_interface!$A442&amp;RIGHT(G$2,2),'Financial model inputs'!$A$2:$A$88,0),MATCH($B442,'Financial model inputs'!$A$2:$F$2,0)),0)</f>
        <v>9.2262109655691635E-2</v>
      </c>
      <c r="H442" s="18">
        <f>_xlfn.IFNA(INDEX('Financial model inputs'!$A$2:$F$88,MATCH(F_interface!$A442&amp;RIGHT(H$2,2),'Financial model inputs'!$A$2:$A$88,0),MATCH($B442,'Financial model inputs'!$A$2:$F$2,0)),0)</f>
        <v>9.3470383009317773E-2</v>
      </c>
      <c r="I442" s="18">
        <f>_xlfn.IFNA(INDEX('Financial model inputs'!$A$2:$F$88,MATCH(F_interface!$A442&amp;RIGHT(I$2,2),'Financial model inputs'!$A$2:$A$88,0),MATCH($B442,'Financial model inputs'!$A$2:$F$2,0)),0)</f>
        <v>9.3119905149321322E-2</v>
      </c>
      <c r="K442" s="20" t="str">
        <f t="shared" si="30"/>
        <v>SEWC_DEP_PR19CA012</v>
      </c>
    </row>
    <row r="443" spans="1:11" x14ac:dyDescent="0.25">
      <c r="A443" s="21" t="s">
        <v>34</v>
      </c>
      <c r="B443" s="8" t="s">
        <v>261</v>
      </c>
      <c r="C443" s="8" t="s">
        <v>15</v>
      </c>
      <c r="D443" s="104" t="s">
        <v>152</v>
      </c>
      <c r="E443" s="18">
        <f>_xlfn.IFNA(INDEX('Financial model inputs'!$A$2:$F$88,MATCH(F_interface!$A443&amp;RIGHT(E$2,2),'Financial model inputs'!$A$2:$A$88,0),MATCH($B443,'Financial model inputs'!$A$2:$F$2,0)),0)</f>
        <v>0.6183494465472551</v>
      </c>
      <c r="F443" s="18">
        <f>_xlfn.IFNA(INDEX('Financial model inputs'!$A$2:$F$88,MATCH(F_interface!$A443&amp;RIGHT(F$2,2),'Financial model inputs'!$A$2:$A$88,0),MATCH($B443,'Financial model inputs'!$A$2:$F$2,0)),0)</f>
        <v>0.60509946719660179</v>
      </c>
      <c r="G443" s="18">
        <f>_xlfn.IFNA(INDEX('Financial model inputs'!$A$2:$F$88,MATCH(F_interface!$A443&amp;RIGHT(G$2,2),'Financial model inputs'!$A$2:$A$88,0),MATCH($B443,'Financial model inputs'!$A$2:$F$2,0)),0)</f>
        <v>0.44776359930544296</v>
      </c>
      <c r="H443" s="18">
        <f>_xlfn.IFNA(INDEX('Financial model inputs'!$A$2:$F$88,MATCH(F_interface!$A443&amp;RIGHT(H$2,2),'Financial model inputs'!$A$2:$A$88,0),MATCH($B443,'Financial model inputs'!$A$2:$F$2,0)),0)</f>
        <v>0.46500082607045501</v>
      </c>
      <c r="I443" s="18">
        <f>_xlfn.IFNA(INDEX('Financial model inputs'!$A$2:$F$88,MATCH(F_interface!$A443&amp;RIGHT(I$2,2),'Financial model inputs'!$A$2:$A$88,0),MATCH($B443,'Financial model inputs'!$A$2:$F$2,0)),0)</f>
        <v>0.4161580579566091</v>
      </c>
      <c r="K443" s="20" t="str">
        <f t="shared" si="30"/>
        <v>SSCC_DEP_PR19CA012</v>
      </c>
    </row>
    <row r="444" spans="1:11" x14ac:dyDescent="0.25">
      <c r="A444" s="120" t="s">
        <v>20</v>
      </c>
      <c r="B444" s="8" t="s">
        <v>262</v>
      </c>
      <c r="C444" s="8" t="s">
        <v>15</v>
      </c>
      <c r="D444" s="104" t="s">
        <v>152</v>
      </c>
      <c r="E444" s="18">
        <f>_xlfn.IFNA(INDEX('Financial model inputs'!$A$2:$F$88,MATCH(F_interface!$A444&amp;RIGHT(E$2,2),'Financial model inputs'!$A$2:$A$88,0),MATCH($B444,'Financial model inputs'!$A$2:$F$2,0)),0)</f>
        <v>0.78299791390601503</v>
      </c>
      <c r="F444" s="18">
        <f>_xlfn.IFNA(INDEX('Financial model inputs'!$A$2:$F$88,MATCH(F_interface!$A444&amp;RIGHT(F$2,2),'Financial model inputs'!$A$2:$A$88,0),MATCH($B444,'Financial model inputs'!$A$2:$F$2,0)),0)</f>
        <v>0.78419304985538496</v>
      </c>
      <c r="G444" s="18">
        <f>_xlfn.IFNA(INDEX('Financial model inputs'!$A$2:$F$88,MATCH(F_interface!$A444&amp;RIGHT(G$2,2),'Financial model inputs'!$A$2:$A$88,0),MATCH($B444,'Financial model inputs'!$A$2:$F$2,0)),0)</f>
        <v>0.78233635298079596</v>
      </c>
      <c r="H444" s="18">
        <f>_xlfn.IFNA(INDEX('Financial model inputs'!$A$2:$F$88,MATCH(F_interface!$A444&amp;RIGHT(H$2,2),'Financial model inputs'!$A$2:$A$88,0),MATCH($B444,'Financial model inputs'!$A$2:$F$2,0)),0)</f>
        <v>0.78201824386465302</v>
      </c>
      <c r="I444" s="18">
        <f>_xlfn.IFNA(INDEX('Financial model inputs'!$A$2:$F$88,MATCH(F_interface!$A444&amp;RIGHT(I$2,2),'Financial model inputs'!$A$2:$A$88,0),MATCH($B444,'Financial model inputs'!$A$2:$F$2,0)),0)</f>
        <v>0.78227813693340198</v>
      </c>
      <c r="K444" s="20" t="str">
        <f t="shared" si="30"/>
        <v>ANHC_RRCAPEX_PR19CA012</v>
      </c>
    </row>
    <row r="445" spans="1:11" x14ac:dyDescent="0.25">
      <c r="A445" s="120" t="s">
        <v>157</v>
      </c>
      <c r="B445" s="8" t="s">
        <v>262</v>
      </c>
      <c r="C445" s="8" t="s">
        <v>15</v>
      </c>
      <c r="D445" s="104" t="s">
        <v>152</v>
      </c>
      <c r="E445" s="18">
        <f>_xlfn.IFNA(INDEX('Financial model inputs'!$A$2:$F$88,MATCH(F_interface!$A445&amp;RIGHT(E$2,2),'Financial model inputs'!$A$2:$A$88,0),MATCH($B445,'Financial model inputs'!$A$2:$F$2,0)),0)</f>
        <v>0.19857775039480199</v>
      </c>
      <c r="F445" s="18">
        <f>_xlfn.IFNA(INDEX('Financial model inputs'!$A$2:$F$88,MATCH(F_interface!$A445&amp;RIGHT(F$2,2),'Financial model inputs'!$A$2:$A$88,0),MATCH($B445,'Financial model inputs'!$A$2:$F$2,0)),0)</f>
        <v>0.16769453652424801</v>
      </c>
      <c r="G445" s="18">
        <f>_xlfn.IFNA(INDEX('Financial model inputs'!$A$2:$F$88,MATCH(F_interface!$A445&amp;RIGHT(G$2,2),'Financial model inputs'!$A$2:$A$88,0),MATCH($B445,'Financial model inputs'!$A$2:$F$2,0)),0)</f>
        <v>0.16943602231951099</v>
      </c>
      <c r="H445" s="18">
        <f>_xlfn.IFNA(INDEX('Financial model inputs'!$A$2:$F$88,MATCH(F_interface!$A445&amp;RIGHT(H$2,2),'Financial model inputs'!$A$2:$A$88,0),MATCH($B445,'Financial model inputs'!$A$2:$F$2,0)),0)</f>
        <v>0.18628131395387801</v>
      </c>
      <c r="I445" s="18">
        <f>_xlfn.IFNA(INDEX('Financial model inputs'!$A$2:$F$88,MATCH(F_interface!$A445&amp;RIGHT(I$2,2),'Financial model inputs'!$A$2:$A$88,0),MATCH($B445,'Financial model inputs'!$A$2:$F$2,0)),0)</f>
        <v>0.124040074361375</v>
      </c>
      <c r="K445" s="20" t="str">
        <f t="shared" si="30"/>
        <v>HDDC_RRCAPEX_PR19CA012</v>
      </c>
    </row>
    <row r="446" spans="1:11" x14ac:dyDescent="0.25">
      <c r="A446" s="120" t="s">
        <v>21</v>
      </c>
      <c r="B446" s="8" t="s">
        <v>262</v>
      </c>
      <c r="C446" s="8" t="s">
        <v>15</v>
      </c>
      <c r="D446" s="104" t="s">
        <v>152</v>
      </c>
      <c r="E446" s="18">
        <f>_xlfn.IFNA(INDEX('Financial model inputs'!$A$2:$F$88,MATCH(F_interface!$A446&amp;RIGHT(E$2,2),'Financial model inputs'!$A$2:$A$88,0),MATCH($B446,'Financial model inputs'!$A$2:$F$2,0)),0)</f>
        <v>2.00084701099233</v>
      </c>
      <c r="F446" s="18">
        <f>_xlfn.IFNA(INDEX('Financial model inputs'!$A$2:$F$88,MATCH(F_interface!$A446&amp;RIGHT(F$2,2),'Financial model inputs'!$A$2:$A$88,0),MATCH($B446,'Financial model inputs'!$A$2:$F$2,0)),0)</f>
        <v>1.9997044145873399</v>
      </c>
      <c r="G446" s="18">
        <f>_xlfn.IFNA(INDEX('Financial model inputs'!$A$2:$F$88,MATCH(F_interface!$A446&amp;RIGHT(G$2,2),'Financial model inputs'!$A$2:$A$88,0),MATCH($B446,'Financial model inputs'!$A$2:$F$2,0)),0)</f>
        <v>2.0010686061658798</v>
      </c>
      <c r="H446" s="18">
        <f>_xlfn.IFNA(INDEX('Financial model inputs'!$A$2:$F$88,MATCH(F_interface!$A446&amp;RIGHT(H$2,2),'Financial model inputs'!$A$2:$A$88,0),MATCH($B446,'Financial model inputs'!$A$2:$F$2,0)),0)</f>
        <v>1.99914985100043</v>
      </c>
      <c r="I446" s="18">
        <f>_xlfn.IFNA(INDEX('Financial model inputs'!$A$2:$F$88,MATCH(F_interface!$A446&amp;RIGHT(I$2,2),'Financial model inputs'!$A$2:$A$88,0),MATCH($B446,'Financial model inputs'!$A$2:$F$2,0)),0)</f>
        <v>2.00068164429298</v>
      </c>
      <c r="K446" s="20" t="str">
        <f t="shared" si="30"/>
        <v>NESC_RRCAPEX_PR19CA012</v>
      </c>
    </row>
    <row r="447" spans="1:11" x14ac:dyDescent="0.25">
      <c r="A447" s="120" t="s">
        <v>22</v>
      </c>
      <c r="B447" s="8" t="s">
        <v>262</v>
      </c>
      <c r="C447" s="8" t="s">
        <v>15</v>
      </c>
      <c r="D447" s="104" t="s">
        <v>152</v>
      </c>
      <c r="E447" s="18">
        <f>_xlfn.IFNA(INDEX('Financial model inputs'!$A$2:$F$88,MATCH(F_interface!$A447&amp;RIGHT(E$2,2),'Financial model inputs'!$A$2:$A$88,0),MATCH($B447,'Financial model inputs'!$A$2:$F$2,0)),0)</f>
        <v>9.4730731041796794</v>
      </c>
      <c r="F447" s="18">
        <f>_xlfn.IFNA(INDEX('Financial model inputs'!$A$2:$F$88,MATCH(F_interface!$A447&amp;RIGHT(F$2,2),'Financial model inputs'!$A$2:$A$88,0),MATCH($B447,'Financial model inputs'!$A$2:$F$2,0)),0)</f>
        <v>2.5147841103969402</v>
      </c>
      <c r="G447" s="18">
        <f>_xlfn.IFNA(INDEX('Financial model inputs'!$A$2:$F$88,MATCH(F_interface!$A447&amp;RIGHT(G$2,2),'Financial model inputs'!$A$2:$A$88,0),MATCH($B447,'Financial model inputs'!$A$2:$F$2,0)),0)</f>
        <v>2.4672795042866</v>
      </c>
      <c r="H447" s="18">
        <f>_xlfn.IFNA(INDEX('Financial model inputs'!$A$2:$F$88,MATCH(F_interface!$A447&amp;RIGHT(H$2,2),'Financial model inputs'!$A$2:$A$88,0),MATCH($B447,'Financial model inputs'!$A$2:$F$2,0)),0)</f>
        <v>2.3826268001505402</v>
      </c>
      <c r="I447" s="18">
        <f>_xlfn.IFNA(INDEX('Financial model inputs'!$A$2:$F$88,MATCH(F_interface!$A447&amp;RIGHT(I$2,2),'Financial model inputs'!$A$2:$A$88,0),MATCH($B447,'Financial model inputs'!$A$2:$F$2,0)),0)</f>
        <v>1.86577774153901</v>
      </c>
      <c r="K447" s="20" t="str">
        <f t="shared" si="30"/>
        <v>NWTC_RRCAPEX_PR19CA012</v>
      </c>
    </row>
    <row r="448" spans="1:11" x14ac:dyDescent="0.25">
      <c r="A448" s="120" t="s">
        <v>23</v>
      </c>
      <c r="B448" s="8" t="s">
        <v>262</v>
      </c>
      <c r="C448" s="8" t="s">
        <v>15</v>
      </c>
      <c r="D448" s="104" t="s">
        <v>152</v>
      </c>
      <c r="E448" s="18">
        <f>_xlfn.IFNA(INDEX('Financial model inputs'!$A$2:$F$88,MATCH(F_interface!$A448&amp;RIGHT(E$2,2),'Financial model inputs'!$A$2:$A$88,0),MATCH($B448,'Financial model inputs'!$A$2:$F$2,0)),0)</f>
        <v>1.8772140498348999</v>
      </c>
      <c r="F448" s="18">
        <f>_xlfn.IFNA(INDEX('Financial model inputs'!$A$2:$F$88,MATCH(F_interface!$A448&amp;RIGHT(F$2,2),'Financial model inputs'!$A$2:$A$88,0),MATCH($B448,'Financial model inputs'!$A$2:$F$2,0)),0)</f>
        <v>1.84033551615041</v>
      </c>
      <c r="G448" s="18">
        <f>_xlfn.IFNA(INDEX('Financial model inputs'!$A$2:$F$88,MATCH(F_interface!$A448&amp;RIGHT(G$2,2),'Financial model inputs'!$A$2:$A$88,0),MATCH($B448,'Financial model inputs'!$A$2:$F$2,0)),0)</f>
        <v>1.80422707927578</v>
      </c>
      <c r="H448" s="18">
        <f>_xlfn.IFNA(INDEX('Financial model inputs'!$A$2:$F$88,MATCH(F_interface!$A448&amp;RIGHT(H$2,2),'Financial model inputs'!$A$2:$A$88,0),MATCH($B448,'Financial model inputs'!$A$2:$F$2,0)),0)</f>
        <v>1.7688826025459801</v>
      </c>
      <c r="I448" s="18">
        <f>_xlfn.IFNA(INDEX('Financial model inputs'!$A$2:$F$88,MATCH(F_interface!$A448&amp;RIGHT(I$2,2),'Financial model inputs'!$A$2:$A$88,0),MATCH($B448,'Financial model inputs'!$A$2:$F$2,0)),0)</f>
        <v>1.7341745822644401</v>
      </c>
      <c r="K448" s="20" t="str">
        <f t="shared" si="30"/>
        <v>SRNC_RRCAPEX_PR19CA012</v>
      </c>
    </row>
    <row r="449" spans="1:11" x14ac:dyDescent="0.25">
      <c r="A449" s="120" t="s">
        <v>156</v>
      </c>
      <c r="B449" s="8" t="s">
        <v>262</v>
      </c>
      <c r="C449" s="8" t="s">
        <v>15</v>
      </c>
      <c r="D449" s="104" t="s">
        <v>152</v>
      </c>
      <c r="E449" s="18">
        <f>_xlfn.IFNA(INDEX('Financial model inputs'!$A$2:$F$88,MATCH(F_interface!$A449&amp;RIGHT(E$2,2),'Financial model inputs'!$A$2:$A$88,0),MATCH($B449,'Financial model inputs'!$A$2:$F$2,0)),0)</f>
        <v>8.8674681796644101</v>
      </c>
      <c r="F449" s="18">
        <f>_xlfn.IFNA(INDEX('Financial model inputs'!$A$2:$F$88,MATCH(F_interface!$A449&amp;RIGHT(F$2,2),'Financial model inputs'!$A$2:$A$88,0),MATCH($B449,'Financial model inputs'!$A$2:$F$2,0)),0)</f>
        <v>7.4883815713286701</v>
      </c>
      <c r="G449" s="18">
        <f>_xlfn.IFNA(INDEX('Financial model inputs'!$A$2:$F$88,MATCH(F_interface!$A449&amp;RIGHT(G$2,2),'Financial model inputs'!$A$2:$A$88,0),MATCH($B449,'Financial model inputs'!$A$2:$F$2,0)),0)</f>
        <v>6.5473709106936004</v>
      </c>
      <c r="H449" s="18">
        <f>_xlfn.IFNA(INDEX('Financial model inputs'!$A$2:$F$88,MATCH(F_interface!$A449&amp;RIGHT(H$2,2),'Financial model inputs'!$A$2:$A$88,0),MATCH($B449,'Financial model inputs'!$A$2:$F$2,0)),0)</f>
        <v>8.3183721271289404</v>
      </c>
      <c r="I449" s="18">
        <f>_xlfn.IFNA(INDEX('Financial model inputs'!$A$2:$F$88,MATCH(F_interface!$A449&amp;RIGHT(I$2,2),'Financial model inputs'!$A$2:$A$88,0),MATCH($B449,'Financial model inputs'!$A$2:$F$2,0)),0)</f>
        <v>5.5389962380775</v>
      </c>
      <c r="K449" s="20" t="str">
        <f t="shared" si="30"/>
        <v>SVEC_RRCAPEX_PR19CA012</v>
      </c>
    </row>
    <row r="450" spans="1:11" x14ac:dyDescent="0.25">
      <c r="A450" s="120" t="s">
        <v>232</v>
      </c>
      <c r="B450" s="8" t="s">
        <v>262</v>
      </c>
      <c r="C450" s="8" t="s">
        <v>15</v>
      </c>
      <c r="D450" s="104" t="s">
        <v>152</v>
      </c>
      <c r="E450" s="18">
        <f>_xlfn.IFNA(INDEX('Financial model inputs'!$A$2:$F$88,MATCH(F_interface!$A450&amp;RIGHT(E$2,2),'Financial model inputs'!$A$2:$A$88,0),MATCH($B450,'Financial model inputs'!$A$2:$F$2,0)),0)</f>
        <v>0</v>
      </c>
      <c r="F450" s="18">
        <f>_xlfn.IFNA(INDEX('Financial model inputs'!$A$2:$F$88,MATCH(F_interface!$A450&amp;RIGHT(F$2,2),'Financial model inputs'!$A$2:$A$88,0),MATCH($B450,'Financial model inputs'!$A$2:$F$2,0)),0)</f>
        <v>0</v>
      </c>
      <c r="G450" s="18">
        <f>_xlfn.IFNA(INDEX('Financial model inputs'!$A$2:$F$88,MATCH(F_interface!$A450&amp;RIGHT(G$2,2),'Financial model inputs'!$A$2:$A$88,0),MATCH($B450,'Financial model inputs'!$A$2:$F$2,0)),0)</f>
        <v>0</v>
      </c>
      <c r="H450" s="18">
        <f>_xlfn.IFNA(INDEX('Financial model inputs'!$A$2:$F$88,MATCH(F_interface!$A450&amp;RIGHT(H$2,2),'Financial model inputs'!$A$2:$A$88,0),MATCH($B450,'Financial model inputs'!$A$2:$F$2,0)),0)</f>
        <v>0</v>
      </c>
      <c r="I450" s="18">
        <f>_xlfn.IFNA(INDEX('Financial model inputs'!$A$2:$F$88,MATCH(F_interface!$A450&amp;RIGHT(I$2,2),'Financial model inputs'!$A$2:$A$88,0),MATCH($B450,'Financial model inputs'!$A$2:$F$2,0)),0)</f>
        <v>0</v>
      </c>
      <c r="K450" s="20" t="str">
        <f t="shared" ref="K450:K483" si="137">A450&amp;B450</f>
        <v>SVHC_RRCAPEX_PR19CA012</v>
      </c>
    </row>
    <row r="451" spans="1:11" x14ac:dyDescent="0.25">
      <c r="A451" s="120" t="s">
        <v>24</v>
      </c>
      <c r="B451" s="8" t="s">
        <v>262</v>
      </c>
      <c r="C451" s="8" t="s">
        <v>15</v>
      </c>
      <c r="D451" s="104" t="s">
        <v>152</v>
      </c>
      <c r="E451" s="18">
        <f>_xlfn.IFNA(INDEX('Financial model inputs'!$A$2:$F$88,MATCH(F_interface!$A451&amp;RIGHT(E$2,2),'Financial model inputs'!$A$2:$A$88,0),MATCH($B451,'Financial model inputs'!$A$2:$F$2,0)),0)</f>
        <v>0</v>
      </c>
      <c r="F451" s="18">
        <f>_xlfn.IFNA(INDEX('Financial model inputs'!$A$2:$F$88,MATCH(F_interface!$A451&amp;RIGHT(F$2,2),'Financial model inputs'!$A$2:$A$88,0),MATCH($B451,'Financial model inputs'!$A$2:$F$2,0)),0)</f>
        <v>0</v>
      </c>
      <c r="G451" s="18">
        <f>_xlfn.IFNA(INDEX('Financial model inputs'!$A$2:$F$88,MATCH(F_interface!$A451&amp;RIGHT(G$2,2),'Financial model inputs'!$A$2:$A$88,0),MATCH($B451,'Financial model inputs'!$A$2:$F$2,0)),0)</f>
        <v>0</v>
      </c>
      <c r="H451" s="18">
        <f>_xlfn.IFNA(INDEX('Financial model inputs'!$A$2:$F$88,MATCH(F_interface!$A451&amp;RIGHT(H$2,2),'Financial model inputs'!$A$2:$A$88,0),MATCH($B451,'Financial model inputs'!$A$2:$F$2,0)),0)</f>
        <v>0</v>
      </c>
      <c r="I451" s="18">
        <f>_xlfn.IFNA(INDEX('Financial model inputs'!$A$2:$F$88,MATCH(F_interface!$A451&amp;RIGHT(I$2,2),'Financial model inputs'!$A$2:$A$88,0),MATCH($B451,'Financial model inputs'!$A$2:$F$2,0)),0)</f>
        <v>0</v>
      </c>
      <c r="K451" s="20" t="str">
        <f t="shared" si="137"/>
        <v>SVTC_RRCAPEX_PR19CA012</v>
      </c>
    </row>
    <row r="452" spans="1:11" x14ac:dyDescent="0.25">
      <c r="A452" s="21" t="s">
        <v>35</v>
      </c>
      <c r="B452" s="8" t="s">
        <v>262</v>
      </c>
      <c r="C452" s="8" t="s">
        <v>15</v>
      </c>
      <c r="D452" s="104" t="s">
        <v>152</v>
      </c>
      <c r="E452" s="18">
        <f>_xlfn.IFNA(INDEX('Financial model inputs'!$A$2:$F$88,MATCH(F_interface!$A452&amp;RIGHT(E$2,2),'Financial model inputs'!$A$2:$A$88,0),MATCH($B452,'Financial model inputs'!$A$2:$F$2,0)),0)</f>
        <v>0.69978744179059804</v>
      </c>
      <c r="F452" s="18">
        <f>_xlfn.IFNA(INDEX('Financial model inputs'!$A$2:$F$88,MATCH(F_interface!$A452&amp;RIGHT(F$2,2),'Financial model inputs'!$A$2:$A$88,0),MATCH($B452,'Financial model inputs'!$A$2:$F$2,0)),0)</f>
        <v>0.86302268375313296</v>
      </c>
      <c r="G452" s="18">
        <f>_xlfn.IFNA(INDEX('Financial model inputs'!$A$2:$F$88,MATCH(F_interface!$A452&amp;RIGHT(G$2,2),'Financial model inputs'!$A$2:$A$88,0),MATCH($B452,'Financial model inputs'!$A$2:$F$2,0)),0)</f>
        <v>0.528231768953069</v>
      </c>
      <c r="H452" s="18">
        <f>_xlfn.IFNA(INDEX('Financial model inputs'!$A$2:$F$88,MATCH(F_interface!$A452&amp;RIGHT(H$2,2),'Financial model inputs'!$A$2:$A$88,0),MATCH($B452,'Financial model inputs'!$A$2:$F$2,0)),0)</f>
        <v>0.44708551606965902</v>
      </c>
      <c r="I452" s="18">
        <f>_xlfn.IFNA(INDEX('Financial model inputs'!$A$2:$F$88,MATCH(F_interface!$A452&amp;RIGHT(I$2,2),'Financial model inputs'!$A$2:$A$88,0),MATCH($B452,'Financial model inputs'!$A$2:$F$2,0)),0)</f>
        <v>0.66044871616933098</v>
      </c>
      <c r="K452" s="20" t="str">
        <f t="shared" si="137"/>
        <v>SWBC_RRCAPEX_PR19CA012</v>
      </c>
    </row>
    <row r="453" spans="1:11" x14ac:dyDescent="0.25">
      <c r="A453" s="21" t="s">
        <v>25</v>
      </c>
      <c r="B453" s="8" t="s">
        <v>262</v>
      </c>
      <c r="C453" s="8" t="s">
        <v>15</v>
      </c>
      <c r="D453" s="104" t="s">
        <v>152</v>
      </c>
      <c r="E453" s="18">
        <f>_xlfn.IFNA(INDEX('Financial model inputs'!$A$2:$F$88,MATCH(F_interface!$A453&amp;RIGHT(E$2,2),'Financial model inputs'!$A$2:$A$88,0),MATCH($B453,'Financial model inputs'!$A$2:$F$2,0)),0)</f>
        <v>15.257046328690601</v>
      </c>
      <c r="F453" s="18">
        <f>_xlfn.IFNA(INDEX('Financial model inputs'!$A$2:$F$88,MATCH(F_interface!$A453&amp;RIGHT(F$2,2),'Financial model inputs'!$A$2:$A$88,0),MATCH($B453,'Financial model inputs'!$A$2:$F$2,0)),0)</f>
        <v>15.436072090323901</v>
      </c>
      <c r="G453" s="18">
        <f>_xlfn.IFNA(INDEX('Financial model inputs'!$A$2:$F$88,MATCH(F_interface!$A453&amp;RIGHT(G$2,2),'Financial model inputs'!$A$2:$A$88,0),MATCH($B453,'Financial model inputs'!$A$2:$F$2,0)),0)</f>
        <v>26.891945071764098</v>
      </c>
      <c r="H453" s="18">
        <f>_xlfn.IFNA(INDEX('Financial model inputs'!$A$2:$F$88,MATCH(F_interface!$A453&amp;RIGHT(H$2,2),'Financial model inputs'!$A$2:$A$88,0),MATCH($B453,'Financial model inputs'!$A$2:$F$2,0)),0)</f>
        <v>5.2383962119304401</v>
      </c>
      <c r="I453" s="18">
        <f>_xlfn.IFNA(INDEX('Financial model inputs'!$A$2:$F$88,MATCH(F_interface!$A453&amp;RIGHT(I$2,2),'Financial model inputs'!$A$2:$A$88,0),MATCH($B453,'Financial model inputs'!$A$2:$F$2,0)),0)</f>
        <v>2.9311281879187399</v>
      </c>
      <c r="K453" s="20" t="str">
        <f t="shared" si="137"/>
        <v>TMSC_RRCAPEX_PR19CA012</v>
      </c>
    </row>
    <row r="454" spans="1:11" x14ac:dyDescent="0.25">
      <c r="A454" s="21" t="s">
        <v>41</v>
      </c>
      <c r="B454" s="8" t="s">
        <v>262</v>
      </c>
      <c r="C454" s="8" t="s">
        <v>15</v>
      </c>
      <c r="D454" s="104" t="s">
        <v>152</v>
      </c>
      <c r="E454" s="18">
        <f>_xlfn.IFNA(INDEX('Financial model inputs'!$A$2:$F$88,MATCH(F_interface!$A454&amp;RIGHT(E$2,2),'Financial model inputs'!$A$2:$A$88,0),MATCH($B454,'Financial model inputs'!$A$2:$F$2,0)),0)</f>
        <v>8.2262980802625503</v>
      </c>
      <c r="F454" s="18">
        <f>_xlfn.IFNA(INDEX('Financial model inputs'!$A$2:$F$88,MATCH(F_interface!$A454&amp;RIGHT(F$2,2),'Financial model inputs'!$A$2:$A$88,0),MATCH($B454,'Financial model inputs'!$A$2:$F$2,0)),0)</f>
        <v>3.2646477116875001</v>
      </c>
      <c r="G454" s="18">
        <f>_xlfn.IFNA(INDEX('Financial model inputs'!$A$2:$F$88,MATCH(F_interface!$A454&amp;RIGHT(G$2,2),'Financial model inputs'!$A$2:$A$88,0),MATCH($B454,'Financial model inputs'!$A$2:$F$2,0)),0)</f>
        <v>2.9833670622001498</v>
      </c>
      <c r="H454" s="18">
        <f>_xlfn.IFNA(INDEX('Financial model inputs'!$A$2:$F$88,MATCH(F_interface!$A454&amp;RIGHT(H$2,2),'Financial model inputs'!$A$2:$A$88,0),MATCH($B454,'Financial model inputs'!$A$2:$F$2,0)),0)</f>
        <v>2.7954865754334999</v>
      </c>
      <c r="I454" s="18">
        <f>_xlfn.IFNA(INDEX('Financial model inputs'!$A$2:$F$88,MATCH(F_interface!$A454&amp;RIGHT(I$2,2),'Financial model inputs'!$A$2:$A$88,0),MATCH($B454,'Financial model inputs'!$A$2:$F$2,0)),0)</f>
        <v>2.09174735810715</v>
      </c>
      <c r="K454" s="20" t="str">
        <f t="shared" si="137"/>
        <v>WSHC_RRCAPEX_PR19CA012</v>
      </c>
    </row>
    <row r="455" spans="1:11" x14ac:dyDescent="0.25">
      <c r="A455" s="21" t="s">
        <v>26</v>
      </c>
      <c r="B455" s="8" t="s">
        <v>262</v>
      </c>
      <c r="C455" s="8" t="s">
        <v>15</v>
      </c>
      <c r="D455" s="104" t="s">
        <v>152</v>
      </c>
      <c r="E455" s="18">
        <f>_xlfn.IFNA(INDEX('Financial model inputs'!$A$2:$F$88,MATCH(F_interface!$A455&amp;RIGHT(E$2,2),'Financial model inputs'!$A$2:$A$88,0),MATCH($B455,'Financial model inputs'!$A$2:$F$2,0)),0)</f>
        <v>1.2497798325029199</v>
      </c>
      <c r="F455" s="18">
        <f>_xlfn.IFNA(INDEX('Financial model inputs'!$A$2:$F$88,MATCH(F_interface!$A455&amp;RIGHT(F$2,2),'Financial model inputs'!$A$2:$A$88,0),MATCH($B455,'Financial model inputs'!$A$2:$F$2,0)),0)</f>
        <v>1.2298910537508201</v>
      </c>
      <c r="G455" s="18">
        <f>_xlfn.IFNA(INDEX('Financial model inputs'!$A$2:$F$88,MATCH(F_interface!$A455&amp;RIGHT(G$2,2),'Financial model inputs'!$A$2:$A$88,0),MATCH($B455,'Financial model inputs'!$A$2:$F$2,0)),0)</f>
        <v>1.20396506910484</v>
      </c>
      <c r="H455" s="18">
        <f>_xlfn.IFNA(INDEX('Financial model inputs'!$A$2:$F$88,MATCH(F_interface!$A455&amp;RIGHT(H$2,2),'Financial model inputs'!$A$2:$A$88,0),MATCH($B455,'Financial model inputs'!$A$2:$F$2,0)),0)</f>
        <v>1.1803579108870901</v>
      </c>
      <c r="I455" s="18">
        <f>_xlfn.IFNA(INDEX('Financial model inputs'!$A$2:$F$88,MATCH(F_interface!$A455&amp;RIGHT(I$2,2),'Financial model inputs'!$A$2:$A$88,0),MATCH($B455,'Financial model inputs'!$A$2:$F$2,0)),0)</f>
        <v>1.1572136381246001</v>
      </c>
      <c r="K455" s="20" t="str">
        <f t="shared" si="137"/>
        <v>WSXC_RRCAPEX_PR19CA012</v>
      </c>
    </row>
    <row r="456" spans="1:11" x14ac:dyDescent="0.25">
      <c r="A456" s="21" t="s">
        <v>27</v>
      </c>
      <c r="B456" s="8" t="s">
        <v>262</v>
      </c>
      <c r="C456" s="8" t="s">
        <v>15</v>
      </c>
      <c r="D456" s="104" t="s">
        <v>152</v>
      </c>
      <c r="E456" s="18">
        <f>_xlfn.IFNA(INDEX('Financial model inputs'!$A$2:$F$88,MATCH(F_interface!$A456&amp;RIGHT(E$2,2),'Financial model inputs'!$A$2:$A$88,0),MATCH($B456,'Financial model inputs'!$A$2:$F$2,0)),0)</f>
        <v>1.8221344009578799</v>
      </c>
      <c r="F456" s="18">
        <f>_xlfn.IFNA(INDEX('Financial model inputs'!$A$2:$F$88,MATCH(F_interface!$A456&amp;RIGHT(F$2,2),'Financial model inputs'!$A$2:$A$88,0),MATCH($B456,'Financial model inputs'!$A$2:$F$2,0)),0)</f>
        <v>1.78565382639959</v>
      </c>
      <c r="G456" s="18">
        <f>_xlfn.IFNA(INDEX('Financial model inputs'!$A$2:$F$88,MATCH(F_interface!$A456&amp;RIGHT(G$2,2),'Financial model inputs'!$A$2:$A$88,0),MATCH($B456,'Financial model inputs'!$A$2:$F$2,0)),0)</f>
        <v>1.75251334436372</v>
      </c>
      <c r="H456" s="18">
        <f>_xlfn.IFNA(INDEX('Financial model inputs'!$A$2:$F$88,MATCH(F_interface!$A456&amp;RIGHT(H$2,2),'Financial model inputs'!$A$2:$A$88,0),MATCH($B456,'Financial model inputs'!$A$2:$F$2,0)),0)</f>
        <v>1.7170285593399699</v>
      </c>
      <c r="I456" s="18">
        <f>_xlfn.IFNA(INDEX('Financial model inputs'!$A$2:$F$88,MATCH(F_interface!$A456&amp;RIGHT(I$2,2),'Financial model inputs'!$A$2:$A$88,0),MATCH($B456,'Financial model inputs'!$A$2:$F$2,0)),0)</f>
        <v>1.68354988591579</v>
      </c>
      <c r="K456" s="20" t="str">
        <f t="shared" si="137"/>
        <v>YKYC_RRCAPEX_PR19CA012</v>
      </c>
    </row>
    <row r="457" spans="1:11" x14ac:dyDescent="0.25">
      <c r="A457" s="21" t="s">
        <v>28</v>
      </c>
      <c r="B457" s="8" t="s">
        <v>262</v>
      </c>
      <c r="C457" s="8" t="s">
        <v>15</v>
      </c>
      <c r="D457" s="104" t="s">
        <v>152</v>
      </c>
      <c r="E457" s="18">
        <f>_xlfn.IFNA(INDEX('Financial model inputs'!$A$2:$F$88,MATCH(F_interface!$A457&amp;RIGHT(E$2,2),'Financial model inputs'!$A$2:$A$88,0),MATCH($B457,'Financial model inputs'!$A$2:$F$2,0)),0)</f>
        <v>0.76816035650546199</v>
      </c>
      <c r="F457" s="18">
        <f>_xlfn.IFNA(INDEX('Financial model inputs'!$A$2:$F$88,MATCH(F_interface!$A457&amp;RIGHT(F$2,2),'Financial model inputs'!$A$2:$A$88,0),MATCH($B457,'Financial model inputs'!$A$2:$F$2,0)),0)</f>
        <v>0.33988393698067698</v>
      </c>
      <c r="G457" s="18">
        <f>_xlfn.IFNA(INDEX('Financial model inputs'!$A$2:$F$88,MATCH(F_interface!$A457&amp;RIGHT(G$2,2),'Financial model inputs'!$A$2:$A$88,0),MATCH($B457,'Financial model inputs'!$A$2:$F$2,0)),0)</f>
        <v>0.33364477960211802</v>
      </c>
      <c r="H457" s="18">
        <f>_xlfn.IFNA(INDEX('Financial model inputs'!$A$2:$F$88,MATCH(F_interface!$A457&amp;RIGHT(H$2,2),'Financial model inputs'!$A$2:$A$88,0),MATCH($B457,'Financial model inputs'!$A$2:$F$2,0)),0)</f>
        <v>0.32752015274577201</v>
      </c>
      <c r="I457" s="18">
        <f>_xlfn.IFNA(INDEX('Financial model inputs'!$A$2:$F$88,MATCH(F_interface!$A457&amp;RIGHT(I$2,2),'Financial model inputs'!$A$2:$A$88,0),MATCH($B457,'Financial model inputs'!$A$2:$F$2,0)),0)</f>
        <v>0.32150795400586202</v>
      </c>
      <c r="K457" s="20" t="str">
        <f t="shared" si="137"/>
        <v>AFWC_RRCAPEX_PR19CA012</v>
      </c>
    </row>
    <row r="458" spans="1:11" x14ac:dyDescent="0.25">
      <c r="A458" s="21" t="s">
        <v>29</v>
      </c>
      <c r="B458" s="8" t="s">
        <v>262</v>
      </c>
      <c r="C458" s="8" t="s">
        <v>15</v>
      </c>
      <c r="D458" s="104" t="s">
        <v>152</v>
      </c>
      <c r="E458" s="18">
        <f>_xlfn.IFNA(INDEX('Financial model inputs'!$A$2:$F$88,MATCH(F_interface!$A458&amp;RIGHT(E$2,2),'Financial model inputs'!$A$2:$A$88,0),MATCH($B458,'Financial model inputs'!$A$2:$F$2,0)),0)</f>
        <v>1.15541492087416</v>
      </c>
      <c r="F458" s="18">
        <f>_xlfn.IFNA(INDEX('Financial model inputs'!$A$2:$F$88,MATCH(F_interface!$A458&amp;RIGHT(F$2,2),'Financial model inputs'!$A$2:$A$88,0),MATCH($B458,'Financial model inputs'!$A$2:$F$2,0)),0)</f>
        <v>0.19585373420994401</v>
      </c>
      <c r="G458" s="18">
        <f>_xlfn.IFNA(INDEX('Financial model inputs'!$A$2:$F$88,MATCH(F_interface!$A458&amp;RIGHT(G$2,2),'Financial model inputs'!$A$2:$A$88,0),MATCH($B458,'Financial model inputs'!$A$2:$F$2,0)),0)</f>
        <v>0.19380722717068599</v>
      </c>
      <c r="H458" s="18">
        <f>_xlfn.IFNA(INDEX('Financial model inputs'!$A$2:$F$88,MATCH(F_interface!$A458&amp;RIGHT(H$2,2),'Financial model inputs'!$A$2:$A$88,0),MATCH($B458,'Financial model inputs'!$A$2:$F$2,0)),0)</f>
        <v>0.189996024421412</v>
      </c>
      <c r="I458" s="18">
        <f>_xlfn.IFNA(INDEX('Financial model inputs'!$A$2:$F$88,MATCH(F_interface!$A458&amp;RIGHT(I$2,2),'Financial model inputs'!$A$2:$A$88,0),MATCH($B458,'Financial model inputs'!$A$2:$F$2,0)),0)</f>
        <v>0.18716344145900099</v>
      </c>
      <c r="K458" s="20" t="str">
        <f t="shared" si="137"/>
        <v>BRLC_RRCAPEX_PR19CA012</v>
      </c>
    </row>
    <row r="459" spans="1:11" x14ac:dyDescent="0.25">
      <c r="A459" s="21" t="s">
        <v>30</v>
      </c>
      <c r="B459" s="8" t="s">
        <v>262</v>
      </c>
      <c r="C459" s="8" t="s">
        <v>15</v>
      </c>
      <c r="D459" s="104" t="s">
        <v>152</v>
      </c>
      <c r="E459" s="18">
        <f>_xlfn.IFNA(INDEX('Financial model inputs'!$A$2:$F$88,MATCH(F_interface!$A459&amp;RIGHT(E$2,2),'Financial model inputs'!$A$2:$A$88,0),MATCH($B459,'Financial model inputs'!$A$2:$F$2,0)),0)</f>
        <v>0</v>
      </c>
      <c r="F459" s="18">
        <f>_xlfn.IFNA(INDEX('Financial model inputs'!$A$2:$F$88,MATCH(F_interface!$A459&amp;RIGHT(F$2,2),'Financial model inputs'!$A$2:$A$88,0),MATCH($B459,'Financial model inputs'!$A$2:$F$2,0)),0)</f>
        <v>0</v>
      </c>
      <c r="G459" s="18">
        <f>_xlfn.IFNA(INDEX('Financial model inputs'!$A$2:$F$88,MATCH(F_interface!$A459&amp;RIGHT(G$2,2),'Financial model inputs'!$A$2:$A$88,0),MATCH($B459,'Financial model inputs'!$A$2:$F$2,0)),0)</f>
        <v>0</v>
      </c>
      <c r="H459" s="18">
        <f>_xlfn.IFNA(INDEX('Financial model inputs'!$A$2:$F$88,MATCH(F_interface!$A459&amp;RIGHT(H$2,2),'Financial model inputs'!$A$2:$A$88,0),MATCH($B459,'Financial model inputs'!$A$2:$F$2,0)),0)</f>
        <v>0</v>
      </c>
      <c r="I459" s="18">
        <f>_xlfn.IFNA(INDEX('Financial model inputs'!$A$2:$F$88,MATCH(F_interface!$A459&amp;RIGHT(I$2,2),'Financial model inputs'!$A$2:$A$88,0),MATCH($B459,'Financial model inputs'!$A$2:$F$2,0)),0)</f>
        <v>0</v>
      </c>
      <c r="K459" s="20" t="str">
        <f t="shared" si="137"/>
        <v>DVWC_RRCAPEX_PR19CA012</v>
      </c>
    </row>
    <row r="460" spans="1:11" x14ac:dyDescent="0.25">
      <c r="A460" s="21" t="s">
        <v>31</v>
      </c>
      <c r="B460" s="8" t="s">
        <v>262</v>
      </c>
      <c r="C460" s="8" t="s">
        <v>15</v>
      </c>
      <c r="D460" s="104" t="s">
        <v>152</v>
      </c>
      <c r="E460" s="18">
        <f>_xlfn.IFNA(INDEX('Financial model inputs'!$A$2:$F$88,MATCH(F_interface!$A460&amp;RIGHT(E$2,2),'Financial model inputs'!$A$2:$A$88,0),MATCH($B460,'Financial model inputs'!$A$2:$F$2,0)),0)</f>
        <v>4.9943083730993501E-2</v>
      </c>
      <c r="F460" s="18">
        <f>_xlfn.IFNA(INDEX('Financial model inputs'!$A$2:$F$88,MATCH(F_interface!$A460&amp;RIGHT(F$2,2),'Financial model inputs'!$A$2:$A$88,0),MATCH($B460,'Financial model inputs'!$A$2:$F$2,0)),0)</f>
        <v>4.9887653005431902E-2</v>
      </c>
      <c r="G460" s="18">
        <f>_xlfn.IFNA(INDEX('Financial model inputs'!$A$2:$F$88,MATCH(F_interface!$A460&amp;RIGHT(G$2,2),'Financial model inputs'!$A$2:$A$88,0),MATCH($B460,'Financial model inputs'!$A$2:$F$2,0)),0)</f>
        <v>4.9815194540645501E-2</v>
      </c>
      <c r="H460" s="18">
        <f>_xlfn.IFNA(INDEX('Financial model inputs'!$A$2:$F$88,MATCH(F_interface!$A460&amp;RIGHT(H$2,2),'Financial model inputs'!$A$2:$A$88,0),MATCH($B460,'Financial model inputs'!$A$2:$F$2,0)),0)</f>
        <v>4.9726397402427E-2</v>
      </c>
      <c r="I460" s="18">
        <f>_xlfn.IFNA(INDEX('Financial model inputs'!$A$2:$F$88,MATCH(F_interface!$A460&amp;RIGHT(I$2,2),'Financial model inputs'!$A$2:$A$88,0),MATCH($B460,'Financial model inputs'!$A$2:$F$2,0)),0)</f>
        <v>5.04924903596074E-2</v>
      </c>
      <c r="K460" s="20" t="str">
        <f t="shared" si="137"/>
        <v>PRTC_RRCAPEX_PR19CA012</v>
      </c>
    </row>
    <row r="461" spans="1:11" x14ac:dyDescent="0.25">
      <c r="A461" s="21" t="s">
        <v>32</v>
      </c>
      <c r="B461" s="8" t="s">
        <v>262</v>
      </c>
      <c r="C461" s="8" t="s">
        <v>15</v>
      </c>
      <c r="D461" s="104" t="s">
        <v>152</v>
      </c>
      <c r="E461" s="18">
        <f>_xlfn.IFNA(INDEX('Financial model inputs'!$A$2:$F$88,MATCH(F_interface!$A461&amp;RIGHT(E$2,2),'Financial model inputs'!$A$2:$A$88,0),MATCH($B461,'Financial model inputs'!$A$2:$F$2,0)),0)</f>
        <v>0.16147676600855901</v>
      </c>
      <c r="F461" s="18">
        <f>_xlfn.IFNA(INDEX('Financial model inputs'!$A$2:$F$88,MATCH(F_interface!$A461&amp;RIGHT(F$2,2),'Financial model inputs'!$A$2:$A$88,0),MATCH($B461,'Financial model inputs'!$A$2:$F$2,0)),0)</f>
        <v>0.160179904306221</v>
      </c>
      <c r="G461" s="18">
        <f>_xlfn.IFNA(INDEX('Financial model inputs'!$A$2:$F$88,MATCH(F_interface!$A461&amp;RIGHT(G$2,2),'Financial model inputs'!$A$2:$A$88,0),MATCH($B461,'Financial model inputs'!$A$2:$F$2,0)),0)</f>
        <v>0.15972018183130099</v>
      </c>
      <c r="H461" s="18">
        <f>_xlfn.IFNA(INDEX('Financial model inputs'!$A$2:$F$88,MATCH(F_interface!$A461&amp;RIGHT(H$2,2),'Financial model inputs'!$A$2:$A$88,0),MATCH($B461,'Financial model inputs'!$A$2:$F$2,0)),0)</f>
        <v>0.11324853201273399</v>
      </c>
      <c r="I461" s="18">
        <f>_xlfn.IFNA(INDEX('Financial model inputs'!$A$2:$F$88,MATCH(F_interface!$A461&amp;RIGHT(I$2,2),'Financial model inputs'!$A$2:$A$88,0),MATCH($B461,'Financial model inputs'!$A$2:$F$2,0)),0)</f>
        <v>0.110150634579375</v>
      </c>
      <c r="K461" s="20" t="str">
        <f t="shared" si="137"/>
        <v>SESC_RRCAPEX_PR19CA012</v>
      </c>
    </row>
    <row r="462" spans="1:11" x14ac:dyDescent="0.25">
      <c r="A462" s="21" t="s">
        <v>33</v>
      </c>
      <c r="B462" s="8" t="s">
        <v>262</v>
      </c>
      <c r="C462" s="8" t="s">
        <v>15</v>
      </c>
      <c r="D462" s="104" t="s">
        <v>152</v>
      </c>
      <c r="E462" s="18">
        <f>_xlfn.IFNA(INDEX('Financial model inputs'!$A$2:$F$88,MATCH(F_interface!$A462&amp;RIGHT(E$2,2),'Financial model inputs'!$A$2:$A$88,0),MATCH($B462,'Financial model inputs'!$A$2:$F$2,0)),0)</f>
        <v>0.51267303174964196</v>
      </c>
      <c r="F462" s="18">
        <f>_xlfn.IFNA(INDEX('Financial model inputs'!$A$2:$F$88,MATCH(F_interface!$A462&amp;RIGHT(F$2,2),'Financial model inputs'!$A$2:$A$88,0),MATCH($B462,'Financial model inputs'!$A$2:$F$2,0)),0)</f>
        <v>0.49380472932778102</v>
      </c>
      <c r="G462" s="18">
        <f>_xlfn.IFNA(INDEX('Financial model inputs'!$A$2:$F$88,MATCH(F_interface!$A462&amp;RIGHT(G$2,2),'Financial model inputs'!$A$2:$A$88,0),MATCH($B462,'Financial model inputs'!$A$2:$F$2,0)),0)</f>
        <v>0.50286842297307199</v>
      </c>
      <c r="H462" s="18">
        <f>_xlfn.IFNA(INDEX('Financial model inputs'!$A$2:$F$88,MATCH(F_interface!$A462&amp;RIGHT(H$2,2),'Financial model inputs'!$A$2:$A$88,0),MATCH($B462,'Financial model inputs'!$A$2:$F$2,0)),0)</f>
        <v>0.45824604594575302</v>
      </c>
      <c r="I462" s="18">
        <f>_xlfn.IFNA(INDEX('Financial model inputs'!$A$2:$F$88,MATCH(F_interface!$A462&amp;RIGHT(I$2,2),'Financial model inputs'!$A$2:$A$88,0),MATCH($B462,'Financial model inputs'!$A$2:$F$2,0)),0)</f>
        <v>0.44056224561403701</v>
      </c>
      <c r="K462" s="20" t="str">
        <f t="shared" si="137"/>
        <v>SEWC_RRCAPEX_PR19CA012</v>
      </c>
    </row>
    <row r="463" spans="1:11" x14ac:dyDescent="0.25">
      <c r="A463" s="21" t="s">
        <v>34</v>
      </c>
      <c r="B463" s="8" t="s">
        <v>262</v>
      </c>
      <c r="C463" s="8" t="s">
        <v>15</v>
      </c>
      <c r="D463" s="104" t="s">
        <v>152</v>
      </c>
      <c r="E463" s="18">
        <f>_xlfn.IFNA(INDEX('Financial model inputs'!$A$2:$F$88,MATCH(F_interface!$A463&amp;RIGHT(E$2,2),'Financial model inputs'!$A$2:$A$88,0),MATCH($B463,'Financial model inputs'!$A$2:$F$2,0)),0)</f>
        <v>0.38893801180414</v>
      </c>
      <c r="F463" s="18">
        <f>_xlfn.IFNA(INDEX('Financial model inputs'!$A$2:$F$88,MATCH(F_interface!$A463&amp;RIGHT(F$2,2),'Financial model inputs'!$A$2:$A$88,0),MATCH($B463,'Financial model inputs'!$A$2:$F$2,0)),0)</f>
        <v>0.412354371393026</v>
      </c>
      <c r="G463" s="18">
        <f>_xlfn.IFNA(INDEX('Financial model inputs'!$A$2:$F$88,MATCH(F_interface!$A463&amp;RIGHT(G$2,2),'Financial model inputs'!$A$2:$A$88,0),MATCH($B463,'Financial model inputs'!$A$2:$F$2,0)),0)</f>
        <v>0.41964892263169201</v>
      </c>
      <c r="H463" s="18">
        <f>_xlfn.IFNA(INDEX('Financial model inputs'!$A$2:$F$88,MATCH(F_interface!$A463&amp;RIGHT(H$2,2),'Financial model inputs'!$A$2:$A$88,0),MATCH($B463,'Financial model inputs'!$A$2:$F$2,0)),0)</f>
        <v>0.44530068586643901</v>
      </c>
      <c r="I463" s="18">
        <f>_xlfn.IFNA(INDEX('Financial model inputs'!$A$2:$F$88,MATCH(F_interface!$A463&amp;RIGHT(I$2,2),'Financial model inputs'!$A$2:$A$88,0),MATCH($B463,'Financial model inputs'!$A$2:$F$2,0)),0)</f>
        <v>0.47463215765016098</v>
      </c>
      <c r="K463" s="20" t="str">
        <f t="shared" si="137"/>
        <v>SSCC_RRCAPEX_PR19CA012</v>
      </c>
    </row>
    <row r="464" spans="1:11" x14ac:dyDescent="0.25">
      <c r="A464" s="120" t="s">
        <v>20</v>
      </c>
      <c r="B464" s="8" t="s">
        <v>276</v>
      </c>
      <c r="C464" s="8" t="s">
        <v>15</v>
      </c>
      <c r="D464" s="104" t="s">
        <v>152</v>
      </c>
      <c r="E464" s="18">
        <f>_xlfn.IFNA(INDEX('Financial model inputs'!$A$2:$G$88,MATCH(F_interface!$A464&amp;RIGHT(E$2,2),'Financial model inputs'!$A$2:$A$88,0),MATCH($B464,'Financial model inputs'!$A$2:$G$2,0)),0)</f>
        <v>0</v>
      </c>
      <c r="F464" s="18">
        <f>_xlfn.IFNA(INDEX('Financial model inputs'!$A$2:$G$88,MATCH(F_interface!$A464&amp;RIGHT(F$2,2),'Financial model inputs'!$A$2:$A$88,0),MATCH($B464,'Financial model inputs'!$A$2:$G$2,0)),0)</f>
        <v>0</v>
      </c>
      <c r="G464" s="18">
        <f>_xlfn.IFNA(INDEX('Financial model inputs'!$A$2:$G$88,MATCH(F_interface!$A464&amp;RIGHT(G$2,2),'Financial model inputs'!$A$2:$A$88,0),MATCH($B464,'Financial model inputs'!$A$2:$G$2,0)),0)</f>
        <v>0</v>
      </c>
      <c r="H464" s="18">
        <f>_xlfn.IFNA(INDEX('Financial model inputs'!$A$2:$G$88,MATCH(F_interface!$A464&amp;RIGHT(H$2,2),'Financial model inputs'!$A$2:$A$88,0),MATCH($B464,'Financial model inputs'!$A$2:$G$2,0)),0)</f>
        <v>0</v>
      </c>
      <c r="I464" s="18">
        <f>_xlfn.IFNA(INDEX('Financial model inputs'!$A$2:$G$88,MATCH(F_interface!$A464&amp;RIGHT(I$2,2),'Financial model inputs'!$A$2:$A$88,0),MATCH($B464,'Financial model inputs'!$A$2:$G$2,0)),0)</f>
        <v>0</v>
      </c>
      <c r="K464" s="20" t="str">
        <f t="shared" si="137"/>
        <v>ANHC_RR3PARTY_PR19CA012</v>
      </c>
    </row>
    <row r="465" spans="1:11" x14ac:dyDescent="0.25">
      <c r="A465" s="120" t="s">
        <v>157</v>
      </c>
      <c r="B465" s="8" t="s">
        <v>276</v>
      </c>
      <c r="C465" s="8" t="s">
        <v>15</v>
      </c>
      <c r="D465" s="104" t="s">
        <v>152</v>
      </c>
      <c r="E465" s="18">
        <f>_xlfn.IFNA(INDEX('Financial model inputs'!$A$2:$G$88,MATCH(F_interface!$A465&amp;RIGHT(E$2,2),'Financial model inputs'!$A$2:$A$88,0),MATCH($B465,'Financial model inputs'!$A$2:$G$2,0)),0)</f>
        <v>0</v>
      </c>
      <c r="F465" s="18">
        <f>_xlfn.IFNA(INDEX('Financial model inputs'!$A$2:$G$88,MATCH(F_interface!$A465&amp;RIGHT(F$2,2),'Financial model inputs'!$A$2:$A$88,0),MATCH($B465,'Financial model inputs'!$A$2:$G$2,0)),0)</f>
        <v>0</v>
      </c>
      <c r="G465" s="18">
        <f>_xlfn.IFNA(INDEX('Financial model inputs'!$A$2:$G$88,MATCH(F_interface!$A465&amp;RIGHT(G$2,2),'Financial model inputs'!$A$2:$A$88,0),MATCH($B465,'Financial model inputs'!$A$2:$G$2,0)),0)</f>
        <v>0</v>
      </c>
      <c r="H465" s="18">
        <f>_xlfn.IFNA(INDEX('Financial model inputs'!$A$2:$G$88,MATCH(F_interface!$A465&amp;RIGHT(H$2,2),'Financial model inputs'!$A$2:$A$88,0),MATCH($B465,'Financial model inputs'!$A$2:$G$2,0)),0)</f>
        <v>0</v>
      </c>
      <c r="I465" s="18">
        <f>_xlfn.IFNA(INDEX('Financial model inputs'!$A$2:$G$88,MATCH(F_interface!$A465&amp;RIGHT(I$2,2),'Financial model inputs'!$A$2:$A$88,0),MATCH($B465,'Financial model inputs'!$A$2:$G$2,0)),0)</f>
        <v>0</v>
      </c>
      <c r="K465" s="20" t="str">
        <f t="shared" si="137"/>
        <v>HDDC_RR3PARTY_PR19CA012</v>
      </c>
    </row>
    <row r="466" spans="1:11" x14ac:dyDescent="0.25">
      <c r="A466" s="120" t="s">
        <v>21</v>
      </c>
      <c r="B466" s="8" t="s">
        <v>276</v>
      </c>
      <c r="C466" s="8" t="s">
        <v>15</v>
      </c>
      <c r="D466" s="104" t="s">
        <v>152</v>
      </c>
      <c r="E466" s="18">
        <f>_xlfn.IFNA(INDEX('Financial model inputs'!$A$2:$G$88,MATCH(F_interface!$A466&amp;RIGHT(E$2,2),'Financial model inputs'!$A$2:$A$88,0),MATCH($B466,'Financial model inputs'!$A$2:$G$2,0)),0)</f>
        <v>0</v>
      </c>
      <c r="F466" s="18">
        <f>_xlfn.IFNA(INDEX('Financial model inputs'!$A$2:$G$88,MATCH(F_interface!$A466&amp;RIGHT(F$2,2),'Financial model inputs'!$A$2:$A$88,0),MATCH($B466,'Financial model inputs'!$A$2:$G$2,0)),0)</f>
        <v>0</v>
      </c>
      <c r="G466" s="18">
        <f>_xlfn.IFNA(INDEX('Financial model inputs'!$A$2:$G$88,MATCH(F_interface!$A466&amp;RIGHT(G$2,2),'Financial model inputs'!$A$2:$A$88,0),MATCH($B466,'Financial model inputs'!$A$2:$G$2,0)),0)</f>
        <v>0</v>
      </c>
      <c r="H466" s="18">
        <f>_xlfn.IFNA(INDEX('Financial model inputs'!$A$2:$G$88,MATCH(F_interface!$A466&amp;RIGHT(H$2,2),'Financial model inputs'!$A$2:$A$88,0),MATCH($B466,'Financial model inputs'!$A$2:$G$2,0)),0)</f>
        <v>0</v>
      </c>
      <c r="I466" s="18">
        <f>_xlfn.IFNA(INDEX('Financial model inputs'!$A$2:$G$88,MATCH(F_interface!$A466&amp;RIGHT(I$2,2),'Financial model inputs'!$A$2:$A$88,0),MATCH($B466,'Financial model inputs'!$A$2:$G$2,0)),0)</f>
        <v>0</v>
      </c>
      <c r="K466" s="20" t="str">
        <f t="shared" si="137"/>
        <v>NESC_RR3PARTY_PR19CA012</v>
      </c>
    </row>
    <row r="467" spans="1:11" x14ac:dyDescent="0.25">
      <c r="A467" s="120" t="s">
        <v>22</v>
      </c>
      <c r="B467" s="8" t="s">
        <v>276</v>
      </c>
      <c r="C467" s="8" t="s">
        <v>15</v>
      </c>
      <c r="D467" s="104" t="s">
        <v>152</v>
      </c>
      <c r="E467" s="18">
        <f>_xlfn.IFNA(INDEX('Financial model inputs'!$A$2:$G$88,MATCH(F_interface!$A467&amp;RIGHT(E$2,2),'Financial model inputs'!$A$2:$A$88,0),MATCH($B467,'Financial model inputs'!$A$2:$G$2,0)),0)</f>
        <v>0</v>
      </c>
      <c r="F467" s="18">
        <f>_xlfn.IFNA(INDEX('Financial model inputs'!$A$2:$G$88,MATCH(F_interface!$A467&amp;RIGHT(F$2,2),'Financial model inputs'!$A$2:$A$88,0),MATCH($B467,'Financial model inputs'!$A$2:$G$2,0)),0)</f>
        <v>0</v>
      </c>
      <c r="G467" s="18">
        <f>_xlfn.IFNA(INDEX('Financial model inputs'!$A$2:$G$88,MATCH(F_interface!$A467&amp;RIGHT(G$2,2),'Financial model inputs'!$A$2:$A$88,0),MATCH($B467,'Financial model inputs'!$A$2:$G$2,0)),0)</f>
        <v>0</v>
      </c>
      <c r="H467" s="18">
        <f>_xlfn.IFNA(INDEX('Financial model inputs'!$A$2:$G$88,MATCH(F_interface!$A467&amp;RIGHT(H$2,2),'Financial model inputs'!$A$2:$A$88,0),MATCH($B467,'Financial model inputs'!$A$2:$G$2,0)),0)</f>
        <v>0</v>
      </c>
      <c r="I467" s="18">
        <f>_xlfn.IFNA(INDEX('Financial model inputs'!$A$2:$G$88,MATCH(F_interface!$A467&amp;RIGHT(I$2,2),'Financial model inputs'!$A$2:$A$88,0),MATCH($B467,'Financial model inputs'!$A$2:$G$2,0)),0)</f>
        <v>0</v>
      </c>
      <c r="K467" s="20" t="str">
        <f t="shared" si="137"/>
        <v>NWTC_RR3PARTY_PR19CA012</v>
      </c>
    </row>
    <row r="468" spans="1:11" x14ac:dyDescent="0.25">
      <c r="A468" s="120" t="s">
        <v>23</v>
      </c>
      <c r="B468" s="8" t="s">
        <v>276</v>
      </c>
      <c r="C468" s="8" t="s">
        <v>15</v>
      </c>
      <c r="D468" s="104" t="s">
        <v>152</v>
      </c>
      <c r="E468" s="18">
        <f>_xlfn.IFNA(INDEX('Financial model inputs'!$A$2:$G$88,MATCH(F_interface!$A468&amp;RIGHT(E$2,2),'Financial model inputs'!$A$2:$A$88,0),MATCH($B468,'Financial model inputs'!$A$2:$G$2,0)),0)</f>
        <v>0</v>
      </c>
      <c r="F468" s="18">
        <f>_xlfn.IFNA(INDEX('Financial model inputs'!$A$2:$G$88,MATCH(F_interface!$A468&amp;RIGHT(F$2,2),'Financial model inputs'!$A$2:$A$88,0),MATCH($B468,'Financial model inputs'!$A$2:$G$2,0)),0)</f>
        <v>0</v>
      </c>
      <c r="G468" s="18">
        <f>_xlfn.IFNA(INDEX('Financial model inputs'!$A$2:$G$88,MATCH(F_interface!$A468&amp;RIGHT(G$2,2),'Financial model inputs'!$A$2:$A$88,0),MATCH($B468,'Financial model inputs'!$A$2:$G$2,0)),0)</f>
        <v>0</v>
      </c>
      <c r="H468" s="18">
        <f>_xlfn.IFNA(INDEX('Financial model inputs'!$A$2:$G$88,MATCH(F_interface!$A468&amp;RIGHT(H$2,2),'Financial model inputs'!$A$2:$A$88,0),MATCH($B468,'Financial model inputs'!$A$2:$G$2,0)),0)</f>
        <v>0</v>
      </c>
      <c r="I468" s="18">
        <f>_xlfn.IFNA(INDEX('Financial model inputs'!$A$2:$G$88,MATCH(F_interface!$A468&amp;RIGHT(I$2,2),'Financial model inputs'!$A$2:$A$88,0),MATCH($B468,'Financial model inputs'!$A$2:$G$2,0)),0)</f>
        <v>0</v>
      </c>
      <c r="K468" s="20" t="str">
        <f t="shared" si="137"/>
        <v>SRNC_RR3PARTY_PR19CA012</v>
      </c>
    </row>
    <row r="469" spans="1:11" x14ac:dyDescent="0.25">
      <c r="A469" s="120" t="s">
        <v>156</v>
      </c>
      <c r="B469" s="8" t="s">
        <v>276</v>
      </c>
      <c r="C469" s="8" t="s">
        <v>15</v>
      </c>
      <c r="D469" s="104" t="s">
        <v>152</v>
      </c>
      <c r="E469" s="18">
        <f>_xlfn.IFNA(INDEX('Financial model inputs'!$A$2:$G$88,MATCH(F_interface!$A469&amp;RIGHT(E$2,2),'Financial model inputs'!$A$2:$A$88,0),MATCH($B469,'Financial model inputs'!$A$2:$G$2,0)),0)</f>
        <v>0</v>
      </c>
      <c r="F469" s="18">
        <f>_xlfn.IFNA(INDEX('Financial model inputs'!$A$2:$G$88,MATCH(F_interface!$A469&amp;RIGHT(F$2,2),'Financial model inputs'!$A$2:$A$88,0),MATCH($B469,'Financial model inputs'!$A$2:$G$2,0)),0)</f>
        <v>0</v>
      </c>
      <c r="G469" s="18">
        <f>_xlfn.IFNA(INDEX('Financial model inputs'!$A$2:$G$88,MATCH(F_interface!$A469&amp;RIGHT(G$2,2),'Financial model inputs'!$A$2:$A$88,0),MATCH($B469,'Financial model inputs'!$A$2:$G$2,0)),0)</f>
        <v>0</v>
      </c>
      <c r="H469" s="18">
        <f>_xlfn.IFNA(INDEX('Financial model inputs'!$A$2:$G$88,MATCH(F_interface!$A469&amp;RIGHT(H$2,2),'Financial model inputs'!$A$2:$A$88,0),MATCH($B469,'Financial model inputs'!$A$2:$G$2,0)),0)</f>
        <v>0</v>
      </c>
      <c r="I469" s="18">
        <f>_xlfn.IFNA(INDEX('Financial model inputs'!$A$2:$G$88,MATCH(F_interface!$A469&amp;RIGHT(I$2,2),'Financial model inputs'!$A$2:$A$88,0),MATCH($B469,'Financial model inputs'!$A$2:$G$2,0)),0)</f>
        <v>0</v>
      </c>
      <c r="K469" s="20" t="str">
        <f t="shared" si="137"/>
        <v>SVEC_RR3PARTY_PR19CA012</v>
      </c>
    </row>
    <row r="470" spans="1:11" x14ac:dyDescent="0.25">
      <c r="A470" s="120" t="s">
        <v>232</v>
      </c>
      <c r="B470" s="8" t="s">
        <v>276</v>
      </c>
      <c r="C470" s="8" t="s">
        <v>15</v>
      </c>
      <c r="D470" s="104" t="s">
        <v>152</v>
      </c>
      <c r="E470" s="18">
        <f>_xlfn.IFNA(INDEX('Financial model inputs'!$A$2:$G$88,MATCH(F_interface!$A470&amp;RIGHT(E$2,2),'Financial model inputs'!$A$2:$A$88,0),MATCH($B470,'Financial model inputs'!$A$2:$G$2,0)),0)</f>
        <v>0</v>
      </c>
      <c r="F470" s="18">
        <f>_xlfn.IFNA(INDEX('Financial model inputs'!$A$2:$G$88,MATCH(F_interface!$A470&amp;RIGHT(F$2,2),'Financial model inputs'!$A$2:$A$88,0),MATCH($B470,'Financial model inputs'!$A$2:$G$2,0)),0)</f>
        <v>0</v>
      </c>
      <c r="G470" s="18">
        <f>_xlfn.IFNA(INDEX('Financial model inputs'!$A$2:$G$88,MATCH(F_interface!$A470&amp;RIGHT(G$2,2),'Financial model inputs'!$A$2:$A$88,0),MATCH($B470,'Financial model inputs'!$A$2:$G$2,0)),0)</f>
        <v>0</v>
      </c>
      <c r="H470" s="18">
        <f>_xlfn.IFNA(INDEX('Financial model inputs'!$A$2:$G$88,MATCH(F_interface!$A470&amp;RIGHT(H$2,2),'Financial model inputs'!$A$2:$A$88,0),MATCH($B470,'Financial model inputs'!$A$2:$G$2,0)),0)</f>
        <v>0</v>
      </c>
      <c r="I470" s="18">
        <f>_xlfn.IFNA(INDEX('Financial model inputs'!$A$2:$G$88,MATCH(F_interface!$A470&amp;RIGHT(I$2,2),'Financial model inputs'!$A$2:$A$88,0),MATCH($B470,'Financial model inputs'!$A$2:$G$2,0)),0)</f>
        <v>0</v>
      </c>
      <c r="K470" s="20" t="str">
        <f t="shared" si="137"/>
        <v>SVHC_RR3PARTY_PR19CA012</v>
      </c>
    </row>
    <row r="471" spans="1:11" x14ac:dyDescent="0.25">
      <c r="A471" s="120" t="s">
        <v>24</v>
      </c>
      <c r="B471" s="8" t="s">
        <v>276</v>
      </c>
      <c r="C471" s="8" t="s">
        <v>15</v>
      </c>
      <c r="D471" s="104" t="s">
        <v>152</v>
      </c>
      <c r="E471" s="18">
        <f>_xlfn.IFNA(INDEX('Financial model inputs'!$A$2:$G$88,MATCH(F_interface!$A471&amp;RIGHT(E$2,2),'Financial model inputs'!$A$2:$A$88,0),MATCH($B471,'Financial model inputs'!$A$2:$G$2,0)),0)</f>
        <v>0</v>
      </c>
      <c r="F471" s="18">
        <f>_xlfn.IFNA(INDEX('Financial model inputs'!$A$2:$G$88,MATCH(F_interface!$A471&amp;RIGHT(F$2,2),'Financial model inputs'!$A$2:$A$88,0),MATCH($B471,'Financial model inputs'!$A$2:$G$2,0)),0)</f>
        <v>0</v>
      </c>
      <c r="G471" s="18">
        <f>_xlfn.IFNA(INDEX('Financial model inputs'!$A$2:$G$88,MATCH(F_interface!$A471&amp;RIGHT(G$2,2),'Financial model inputs'!$A$2:$A$88,0),MATCH($B471,'Financial model inputs'!$A$2:$G$2,0)),0)</f>
        <v>0</v>
      </c>
      <c r="H471" s="18">
        <f>_xlfn.IFNA(INDEX('Financial model inputs'!$A$2:$G$88,MATCH(F_interface!$A471&amp;RIGHT(H$2,2),'Financial model inputs'!$A$2:$A$88,0),MATCH($B471,'Financial model inputs'!$A$2:$G$2,0)),0)</f>
        <v>0</v>
      </c>
      <c r="I471" s="18">
        <f>_xlfn.IFNA(INDEX('Financial model inputs'!$A$2:$G$88,MATCH(F_interface!$A471&amp;RIGHT(I$2,2),'Financial model inputs'!$A$2:$A$88,0),MATCH($B471,'Financial model inputs'!$A$2:$G$2,0)),0)</f>
        <v>0</v>
      </c>
      <c r="K471" s="20" t="str">
        <f t="shared" si="137"/>
        <v>SVTC_RR3PARTY_PR19CA012</v>
      </c>
    </row>
    <row r="472" spans="1:11" x14ac:dyDescent="0.25">
      <c r="A472" s="21" t="s">
        <v>35</v>
      </c>
      <c r="B472" s="8" t="s">
        <v>276</v>
      </c>
      <c r="C472" s="8" t="s">
        <v>15</v>
      </c>
      <c r="D472" s="104" t="s">
        <v>152</v>
      </c>
      <c r="E472" s="18">
        <f>_xlfn.IFNA(INDEX('Financial model inputs'!$A$2:$G$88,MATCH(F_interface!$A472&amp;RIGHT(E$2,2),'Financial model inputs'!$A$2:$A$88,0),MATCH($B472,'Financial model inputs'!$A$2:$G$2,0)),0)</f>
        <v>0</v>
      </c>
      <c r="F472" s="18">
        <f>_xlfn.IFNA(INDEX('Financial model inputs'!$A$2:$G$88,MATCH(F_interface!$A472&amp;RIGHT(F$2,2),'Financial model inputs'!$A$2:$A$88,0),MATCH($B472,'Financial model inputs'!$A$2:$G$2,0)),0)</f>
        <v>0</v>
      </c>
      <c r="G472" s="18">
        <f>_xlfn.IFNA(INDEX('Financial model inputs'!$A$2:$G$88,MATCH(F_interface!$A472&amp;RIGHT(G$2,2),'Financial model inputs'!$A$2:$A$88,0),MATCH($B472,'Financial model inputs'!$A$2:$G$2,0)),0)</f>
        <v>0</v>
      </c>
      <c r="H472" s="18">
        <f>_xlfn.IFNA(INDEX('Financial model inputs'!$A$2:$G$88,MATCH(F_interface!$A472&amp;RIGHT(H$2,2),'Financial model inputs'!$A$2:$A$88,0),MATCH($B472,'Financial model inputs'!$A$2:$G$2,0)),0)</f>
        <v>0</v>
      </c>
      <c r="I472" s="18">
        <f>_xlfn.IFNA(INDEX('Financial model inputs'!$A$2:$G$88,MATCH(F_interface!$A472&amp;RIGHT(I$2,2),'Financial model inputs'!$A$2:$A$88,0),MATCH($B472,'Financial model inputs'!$A$2:$G$2,0)),0)</f>
        <v>0</v>
      </c>
      <c r="K472" s="20" t="str">
        <f t="shared" si="137"/>
        <v>SWBC_RR3PARTY_PR19CA012</v>
      </c>
    </row>
    <row r="473" spans="1:11" x14ac:dyDescent="0.25">
      <c r="A473" s="21" t="s">
        <v>25</v>
      </c>
      <c r="B473" s="8" t="s">
        <v>276</v>
      </c>
      <c r="C473" s="8" t="s">
        <v>15</v>
      </c>
      <c r="D473" s="104" t="s">
        <v>152</v>
      </c>
      <c r="E473" s="18">
        <f>_xlfn.IFNA(INDEX('Financial model inputs'!$A$2:$G$88,MATCH(F_interface!$A473&amp;RIGHT(E$2,2),'Financial model inputs'!$A$2:$A$88,0),MATCH($B473,'Financial model inputs'!$A$2:$G$2,0)),0)</f>
        <v>0</v>
      </c>
      <c r="F473" s="18">
        <f>_xlfn.IFNA(INDEX('Financial model inputs'!$A$2:$G$88,MATCH(F_interface!$A473&amp;RIGHT(F$2,2),'Financial model inputs'!$A$2:$A$88,0),MATCH($B473,'Financial model inputs'!$A$2:$G$2,0)),0)</f>
        <v>0</v>
      </c>
      <c r="G473" s="18">
        <f>_xlfn.IFNA(INDEX('Financial model inputs'!$A$2:$G$88,MATCH(F_interface!$A473&amp;RIGHT(G$2,2),'Financial model inputs'!$A$2:$A$88,0),MATCH($B473,'Financial model inputs'!$A$2:$G$2,0)),0)</f>
        <v>0</v>
      </c>
      <c r="H473" s="18">
        <f>_xlfn.IFNA(INDEX('Financial model inputs'!$A$2:$G$88,MATCH(F_interface!$A473&amp;RIGHT(H$2,2),'Financial model inputs'!$A$2:$A$88,0),MATCH($B473,'Financial model inputs'!$A$2:$G$2,0)),0)</f>
        <v>0</v>
      </c>
      <c r="I473" s="18">
        <f>_xlfn.IFNA(INDEX('Financial model inputs'!$A$2:$G$88,MATCH(F_interface!$A473&amp;RIGHT(I$2,2),'Financial model inputs'!$A$2:$A$88,0),MATCH($B473,'Financial model inputs'!$A$2:$G$2,0)),0)</f>
        <v>0</v>
      </c>
      <c r="K473" s="20" t="str">
        <f t="shared" si="137"/>
        <v>TMSC_RR3PARTY_PR19CA012</v>
      </c>
    </row>
    <row r="474" spans="1:11" x14ac:dyDescent="0.25">
      <c r="A474" s="21" t="s">
        <v>41</v>
      </c>
      <c r="B474" s="8" t="s">
        <v>276</v>
      </c>
      <c r="C474" s="8" t="s">
        <v>15</v>
      </c>
      <c r="D474" s="104" t="s">
        <v>152</v>
      </c>
      <c r="E474" s="18">
        <f>_xlfn.IFNA(INDEX('Financial model inputs'!$A$2:$G$88,MATCH(F_interface!$A474&amp;RIGHT(E$2,2),'Financial model inputs'!$A$2:$A$88,0),MATCH($B474,'Financial model inputs'!$A$2:$G$2,0)),0)</f>
        <v>0</v>
      </c>
      <c r="F474" s="18">
        <f>_xlfn.IFNA(INDEX('Financial model inputs'!$A$2:$G$88,MATCH(F_interface!$A474&amp;RIGHT(F$2,2),'Financial model inputs'!$A$2:$A$88,0),MATCH($B474,'Financial model inputs'!$A$2:$G$2,0)),0)</f>
        <v>0</v>
      </c>
      <c r="G474" s="18">
        <f>_xlfn.IFNA(INDEX('Financial model inputs'!$A$2:$G$88,MATCH(F_interface!$A474&amp;RIGHT(G$2,2),'Financial model inputs'!$A$2:$A$88,0),MATCH($B474,'Financial model inputs'!$A$2:$G$2,0)),0)</f>
        <v>0</v>
      </c>
      <c r="H474" s="18">
        <f>_xlfn.IFNA(INDEX('Financial model inputs'!$A$2:$G$88,MATCH(F_interface!$A474&amp;RIGHT(H$2,2),'Financial model inputs'!$A$2:$A$88,0),MATCH($B474,'Financial model inputs'!$A$2:$G$2,0)),0)</f>
        <v>0</v>
      </c>
      <c r="I474" s="18">
        <f>_xlfn.IFNA(INDEX('Financial model inputs'!$A$2:$G$88,MATCH(F_interface!$A474&amp;RIGHT(I$2,2),'Financial model inputs'!$A$2:$A$88,0),MATCH($B474,'Financial model inputs'!$A$2:$G$2,0)),0)</f>
        <v>0</v>
      </c>
      <c r="K474" s="20" t="str">
        <f t="shared" si="137"/>
        <v>WSHC_RR3PARTY_PR19CA012</v>
      </c>
    </row>
    <row r="475" spans="1:11" x14ac:dyDescent="0.25">
      <c r="A475" s="21" t="s">
        <v>26</v>
      </c>
      <c r="B475" s="8" t="s">
        <v>276</v>
      </c>
      <c r="C475" s="8" t="s">
        <v>15</v>
      </c>
      <c r="D475" s="104" t="s">
        <v>152</v>
      </c>
      <c r="E475" s="18">
        <f>_xlfn.IFNA(INDEX('Financial model inputs'!$A$2:$G$88,MATCH(F_interface!$A475&amp;RIGHT(E$2,2),'Financial model inputs'!$A$2:$A$88,0),MATCH($B475,'Financial model inputs'!$A$2:$G$2,0)),0)</f>
        <v>0</v>
      </c>
      <c r="F475" s="18">
        <f>_xlfn.IFNA(INDEX('Financial model inputs'!$A$2:$G$88,MATCH(F_interface!$A475&amp;RIGHT(F$2,2),'Financial model inputs'!$A$2:$A$88,0),MATCH($B475,'Financial model inputs'!$A$2:$G$2,0)),0)</f>
        <v>0</v>
      </c>
      <c r="G475" s="18">
        <f>_xlfn.IFNA(INDEX('Financial model inputs'!$A$2:$G$88,MATCH(F_interface!$A475&amp;RIGHT(G$2,2),'Financial model inputs'!$A$2:$A$88,0),MATCH($B475,'Financial model inputs'!$A$2:$G$2,0)),0)</f>
        <v>0</v>
      </c>
      <c r="H475" s="18">
        <f>_xlfn.IFNA(INDEX('Financial model inputs'!$A$2:$G$88,MATCH(F_interface!$A475&amp;RIGHT(H$2,2),'Financial model inputs'!$A$2:$A$88,0),MATCH($B475,'Financial model inputs'!$A$2:$G$2,0)),0)</f>
        <v>0</v>
      </c>
      <c r="I475" s="18">
        <f>_xlfn.IFNA(INDEX('Financial model inputs'!$A$2:$G$88,MATCH(F_interface!$A475&amp;RIGHT(I$2,2),'Financial model inputs'!$A$2:$A$88,0),MATCH($B475,'Financial model inputs'!$A$2:$G$2,0)),0)</f>
        <v>0</v>
      </c>
      <c r="K475" s="20" t="str">
        <f t="shared" si="137"/>
        <v>WSXC_RR3PARTY_PR19CA012</v>
      </c>
    </row>
    <row r="476" spans="1:11" x14ac:dyDescent="0.25">
      <c r="A476" s="21" t="s">
        <v>27</v>
      </c>
      <c r="B476" s="8" t="s">
        <v>276</v>
      </c>
      <c r="C476" s="8" t="s">
        <v>15</v>
      </c>
      <c r="D476" s="104" t="s">
        <v>152</v>
      </c>
      <c r="E476" s="18">
        <f>_xlfn.IFNA(INDEX('Financial model inputs'!$A$2:$G$88,MATCH(F_interface!$A476&amp;RIGHT(E$2,2),'Financial model inputs'!$A$2:$A$88,0),MATCH($B476,'Financial model inputs'!$A$2:$G$2,0)),0)</f>
        <v>0</v>
      </c>
      <c r="F476" s="18">
        <f>_xlfn.IFNA(INDEX('Financial model inputs'!$A$2:$G$88,MATCH(F_interface!$A476&amp;RIGHT(F$2,2),'Financial model inputs'!$A$2:$A$88,0),MATCH($B476,'Financial model inputs'!$A$2:$G$2,0)),0)</f>
        <v>0</v>
      </c>
      <c r="G476" s="18">
        <f>_xlfn.IFNA(INDEX('Financial model inputs'!$A$2:$G$88,MATCH(F_interface!$A476&amp;RIGHT(G$2,2),'Financial model inputs'!$A$2:$A$88,0),MATCH($B476,'Financial model inputs'!$A$2:$G$2,0)),0)</f>
        <v>0</v>
      </c>
      <c r="H476" s="18">
        <f>_xlfn.IFNA(INDEX('Financial model inputs'!$A$2:$G$88,MATCH(F_interface!$A476&amp;RIGHT(H$2,2),'Financial model inputs'!$A$2:$A$88,0),MATCH($B476,'Financial model inputs'!$A$2:$G$2,0)),0)</f>
        <v>0</v>
      </c>
      <c r="I476" s="18">
        <f>_xlfn.IFNA(INDEX('Financial model inputs'!$A$2:$G$88,MATCH(F_interface!$A476&amp;RIGHT(I$2,2),'Financial model inputs'!$A$2:$A$88,0),MATCH($B476,'Financial model inputs'!$A$2:$G$2,0)),0)</f>
        <v>0</v>
      </c>
      <c r="K476" s="20" t="str">
        <f t="shared" si="137"/>
        <v>YKYC_RR3PARTY_PR19CA012</v>
      </c>
    </row>
    <row r="477" spans="1:11" x14ac:dyDescent="0.25">
      <c r="A477" s="21" t="s">
        <v>28</v>
      </c>
      <c r="B477" s="8" t="s">
        <v>276</v>
      </c>
      <c r="C477" s="8" t="s">
        <v>15</v>
      </c>
      <c r="D477" s="104" t="s">
        <v>152</v>
      </c>
      <c r="E477" s="18">
        <f>_xlfn.IFNA(INDEX('Financial model inputs'!$A$2:$G$88,MATCH(F_interface!$A477&amp;RIGHT(E$2,2),'Financial model inputs'!$A$2:$A$88,0),MATCH($B477,'Financial model inputs'!$A$2:$G$2,0)),0)</f>
        <v>0</v>
      </c>
      <c r="F477" s="18">
        <f>_xlfn.IFNA(INDEX('Financial model inputs'!$A$2:$G$88,MATCH(F_interface!$A477&amp;RIGHT(F$2,2),'Financial model inputs'!$A$2:$A$88,0),MATCH($B477,'Financial model inputs'!$A$2:$G$2,0)),0)</f>
        <v>0</v>
      </c>
      <c r="G477" s="18">
        <f>_xlfn.IFNA(INDEX('Financial model inputs'!$A$2:$G$88,MATCH(F_interface!$A477&amp;RIGHT(G$2,2),'Financial model inputs'!$A$2:$A$88,0),MATCH($B477,'Financial model inputs'!$A$2:$G$2,0)),0)</f>
        <v>0</v>
      </c>
      <c r="H477" s="18">
        <f>_xlfn.IFNA(INDEX('Financial model inputs'!$A$2:$G$88,MATCH(F_interface!$A477&amp;RIGHT(H$2,2),'Financial model inputs'!$A$2:$A$88,0),MATCH($B477,'Financial model inputs'!$A$2:$G$2,0)),0)</f>
        <v>0</v>
      </c>
      <c r="I477" s="18">
        <f>_xlfn.IFNA(INDEX('Financial model inputs'!$A$2:$G$88,MATCH(F_interface!$A477&amp;RIGHT(I$2,2),'Financial model inputs'!$A$2:$A$88,0),MATCH($B477,'Financial model inputs'!$A$2:$G$2,0)),0)</f>
        <v>0</v>
      </c>
      <c r="K477" s="20" t="str">
        <f t="shared" si="137"/>
        <v>AFWC_RR3PARTY_PR19CA012</v>
      </c>
    </row>
    <row r="478" spans="1:11" x14ac:dyDescent="0.25">
      <c r="A478" s="21" t="s">
        <v>29</v>
      </c>
      <c r="B478" s="8" t="s">
        <v>276</v>
      </c>
      <c r="C478" s="8" t="s">
        <v>15</v>
      </c>
      <c r="D478" s="104" t="s">
        <v>152</v>
      </c>
      <c r="E478" s="18">
        <f>_xlfn.IFNA(INDEX('Financial model inputs'!$A$2:$G$88,MATCH(F_interface!$A478&amp;RIGHT(E$2,2),'Financial model inputs'!$A$2:$A$88,0),MATCH($B478,'Financial model inputs'!$A$2:$G$2,0)),0)</f>
        <v>0</v>
      </c>
      <c r="F478" s="18">
        <f>_xlfn.IFNA(INDEX('Financial model inputs'!$A$2:$G$88,MATCH(F_interface!$A478&amp;RIGHT(F$2,2),'Financial model inputs'!$A$2:$A$88,0),MATCH($B478,'Financial model inputs'!$A$2:$G$2,0)),0)</f>
        <v>0</v>
      </c>
      <c r="G478" s="18">
        <f>_xlfn.IFNA(INDEX('Financial model inputs'!$A$2:$G$88,MATCH(F_interface!$A478&amp;RIGHT(G$2,2),'Financial model inputs'!$A$2:$A$88,0),MATCH($B478,'Financial model inputs'!$A$2:$G$2,0)),0)</f>
        <v>0</v>
      </c>
      <c r="H478" s="18">
        <f>_xlfn.IFNA(INDEX('Financial model inputs'!$A$2:$G$88,MATCH(F_interface!$A478&amp;RIGHT(H$2,2),'Financial model inputs'!$A$2:$A$88,0),MATCH($B478,'Financial model inputs'!$A$2:$G$2,0)),0)</f>
        <v>0</v>
      </c>
      <c r="I478" s="18">
        <f>_xlfn.IFNA(INDEX('Financial model inputs'!$A$2:$G$88,MATCH(F_interface!$A478&amp;RIGHT(I$2,2),'Financial model inputs'!$A$2:$A$88,0),MATCH($B478,'Financial model inputs'!$A$2:$G$2,0)),0)</f>
        <v>0</v>
      </c>
      <c r="K478" s="20" t="str">
        <f t="shared" si="137"/>
        <v>BRLC_RR3PARTY_PR19CA012</v>
      </c>
    </row>
    <row r="479" spans="1:11" x14ac:dyDescent="0.25">
      <c r="A479" s="21" t="s">
        <v>30</v>
      </c>
      <c r="B479" s="8" t="s">
        <v>276</v>
      </c>
      <c r="C479" s="8" t="s">
        <v>15</v>
      </c>
      <c r="D479" s="104" t="s">
        <v>152</v>
      </c>
      <c r="E479" s="18">
        <f>_xlfn.IFNA(INDEX('Financial model inputs'!$A$2:$G$88,MATCH(F_interface!$A479&amp;RIGHT(E$2,2),'Financial model inputs'!$A$2:$A$88,0),MATCH($B479,'Financial model inputs'!$A$2:$G$2,0)),0)</f>
        <v>0</v>
      </c>
      <c r="F479" s="18">
        <f>_xlfn.IFNA(INDEX('Financial model inputs'!$A$2:$G$88,MATCH(F_interface!$A479&amp;RIGHT(F$2,2),'Financial model inputs'!$A$2:$A$88,0),MATCH($B479,'Financial model inputs'!$A$2:$G$2,0)),0)</f>
        <v>0</v>
      </c>
      <c r="G479" s="18">
        <f>_xlfn.IFNA(INDEX('Financial model inputs'!$A$2:$G$88,MATCH(F_interface!$A479&amp;RIGHT(G$2,2),'Financial model inputs'!$A$2:$A$88,0),MATCH($B479,'Financial model inputs'!$A$2:$G$2,0)),0)</f>
        <v>0</v>
      </c>
      <c r="H479" s="18">
        <f>_xlfn.IFNA(INDEX('Financial model inputs'!$A$2:$G$88,MATCH(F_interface!$A479&amp;RIGHT(H$2,2),'Financial model inputs'!$A$2:$A$88,0),MATCH($B479,'Financial model inputs'!$A$2:$G$2,0)),0)</f>
        <v>0</v>
      </c>
      <c r="I479" s="18">
        <f>_xlfn.IFNA(INDEX('Financial model inputs'!$A$2:$G$88,MATCH(F_interface!$A479&amp;RIGHT(I$2,2),'Financial model inputs'!$A$2:$A$88,0),MATCH($B479,'Financial model inputs'!$A$2:$G$2,0)),0)</f>
        <v>0</v>
      </c>
      <c r="K479" s="20" t="str">
        <f t="shared" si="137"/>
        <v>DVWC_RR3PARTY_PR19CA012</v>
      </c>
    </row>
    <row r="480" spans="1:11" x14ac:dyDescent="0.25">
      <c r="A480" s="21" t="s">
        <v>31</v>
      </c>
      <c r="B480" s="8" t="s">
        <v>276</v>
      </c>
      <c r="C480" s="8" t="s">
        <v>15</v>
      </c>
      <c r="D480" s="104" t="s">
        <v>152</v>
      </c>
      <c r="E480" s="18">
        <f>_xlfn.IFNA(INDEX('Financial model inputs'!$A$2:$G$88,MATCH(F_interface!$A480&amp;RIGHT(E$2,2),'Financial model inputs'!$A$2:$A$88,0),MATCH($B480,'Financial model inputs'!$A$2:$G$2,0)),0)</f>
        <v>0</v>
      </c>
      <c r="F480" s="18">
        <f>_xlfn.IFNA(INDEX('Financial model inputs'!$A$2:$G$88,MATCH(F_interface!$A480&amp;RIGHT(F$2,2),'Financial model inputs'!$A$2:$A$88,0),MATCH($B480,'Financial model inputs'!$A$2:$G$2,0)),0)</f>
        <v>0</v>
      </c>
      <c r="G480" s="18">
        <f>_xlfn.IFNA(INDEX('Financial model inputs'!$A$2:$G$88,MATCH(F_interface!$A480&amp;RIGHT(G$2,2),'Financial model inputs'!$A$2:$A$88,0),MATCH($B480,'Financial model inputs'!$A$2:$G$2,0)),0)</f>
        <v>0</v>
      </c>
      <c r="H480" s="18">
        <f>_xlfn.IFNA(INDEX('Financial model inputs'!$A$2:$G$88,MATCH(F_interface!$A480&amp;RIGHT(H$2,2),'Financial model inputs'!$A$2:$A$88,0),MATCH($B480,'Financial model inputs'!$A$2:$G$2,0)),0)</f>
        <v>0</v>
      </c>
      <c r="I480" s="18">
        <f>_xlfn.IFNA(INDEX('Financial model inputs'!$A$2:$G$88,MATCH(F_interface!$A480&amp;RIGHT(I$2,2),'Financial model inputs'!$A$2:$A$88,0),MATCH($B480,'Financial model inputs'!$A$2:$G$2,0)),0)</f>
        <v>0</v>
      </c>
      <c r="K480" s="20" t="str">
        <f t="shared" si="137"/>
        <v>PRTC_RR3PARTY_PR19CA012</v>
      </c>
    </row>
    <row r="481" spans="1:11" x14ac:dyDescent="0.25">
      <c r="A481" s="21" t="s">
        <v>32</v>
      </c>
      <c r="B481" s="8" t="s">
        <v>276</v>
      </c>
      <c r="C481" s="8" t="s">
        <v>15</v>
      </c>
      <c r="D481" s="104" t="s">
        <v>152</v>
      </c>
      <c r="E481" s="18">
        <f>_xlfn.IFNA(INDEX('Financial model inputs'!$A$2:$G$88,MATCH(F_interface!$A481&amp;RIGHT(E$2,2),'Financial model inputs'!$A$2:$A$88,0),MATCH($B481,'Financial model inputs'!$A$2:$G$2,0)),0)</f>
        <v>0</v>
      </c>
      <c r="F481" s="18">
        <f>_xlfn.IFNA(INDEX('Financial model inputs'!$A$2:$G$88,MATCH(F_interface!$A481&amp;RIGHT(F$2,2),'Financial model inputs'!$A$2:$A$88,0),MATCH($B481,'Financial model inputs'!$A$2:$G$2,0)),0)</f>
        <v>0</v>
      </c>
      <c r="G481" s="18">
        <f>_xlfn.IFNA(INDEX('Financial model inputs'!$A$2:$G$88,MATCH(F_interface!$A481&amp;RIGHT(G$2,2),'Financial model inputs'!$A$2:$A$88,0),MATCH($B481,'Financial model inputs'!$A$2:$G$2,0)),0)</f>
        <v>0</v>
      </c>
      <c r="H481" s="18">
        <f>_xlfn.IFNA(INDEX('Financial model inputs'!$A$2:$G$88,MATCH(F_interface!$A481&amp;RIGHT(H$2,2),'Financial model inputs'!$A$2:$A$88,0),MATCH($B481,'Financial model inputs'!$A$2:$G$2,0)),0)</f>
        <v>0</v>
      </c>
      <c r="I481" s="18">
        <f>_xlfn.IFNA(INDEX('Financial model inputs'!$A$2:$G$88,MATCH(F_interface!$A481&amp;RIGHT(I$2,2),'Financial model inputs'!$A$2:$A$88,0),MATCH($B481,'Financial model inputs'!$A$2:$G$2,0)),0)</f>
        <v>0</v>
      </c>
      <c r="K481" s="20" t="str">
        <f t="shared" si="137"/>
        <v>SESC_RR3PARTY_PR19CA012</v>
      </c>
    </row>
    <row r="482" spans="1:11" x14ac:dyDescent="0.25">
      <c r="A482" s="21" t="s">
        <v>33</v>
      </c>
      <c r="B482" s="8" t="s">
        <v>276</v>
      </c>
      <c r="C482" s="8" t="s">
        <v>15</v>
      </c>
      <c r="D482" s="104" t="s">
        <v>152</v>
      </c>
      <c r="E482" s="18">
        <f>_xlfn.IFNA(INDEX('Financial model inputs'!$A$2:$G$88,MATCH(F_interface!$A482&amp;RIGHT(E$2,2),'Financial model inputs'!$A$2:$A$88,0),MATCH($B482,'Financial model inputs'!$A$2:$G$2,0)),0)</f>
        <v>0</v>
      </c>
      <c r="F482" s="18">
        <f>_xlfn.IFNA(INDEX('Financial model inputs'!$A$2:$G$88,MATCH(F_interface!$A482&amp;RIGHT(F$2,2),'Financial model inputs'!$A$2:$A$88,0),MATCH($B482,'Financial model inputs'!$A$2:$G$2,0)),0)</f>
        <v>0</v>
      </c>
      <c r="G482" s="18">
        <f>_xlfn.IFNA(INDEX('Financial model inputs'!$A$2:$G$88,MATCH(F_interface!$A482&amp;RIGHT(G$2,2),'Financial model inputs'!$A$2:$A$88,0),MATCH($B482,'Financial model inputs'!$A$2:$G$2,0)),0)</f>
        <v>0</v>
      </c>
      <c r="H482" s="18">
        <f>_xlfn.IFNA(INDEX('Financial model inputs'!$A$2:$G$88,MATCH(F_interface!$A482&amp;RIGHT(H$2,2),'Financial model inputs'!$A$2:$A$88,0),MATCH($B482,'Financial model inputs'!$A$2:$G$2,0)),0)</f>
        <v>0</v>
      </c>
      <c r="I482" s="18">
        <f>_xlfn.IFNA(INDEX('Financial model inputs'!$A$2:$G$88,MATCH(F_interface!$A482&amp;RIGHT(I$2,2),'Financial model inputs'!$A$2:$A$88,0),MATCH($B482,'Financial model inputs'!$A$2:$G$2,0)),0)</f>
        <v>0</v>
      </c>
      <c r="K482" s="20" t="str">
        <f t="shared" si="137"/>
        <v>SEWC_RR3PARTY_PR19CA012</v>
      </c>
    </row>
    <row r="483" spans="1:11" x14ac:dyDescent="0.25">
      <c r="A483" s="21" t="s">
        <v>34</v>
      </c>
      <c r="B483" s="8" t="s">
        <v>276</v>
      </c>
      <c r="C483" s="8" t="s">
        <v>15</v>
      </c>
      <c r="D483" s="104" t="s">
        <v>152</v>
      </c>
      <c r="E483" s="18">
        <f>_xlfn.IFNA(INDEX('Financial model inputs'!$A$2:$G$88,MATCH(F_interface!$A483&amp;RIGHT(E$2,2),'Financial model inputs'!$A$2:$A$88,0),MATCH($B483,'Financial model inputs'!$A$2:$G$2,0)),0)</f>
        <v>2.76120668E-6</v>
      </c>
      <c r="F483" s="18">
        <f>_xlfn.IFNA(INDEX('Financial model inputs'!$A$2:$G$88,MATCH(F_interface!$A483&amp;RIGHT(F$2,2),'Financial model inputs'!$A$2:$A$88,0),MATCH($B483,'Financial model inputs'!$A$2:$G$2,0)),0)</f>
        <v>2.8176263236765898E-6</v>
      </c>
      <c r="G483" s="18">
        <f>_xlfn.IFNA(INDEX('Financial model inputs'!$A$2:$G$88,MATCH(F_interface!$A483&amp;RIGHT(G$2,2),'Financial model inputs'!$A$2:$A$88,0),MATCH($B483,'Financial model inputs'!$A$2:$G$2,0)),0)</f>
        <v>2.84327254931547E-6</v>
      </c>
      <c r="H483" s="18">
        <f>_xlfn.IFNA(INDEX('Financial model inputs'!$A$2:$G$88,MATCH(F_interface!$A483&amp;RIGHT(H$2,2),'Financial model inputs'!$A$2:$A$88,0),MATCH($B483,'Financial model inputs'!$A$2:$G$2,0)),0)</f>
        <v>2.8678880431185601E-6</v>
      </c>
      <c r="I483" s="18">
        <f>_xlfn.IFNA(INDEX('Financial model inputs'!$A$2:$G$88,MATCH(F_interface!$A483&amp;RIGHT(I$2,2),'Financial model inputs'!$A$2:$A$88,0),MATCH($B483,'Financial model inputs'!$A$2:$G$2,0)),0)</f>
        <v>2.8961479915836301E-6</v>
      </c>
      <c r="K483" s="20" t="str">
        <f t="shared" si="137"/>
        <v>SSCC_RR3PARTY_PR19CA012</v>
      </c>
    </row>
  </sheetData>
  <autoFilter ref="A3:K3"/>
  <conditionalFormatting sqref="J269:J272">
    <cfRule type="duplicateValues" dxfId="6" priority="183"/>
  </conditionalFormatting>
  <conditionalFormatting sqref="J269:J272">
    <cfRule type="duplicateValues" dxfId="5" priority="184"/>
  </conditionalFormatting>
  <conditionalFormatting sqref="J277:J279">
    <cfRule type="duplicateValues" dxfId="4" priority="181"/>
  </conditionalFormatting>
  <conditionalFormatting sqref="J277:J279">
    <cfRule type="duplicateValues" dxfId="3" priority="182"/>
  </conditionalFormatting>
  <conditionalFormatting sqref="L4:M302">
    <cfRule type="expression" dxfId="2" priority="179">
      <formula>L4="error"</formula>
    </cfRule>
    <cfRule type="expression" dxfId="1" priority="180">
      <formula>L4="OK"</formula>
    </cfRule>
  </conditionalFormatting>
  <conditionalFormatting sqref="L4:M302">
    <cfRule type="containsText" dxfId="0" priority="124" operator="containsText" text="ok">
      <formula>NOT(ISERROR(SEARCH("ok",L4)))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1"/>
  </sheetPr>
  <dimension ref="A1"/>
  <sheetViews>
    <sheetView showGridLines="0" workbookViewId="0"/>
  </sheetViews>
  <sheetFormatPr defaultRowHeight="14.25" x14ac:dyDescent="0.2"/>
  <sheetData>
    <row r="1" spans="1:1" x14ac:dyDescent="0.2">
      <c r="A1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5:M30"/>
  <sheetViews>
    <sheetView showGridLines="0" zoomScaleNormal="100" workbookViewId="0"/>
  </sheetViews>
  <sheetFormatPr defaultColWidth="9" defaultRowHeight="12.75" x14ac:dyDescent="0.2"/>
  <cols>
    <col min="1" max="1" width="2" style="38" customWidth="1"/>
    <col min="2" max="2" width="2.875" style="38" customWidth="1"/>
    <col min="3" max="3" width="10.625" style="38" customWidth="1"/>
    <col min="4" max="4" width="9" style="38" customWidth="1"/>
    <col min="5" max="5" width="10.5" style="38" customWidth="1"/>
    <col min="6" max="6" width="11.625" style="38" bestFit="1" customWidth="1"/>
    <col min="7" max="10" width="9" style="38"/>
    <col min="11" max="11" width="10.625" style="38" customWidth="1"/>
    <col min="12" max="16384" width="9" style="38"/>
  </cols>
  <sheetData>
    <row r="5" spans="3:9" x14ac:dyDescent="0.2">
      <c r="C5" s="37" t="s">
        <v>208</v>
      </c>
      <c r="G5" s="37" t="s">
        <v>330</v>
      </c>
    </row>
    <row r="6" spans="3:9" x14ac:dyDescent="0.2">
      <c r="C6" s="37"/>
    </row>
    <row r="7" spans="3:9" x14ac:dyDescent="0.2">
      <c r="C7" s="35" t="s">
        <v>187</v>
      </c>
      <c r="D7" s="154">
        <v>0.5</v>
      </c>
      <c r="E7" s="172"/>
      <c r="G7" s="35" t="s">
        <v>198</v>
      </c>
      <c r="H7" s="154">
        <v>0.5</v>
      </c>
      <c r="I7" s="172"/>
    </row>
    <row r="8" spans="3:9" x14ac:dyDescent="0.2">
      <c r="C8" s="35" t="s">
        <v>188</v>
      </c>
      <c r="D8" s="154">
        <v>0.5</v>
      </c>
      <c r="E8" s="172"/>
      <c r="G8" s="35" t="s">
        <v>197</v>
      </c>
      <c r="H8" s="154">
        <v>0.5</v>
      </c>
      <c r="I8" s="172"/>
    </row>
    <row r="9" spans="3:9" x14ac:dyDescent="0.2">
      <c r="C9" s="35" t="s">
        <v>189</v>
      </c>
      <c r="D9" s="154">
        <v>0.5</v>
      </c>
      <c r="E9" s="172"/>
    </row>
    <row r="10" spans="3:9" x14ac:dyDescent="0.2">
      <c r="C10" s="35" t="s">
        <v>190</v>
      </c>
      <c r="D10" s="154">
        <v>0.5</v>
      </c>
      <c r="E10" s="172"/>
    </row>
    <row r="11" spans="3:9" x14ac:dyDescent="0.2">
      <c r="C11" s="35" t="s">
        <v>191</v>
      </c>
      <c r="D11" s="154">
        <f>1/3</f>
        <v>0.33333333333333331</v>
      </c>
      <c r="E11" s="172"/>
    </row>
    <row r="12" spans="3:9" x14ac:dyDescent="0.2">
      <c r="C12" s="35" t="s">
        <v>192</v>
      </c>
      <c r="D12" s="154">
        <f>1/3</f>
        <v>0.33333333333333331</v>
      </c>
      <c r="E12" s="172"/>
    </row>
    <row r="13" spans="3:9" x14ac:dyDescent="0.2">
      <c r="C13" s="35" t="s">
        <v>193</v>
      </c>
      <c r="D13" s="154">
        <f>1/3</f>
        <v>0.33333333333333331</v>
      </c>
      <c r="E13" s="172"/>
    </row>
    <row r="15" spans="3:9" x14ac:dyDescent="0.2">
      <c r="C15" s="37" t="s">
        <v>186</v>
      </c>
      <c r="F15" s="38" t="s">
        <v>241</v>
      </c>
    </row>
    <row r="16" spans="3:9" x14ac:dyDescent="0.2">
      <c r="F16" s="35" t="s">
        <v>295</v>
      </c>
    </row>
    <row r="17" spans="2:13" x14ac:dyDescent="0.2">
      <c r="C17" s="89" t="str">
        <f>IF($F$16="Historical",$I$17,$I$18)</f>
        <v>Within sector catch-up - forward looking</v>
      </c>
      <c r="D17" s="91"/>
      <c r="E17" s="87"/>
      <c r="F17" s="181">
        <f>IF($F$16="Historical",$L$17,IF($F$16="Forward looking",$L$18,AVERAGE($L$17:$L$18)))</f>
        <v>0.83547843389681375</v>
      </c>
      <c r="I17" s="89" t="s">
        <v>238</v>
      </c>
      <c r="J17" s="91"/>
      <c r="K17" s="87"/>
      <c r="L17" s="181">
        <v>0.88106700252838566</v>
      </c>
      <c r="M17" s="38" t="s">
        <v>236</v>
      </c>
    </row>
    <row r="18" spans="2:13" ht="38.25" x14ac:dyDescent="0.2">
      <c r="C18" s="35" t="s">
        <v>231</v>
      </c>
      <c r="D18" s="93" t="s">
        <v>324</v>
      </c>
      <c r="E18" s="93" t="s">
        <v>237</v>
      </c>
      <c r="F18" s="93" t="s">
        <v>240</v>
      </c>
      <c r="G18" s="93" t="s">
        <v>249</v>
      </c>
      <c r="I18" s="89" t="s">
        <v>239</v>
      </c>
      <c r="J18" s="91"/>
      <c r="K18" s="87"/>
      <c r="L18" s="181">
        <f>'Modelled costs'!$AJ$27</f>
        <v>0.78988986526524185</v>
      </c>
      <c r="M18" s="38" t="s">
        <v>236</v>
      </c>
    </row>
    <row r="19" spans="2:13" x14ac:dyDescent="0.2">
      <c r="B19" s="35">
        <v>1</v>
      </c>
      <c r="C19" s="35">
        <v>2021</v>
      </c>
      <c r="D19" s="92">
        <f>IF($F$16="Historical",(1+$L$19)^$B19-1,0)</f>
        <v>0</v>
      </c>
      <c r="E19" s="92">
        <f>IF($F$16="Historical",(1+$L$20)^$B19-1,0)</f>
        <v>0</v>
      </c>
      <c r="F19" s="92">
        <f>IF($F$16="Historical",(1+$L$21)^$B19-1,0)</f>
        <v>0</v>
      </c>
      <c r="G19" s="92">
        <f>SUM(E19:F19)-D19</f>
        <v>0</v>
      </c>
      <c r="I19" s="89" t="s">
        <v>233</v>
      </c>
      <c r="J19" s="91"/>
      <c r="K19" s="87"/>
      <c r="L19" s="90">
        <v>0.02</v>
      </c>
    </row>
    <row r="20" spans="2:13" x14ac:dyDescent="0.2">
      <c r="B20" s="35">
        <v>2</v>
      </c>
      <c r="C20" s="35">
        <v>2022</v>
      </c>
      <c r="D20" s="92">
        <f>IF($F$16="Historical",(1+$L$19)^$B20-1,0)</f>
        <v>0</v>
      </c>
      <c r="E20" s="92">
        <f>IF($F$16="Historical",(1+$L$20)^$B20-1,0)</f>
        <v>0</v>
      </c>
      <c r="F20" s="92">
        <f>IF($F$16="Historical",(1+$L$21)^$B20-1,0)</f>
        <v>0</v>
      </c>
      <c r="G20" s="92">
        <f>SUM(E20:F20)-D20</f>
        <v>0</v>
      </c>
      <c r="I20" s="89" t="s">
        <v>237</v>
      </c>
      <c r="J20" s="91"/>
      <c r="K20" s="87"/>
      <c r="L20" s="90">
        <v>0.01</v>
      </c>
    </row>
    <row r="21" spans="2:13" x14ac:dyDescent="0.2">
      <c r="B21" s="35">
        <v>3</v>
      </c>
      <c r="C21" s="35">
        <v>2023</v>
      </c>
      <c r="D21" s="92">
        <f>IF($F$16="Historical",(1+$L$19)^$B21-1,0)</f>
        <v>0</v>
      </c>
      <c r="E21" s="92">
        <f>IF($F$16="Historical",(1+$L$20)^$B21-1,0)</f>
        <v>0</v>
      </c>
      <c r="F21" s="92">
        <f>IF($F$16="Historical",(1+$L$21)^$B21-1,0)</f>
        <v>0</v>
      </c>
      <c r="G21" s="92">
        <f>SUM(E21:F21)-D21</f>
        <v>0</v>
      </c>
      <c r="I21" s="89" t="s">
        <v>240</v>
      </c>
      <c r="J21" s="91"/>
      <c r="K21" s="87"/>
      <c r="L21" s="90">
        <v>0.01</v>
      </c>
    </row>
    <row r="22" spans="2:13" x14ac:dyDescent="0.2">
      <c r="B22" s="35">
        <v>4</v>
      </c>
      <c r="C22" s="35">
        <v>2024</v>
      </c>
      <c r="D22" s="92">
        <f>IF($F$16="Historical",(1+$L$19)^$B22-1,0)</f>
        <v>0</v>
      </c>
      <c r="E22" s="92">
        <f>IF($F$16="Historical",(1+$L$20)^$B22-1,0)</f>
        <v>0</v>
      </c>
      <c r="F22" s="92">
        <f>IF($F$16="Historical",(1+$L$21)^$B22-1,0)</f>
        <v>0</v>
      </c>
      <c r="G22" s="92">
        <f>SUM(E22:F22)-D22</f>
        <v>0</v>
      </c>
    </row>
    <row r="23" spans="2:13" x14ac:dyDescent="0.2">
      <c r="B23" s="35">
        <v>5</v>
      </c>
      <c r="C23" s="35">
        <v>2025</v>
      </c>
      <c r="D23" s="92">
        <f>IF($F$16="Historical",(1+$L$19)^$B23-1,0)</f>
        <v>0</v>
      </c>
      <c r="E23" s="92">
        <f>IF($F$16="Historical",(1+$L$20)^$B23-1,0)</f>
        <v>0</v>
      </c>
      <c r="F23" s="92">
        <f>IF($F$16="Historical",(1+$L$21)^$B23-1,0)</f>
        <v>0</v>
      </c>
      <c r="G23" s="92">
        <f>SUM(E23:F23)-D23</f>
        <v>0</v>
      </c>
    </row>
    <row r="26" spans="2:13" x14ac:dyDescent="0.2">
      <c r="C26" s="37" t="s">
        <v>243</v>
      </c>
    </row>
    <row r="28" spans="2:13" x14ac:dyDescent="0.2">
      <c r="C28" s="102" t="s">
        <v>38</v>
      </c>
      <c r="D28" s="103" t="s">
        <v>256</v>
      </c>
    </row>
    <row r="29" spans="2:13" x14ac:dyDescent="0.2">
      <c r="C29" s="35" t="s">
        <v>156</v>
      </c>
      <c r="D29" s="155">
        <f>SUMIF('BP costs'!$B$7:$B$61,"SVE",'BP costs'!$E$7:$E$61)/(SUMIF('BP costs'!$B$7:$B$61,"SVE",'BP costs'!$E$7:$E$61)+SUMIF('BP costs'!$B$7:$B$61,"HDD",'BP costs'!$E$7:$E$61))</f>
        <v>0.97150300675335521</v>
      </c>
    </row>
    <row r="30" spans="2:13" x14ac:dyDescent="0.2">
      <c r="C30" s="35" t="s">
        <v>157</v>
      </c>
      <c r="D30" s="155">
        <f>1-D29</f>
        <v>2.8496993246644786E-2</v>
      </c>
    </row>
  </sheetData>
  <conditionalFormatting sqref="E7:E13">
    <cfRule type="expression" dxfId="24" priority="15">
      <formula>E7="error"</formula>
    </cfRule>
    <cfRule type="expression" dxfId="23" priority="16">
      <formula>E7="OK"</formula>
    </cfRule>
  </conditionalFormatting>
  <conditionalFormatting sqref="D7:D13">
    <cfRule type="cellIs" dxfId="22" priority="6" operator="equal">
      <formula>0</formula>
    </cfRule>
  </conditionalFormatting>
  <conditionalFormatting sqref="H7:H8">
    <cfRule type="cellIs" dxfId="21" priority="5" operator="equal">
      <formula>0</formula>
    </cfRule>
  </conditionalFormatting>
  <conditionalFormatting sqref="I7:I8">
    <cfRule type="expression" dxfId="20" priority="1">
      <formula>I7="error"</formula>
    </cfRule>
    <cfRule type="expression" dxfId="19" priority="2">
      <formula>I7="OK"</formula>
    </cfRule>
  </conditionalFormatting>
  <dataValidations count="1">
    <dataValidation type="list" allowBlank="1" showInputMessage="1" showErrorMessage="1" sqref="F16">
      <formula1>"Forward looking, Historical, Triangulation"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L99"/>
  <sheetViews>
    <sheetView showGridLines="0" workbookViewId="0">
      <pane xSplit="1" ySplit="6" topLeftCell="B7" activePane="bottomRight" state="frozen"/>
      <selection pane="topRight" activeCell="B1" sqref="B1"/>
      <selection pane="bottomLeft" activeCell="A7" sqref="A7"/>
      <selection pane="bottomRight"/>
    </sheetView>
  </sheetViews>
  <sheetFormatPr defaultColWidth="9" defaultRowHeight="12.75" x14ac:dyDescent="0.2"/>
  <cols>
    <col min="1" max="3" width="9" style="17"/>
    <col min="4" max="7" width="9.5" style="17" bestFit="1" customWidth="1"/>
    <col min="8" max="8" width="10.875" style="17" customWidth="1"/>
    <col min="9" max="16384" width="9" style="17"/>
  </cols>
  <sheetData>
    <row r="1" spans="1:12" ht="15.75" x14ac:dyDescent="0.25">
      <c r="A1" s="108" t="s">
        <v>253</v>
      </c>
    </row>
    <row r="2" spans="1:12" x14ac:dyDescent="0.2">
      <c r="A2" s="113"/>
    </row>
    <row r="4" spans="1:12" ht="26.45" customHeight="1" x14ac:dyDescent="0.2">
      <c r="D4" s="152" t="s">
        <v>283</v>
      </c>
      <c r="E4" s="152" t="s">
        <v>284</v>
      </c>
      <c r="F4" s="152" t="s">
        <v>281</v>
      </c>
      <c r="G4" s="152" t="s">
        <v>285</v>
      </c>
      <c r="H4" s="152" t="s">
        <v>286</v>
      </c>
    </row>
    <row r="5" spans="1:12" x14ac:dyDescent="0.2">
      <c r="D5" s="34" t="s">
        <v>256</v>
      </c>
      <c r="E5" s="34" t="s">
        <v>256</v>
      </c>
      <c r="F5" s="49" t="s">
        <v>271</v>
      </c>
      <c r="G5" s="49" t="s">
        <v>272</v>
      </c>
      <c r="H5" s="49" t="s">
        <v>277</v>
      </c>
      <c r="I5" s="95"/>
      <c r="J5" s="95"/>
      <c r="K5" s="95"/>
      <c r="L5" s="95"/>
    </row>
    <row r="6" spans="1:12" ht="63.75" x14ac:dyDescent="0.2">
      <c r="A6" s="114" t="s">
        <v>254</v>
      </c>
      <c r="B6" s="114" t="s">
        <v>38</v>
      </c>
      <c r="C6" s="115" t="s">
        <v>231</v>
      </c>
      <c r="D6" s="48" t="s">
        <v>273</v>
      </c>
      <c r="E6" s="48" t="s">
        <v>278</v>
      </c>
      <c r="F6" s="48" t="s">
        <v>306</v>
      </c>
      <c r="G6" s="48" t="s">
        <v>307</v>
      </c>
      <c r="H6" s="48" t="s">
        <v>279</v>
      </c>
      <c r="I6" s="95"/>
      <c r="J6" s="95"/>
      <c r="K6" s="95"/>
      <c r="L6" s="95"/>
    </row>
    <row r="7" spans="1:12" x14ac:dyDescent="0.2">
      <c r="A7" s="116" t="s">
        <v>58</v>
      </c>
      <c r="B7" s="19" t="s">
        <v>20</v>
      </c>
      <c r="C7" s="19" t="s">
        <v>49</v>
      </c>
      <c r="D7" s="53">
        <v>77.373545454999999</v>
      </c>
      <c r="E7" s="53">
        <v>72.554879859613493</v>
      </c>
      <c r="F7" s="53">
        <v>30.052124107000001</v>
      </c>
      <c r="G7" s="53">
        <v>47.321421348000001</v>
      </c>
      <c r="H7" s="53">
        <v>73.821742352651796</v>
      </c>
      <c r="I7" s="95"/>
      <c r="J7" s="95"/>
      <c r="K7" s="95"/>
      <c r="L7" s="95"/>
    </row>
    <row r="8" spans="1:12" x14ac:dyDescent="0.2">
      <c r="A8" s="116" t="s">
        <v>59</v>
      </c>
      <c r="B8" s="19" t="s">
        <v>20</v>
      </c>
      <c r="C8" s="19" t="s">
        <v>50</v>
      </c>
      <c r="D8" s="53">
        <v>79.720193062160007</v>
      </c>
      <c r="E8" s="53">
        <v>73.289591245574798</v>
      </c>
      <c r="F8" s="53">
        <v>30.729254494999999</v>
      </c>
      <c r="G8" s="53">
        <v>48.990938567160008</v>
      </c>
      <c r="H8" s="53">
        <v>74.568386711399995</v>
      </c>
      <c r="I8" s="95"/>
      <c r="J8" s="95"/>
      <c r="K8" s="95"/>
      <c r="L8" s="95"/>
    </row>
    <row r="9" spans="1:12" x14ac:dyDescent="0.2">
      <c r="A9" s="116" t="s">
        <v>60</v>
      </c>
      <c r="B9" s="19" t="s">
        <v>20</v>
      </c>
      <c r="C9" s="19" t="s">
        <v>51</v>
      </c>
      <c r="D9" s="53">
        <v>81.669400596283197</v>
      </c>
      <c r="E9" s="53">
        <v>73.609379046801706</v>
      </c>
      <c r="F9" s="53">
        <v>31.927675735000001</v>
      </c>
      <c r="G9" s="53">
        <v>49.741724861283181</v>
      </c>
      <c r="H9" s="53">
        <v>74.900955076549906</v>
      </c>
      <c r="I9" s="95"/>
      <c r="J9" s="95"/>
      <c r="K9" s="95"/>
      <c r="L9" s="95"/>
    </row>
    <row r="10" spans="1:12" x14ac:dyDescent="0.2">
      <c r="A10" s="116" t="s">
        <v>61</v>
      </c>
      <c r="B10" s="19" t="s">
        <v>20</v>
      </c>
      <c r="C10" s="19" t="s">
        <v>52</v>
      </c>
      <c r="D10" s="53">
        <v>83.521651106308894</v>
      </c>
      <c r="E10" s="53">
        <v>73.802773924103903</v>
      </c>
      <c r="F10" s="53">
        <v>33.440993386000002</v>
      </c>
      <c r="G10" s="53">
        <v>50.080657720308864</v>
      </c>
      <c r="H10" s="53">
        <v>75.107021300312098</v>
      </c>
      <c r="I10" s="95"/>
      <c r="J10" s="95"/>
      <c r="K10" s="95"/>
      <c r="L10" s="95"/>
    </row>
    <row r="11" spans="1:12" x14ac:dyDescent="0.2">
      <c r="A11" s="116" t="s">
        <v>62</v>
      </c>
      <c r="B11" s="19" t="s">
        <v>20</v>
      </c>
      <c r="C11" s="19" t="s">
        <v>53</v>
      </c>
      <c r="D11" s="53">
        <v>85.296473129814999</v>
      </c>
      <c r="E11" s="53">
        <v>73.893207183811398</v>
      </c>
      <c r="F11" s="53">
        <v>34.686552866</v>
      </c>
      <c r="G11" s="53">
        <v>50.609920263815042</v>
      </c>
      <c r="H11" s="53">
        <v>75.209998732137805</v>
      </c>
      <c r="I11" s="95"/>
      <c r="J11" s="95"/>
      <c r="K11" s="95"/>
      <c r="L11" s="95"/>
    </row>
    <row r="12" spans="1:12" x14ac:dyDescent="0.2">
      <c r="A12" s="116" t="s">
        <v>63</v>
      </c>
      <c r="B12" s="19" t="s">
        <v>21</v>
      </c>
      <c r="C12" s="19" t="s">
        <v>49</v>
      </c>
      <c r="D12" s="53">
        <v>54.445</v>
      </c>
      <c r="E12" s="53">
        <v>51.264054359283598</v>
      </c>
      <c r="F12" s="53">
        <v>22.425999999999998</v>
      </c>
      <c r="G12" s="53">
        <v>32.019000000000005</v>
      </c>
      <c r="H12" s="53">
        <v>53.435326456859201</v>
      </c>
      <c r="I12" s="95"/>
      <c r="J12" s="95"/>
      <c r="K12" s="95"/>
      <c r="L12" s="95"/>
    </row>
    <row r="13" spans="1:12" x14ac:dyDescent="0.2">
      <c r="A13" s="116" t="s">
        <v>64</v>
      </c>
      <c r="B13" s="19" t="s">
        <v>21</v>
      </c>
      <c r="C13" s="19" t="s">
        <v>50</v>
      </c>
      <c r="D13" s="53">
        <v>55.220999999999997</v>
      </c>
      <c r="E13" s="53">
        <v>50.981383877159601</v>
      </c>
      <c r="F13" s="53">
        <v>22.279</v>
      </c>
      <c r="G13" s="53">
        <v>32.942000000000007</v>
      </c>
      <c r="H13" s="53">
        <v>53.563642994242201</v>
      </c>
      <c r="I13" s="95"/>
      <c r="J13" s="95"/>
      <c r="K13" s="95"/>
      <c r="L13" s="95"/>
    </row>
    <row r="14" spans="1:12" x14ac:dyDescent="0.2">
      <c r="A14" s="116" t="s">
        <v>65</v>
      </c>
      <c r="B14" s="19" t="s">
        <v>21</v>
      </c>
      <c r="C14" s="19" t="s">
        <v>51</v>
      </c>
      <c r="D14" s="53">
        <v>55.920999999999999</v>
      </c>
      <c r="E14" s="53">
        <v>50.611378347083701</v>
      </c>
      <c r="F14" s="53">
        <v>22.093</v>
      </c>
      <c r="G14" s="53">
        <v>33.827999999999989</v>
      </c>
      <c r="H14" s="53">
        <v>53.1681485019541</v>
      </c>
      <c r="I14" s="95"/>
      <c r="J14" s="95"/>
      <c r="K14" s="95"/>
      <c r="L14" s="95"/>
    </row>
    <row r="15" spans="1:12" x14ac:dyDescent="0.2">
      <c r="A15" s="116" t="s">
        <v>66</v>
      </c>
      <c r="B15" s="19" t="s">
        <v>21</v>
      </c>
      <c r="C15" s="19" t="s">
        <v>52</v>
      </c>
      <c r="D15" s="53">
        <v>56.639000000000003</v>
      </c>
      <c r="E15" s="53">
        <v>50.257367248474701</v>
      </c>
      <c r="F15" s="53">
        <v>21.917000000000002</v>
      </c>
      <c r="G15" s="53">
        <v>34.722000000000008</v>
      </c>
      <c r="H15" s="53">
        <v>52.787139208173897</v>
      </c>
      <c r="I15" s="95"/>
      <c r="J15" s="95"/>
      <c r="K15" s="95"/>
      <c r="L15" s="95"/>
    </row>
    <row r="16" spans="1:12" x14ac:dyDescent="0.2">
      <c r="A16" s="116" t="s">
        <v>67</v>
      </c>
      <c r="B16" s="19" t="s">
        <v>21</v>
      </c>
      <c r="C16" s="19" t="s">
        <v>53</v>
      </c>
      <c r="D16" s="53">
        <v>57.368000000000002</v>
      </c>
      <c r="E16" s="53">
        <v>49.902219378173797</v>
      </c>
      <c r="F16" s="53">
        <v>21.747</v>
      </c>
      <c r="G16" s="53">
        <v>35.621000000000002</v>
      </c>
      <c r="H16" s="53">
        <v>52.406550879877898</v>
      </c>
      <c r="I16" s="95"/>
      <c r="J16" s="95"/>
      <c r="K16" s="95"/>
      <c r="L16" s="95"/>
    </row>
    <row r="17" spans="1:12" x14ac:dyDescent="0.2">
      <c r="A17" s="116" t="s">
        <v>68</v>
      </c>
      <c r="B17" s="19" t="s">
        <v>22</v>
      </c>
      <c r="C17" s="19" t="s">
        <v>49</v>
      </c>
      <c r="D17" s="53">
        <v>102.050381368413</v>
      </c>
      <c r="E17" s="53">
        <v>95.815289559201403</v>
      </c>
      <c r="F17" s="53">
        <v>51.674476621234007</v>
      </c>
      <c r="G17" s="53">
        <v>50.375904747179433</v>
      </c>
      <c r="H17" s="53">
        <v>97.416110300159403</v>
      </c>
      <c r="I17" s="95"/>
      <c r="J17" s="95"/>
      <c r="K17" s="95"/>
      <c r="L17" s="95"/>
    </row>
    <row r="18" spans="1:12" x14ac:dyDescent="0.2">
      <c r="A18" s="116" t="s">
        <v>69</v>
      </c>
      <c r="B18" s="19" t="s">
        <v>22</v>
      </c>
      <c r="C18" s="19" t="s">
        <v>50</v>
      </c>
      <c r="D18" s="53">
        <v>101.596680430977</v>
      </c>
      <c r="E18" s="53">
        <v>93.518930313652007</v>
      </c>
      <c r="F18" s="53">
        <v>51.221004994287696</v>
      </c>
      <c r="G18" s="53">
        <v>50.375675436689619</v>
      </c>
      <c r="H18" s="53">
        <v>94.706962112828094</v>
      </c>
      <c r="I18" s="95"/>
      <c r="J18" s="95"/>
      <c r="K18" s="95"/>
      <c r="L18" s="95"/>
    </row>
    <row r="19" spans="1:12" x14ac:dyDescent="0.2">
      <c r="A19" s="116" t="s">
        <v>70</v>
      </c>
      <c r="B19" s="19" t="s">
        <v>22</v>
      </c>
      <c r="C19" s="19" t="s">
        <v>51</v>
      </c>
      <c r="D19" s="53">
        <v>101.170070961731</v>
      </c>
      <c r="E19" s="53">
        <v>91.300235015032797</v>
      </c>
      <c r="F19" s="53">
        <v>48.842323366408202</v>
      </c>
      <c r="G19" s="53">
        <v>52.327747595322712</v>
      </c>
      <c r="H19" s="53">
        <v>91.373255693509094</v>
      </c>
      <c r="I19" s="95"/>
      <c r="J19" s="95"/>
      <c r="K19" s="95"/>
      <c r="L19" s="95"/>
    </row>
    <row r="20" spans="1:12" x14ac:dyDescent="0.2">
      <c r="A20" s="116" t="s">
        <v>71</v>
      </c>
      <c r="B20" s="19" t="s">
        <v>22</v>
      </c>
      <c r="C20" s="19" t="s">
        <v>52</v>
      </c>
      <c r="D20" s="53">
        <v>101.32691766363</v>
      </c>
      <c r="E20" s="53">
        <v>89.648804159678093</v>
      </c>
      <c r="F20" s="53">
        <v>48.757468029081302</v>
      </c>
      <c r="G20" s="53">
        <v>52.569449634549052</v>
      </c>
      <c r="H20" s="53">
        <v>89.712947083062502</v>
      </c>
      <c r="I20" s="95"/>
      <c r="J20" s="95"/>
      <c r="K20" s="95"/>
      <c r="L20" s="95"/>
    </row>
    <row r="21" spans="1:12" x14ac:dyDescent="0.2">
      <c r="A21" s="116" t="s">
        <v>72</v>
      </c>
      <c r="B21" s="19" t="s">
        <v>22</v>
      </c>
      <c r="C21" s="19" t="s">
        <v>53</v>
      </c>
      <c r="D21" s="53">
        <v>101.614211955127</v>
      </c>
      <c r="E21" s="53">
        <v>88.140183584334494</v>
      </c>
      <c r="F21" s="53">
        <v>48.947903826140895</v>
      </c>
      <c r="G21" s="53">
        <v>52.666308128986493</v>
      </c>
      <c r="H21" s="53">
        <v>88.182039412536696</v>
      </c>
      <c r="I21" s="95"/>
      <c r="J21" s="95"/>
      <c r="K21" s="95"/>
      <c r="L21" s="95"/>
    </row>
    <row r="22" spans="1:12" x14ac:dyDescent="0.2">
      <c r="A22" s="116" t="s">
        <v>73</v>
      </c>
      <c r="B22" s="19" t="s">
        <v>23</v>
      </c>
      <c r="C22" s="19" t="s">
        <v>49</v>
      </c>
      <c r="D22" s="53">
        <v>49.777999999999999</v>
      </c>
      <c r="E22" s="53">
        <v>46.721980486340698</v>
      </c>
      <c r="F22" s="53">
        <v>19.254000000000001</v>
      </c>
      <c r="G22" s="53">
        <v>30.52399999999999</v>
      </c>
      <c r="H22" s="53">
        <v>47.890546232362901</v>
      </c>
      <c r="I22" s="95"/>
      <c r="J22" s="95"/>
      <c r="K22" s="95"/>
      <c r="L22" s="95"/>
    </row>
    <row r="23" spans="1:12" x14ac:dyDescent="0.2">
      <c r="A23" s="116" t="s">
        <v>74</v>
      </c>
      <c r="B23" s="19" t="s">
        <v>23</v>
      </c>
      <c r="C23" s="19" t="s">
        <v>50</v>
      </c>
      <c r="D23" s="53">
        <v>47.844000000000001</v>
      </c>
      <c r="E23" s="53">
        <v>44.024506217350002</v>
      </c>
      <c r="F23" s="53">
        <v>17.817</v>
      </c>
      <c r="G23" s="53">
        <v>30.027000000000001</v>
      </c>
      <c r="H23" s="53">
        <v>45.207841954234702</v>
      </c>
      <c r="I23" s="95"/>
      <c r="J23" s="95"/>
      <c r="K23" s="95"/>
      <c r="L23" s="95"/>
    </row>
    <row r="24" spans="1:12" x14ac:dyDescent="0.2">
      <c r="A24" s="116" t="s">
        <v>75</v>
      </c>
      <c r="B24" s="19" t="s">
        <v>23</v>
      </c>
      <c r="C24" s="19" t="s">
        <v>51</v>
      </c>
      <c r="D24" s="53">
        <v>46.491999999999997</v>
      </c>
      <c r="E24" s="53">
        <v>41.941062684844702</v>
      </c>
      <c r="F24" s="53">
        <v>16.309999999999999</v>
      </c>
      <c r="G24" s="53">
        <v>30.181999999999999</v>
      </c>
      <c r="H24" s="53">
        <v>43.1444821467216</v>
      </c>
      <c r="I24" s="95"/>
      <c r="J24" s="95"/>
      <c r="K24" s="95"/>
      <c r="L24" s="95"/>
    </row>
    <row r="25" spans="1:12" x14ac:dyDescent="0.2">
      <c r="A25" s="116" t="s">
        <v>76</v>
      </c>
      <c r="B25" s="19" t="s">
        <v>23</v>
      </c>
      <c r="C25" s="19" t="s">
        <v>52</v>
      </c>
      <c r="D25" s="53">
        <v>45.871000000000002</v>
      </c>
      <c r="E25" s="53">
        <v>40.570206930693303</v>
      </c>
      <c r="F25" s="53">
        <v>14.737</v>
      </c>
      <c r="G25" s="53">
        <v>31.134</v>
      </c>
      <c r="H25" s="53">
        <v>41.768624893918201</v>
      </c>
      <c r="I25" s="95"/>
      <c r="J25" s="95"/>
      <c r="K25" s="95"/>
      <c r="L25" s="95"/>
    </row>
    <row r="26" spans="1:12" x14ac:dyDescent="0.2">
      <c r="A26" s="116" t="s">
        <v>77</v>
      </c>
      <c r="B26" s="19" t="s">
        <v>23</v>
      </c>
      <c r="C26" s="19" t="s">
        <v>53</v>
      </c>
      <c r="D26" s="53">
        <v>45.055</v>
      </c>
      <c r="E26" s="53">
        <v>39.066617901962204</v>
      </c>
      <c r="F26" s="53">
        <v>13.105</v>
      </c>
      <c r="G26" s="53">
        <v>31.949999999999992</v>
      </c>
      <c r="H26" s="53">
        <v>40.278805934965</v>
      </c>
      <c r="I26" s="95"/>
      <c r="J26" s="95"/>
      <c r="K26" s="95"/>
      <c r="L26" s="95"/>
    </row>
    <row r="27" spans="1:12" x14ac:dyDescent="0.2">
      <c r="A27" s="116" t="s">
        <v>83</v>
      </c>
      <c r="B27" s="19" t="s">
        <v>35</v>
      </c>
      <c r="C27" s="19" t="s">
        <v>49</v>
      </c>
      <c r="D27" s="53">
        <v>32.76</v>
      </c>
      <c r="E27" s="53">
        <v>30.7718611987383</v>
      </c>
      <c r="F27" s="53">
        <v>13.257</v>
      </c>
      <c r="G27" s="53">
        <v>19.503</v>
      </c>
      <c r="H27" s="53">
        <v>31.376778128286102</v>
      </c>
      <c r="I27" s="95"/>
      <c r="J27" s="95"/>
      <c r="K27" s="95"/>
      <c r="L27" s="95"/>
    </row>
    <row r="28" spans="1:12" x14ac:dyDescent="0.2">
      <c r="A28" s="116" t="s">
        <v>84</v>
      </c>
      <c r="B28" s="19" t="s">
        <v>35</v>
      </c>
      <c r="C28" s="19" t="s">
        <v>50</v>
      </c>
      <c r="D28" s="53">
        <v>32.249000000000002</v>
      </c>
      <c r="E28" s="53">
        <v>29.702901310944299</v>
      </c>
      <c r="F28" s="53">
        <v>12.842000000000001</v>
      </c>
      <c r="G28" s="53">
        <v>19.407000000000004</v>
      </c>
      <c r="H28" s="53">
        <v>30.300661953159601</v>
      </c>
      <c r="I28" s="95"/>
      <c r="J28" s="95"/>
      <c r="K28" s="95"/>
      <c r="L28" s="95"/>
    </row>
    <row r="29" spans="1:12" x14ac:dyDescent="0.2">
      <c r="A29" s="116" t="s">
        <v>85</v>
      </c>
      <c r="B29" s="19" t="s">
        <v>35</v>
      </c>
      <c r="C29" s="19" t="s">
        <v>51</v>
      </c>
      <c r="D29" s="53">
        <v>31.925000000000001</v>
      </c>
      <c r="E29" s="53">
        <v>28.827007220216601</v>
      </c>
      <c r="F29" s="53">
        <v>12.437000000000001</v>
      </c>
      <c r="G29" s="53">
        <v>19.488</v>
      </c>
      <c r="H29" s="53">
        <v>28.827007220216601</v>
      </c>
      <c r="I29" s="95"/>
      <c r="J29" s="95"/>
      <c r="K29" s="95"/>
      <c r="L29" s="95"/>
    </row>
    <row r="30" spans="1:12" x14ac:dyDescent="0.2">
      <c r="A30" s="116" t="s">
        <v>86</v>
      </c>
      <c r="B30" s="19" t="s">
        <v>35</v>
      </c>
      <c r="C30" s="19" t="s">
        <v>52</v>
      </c>
      <c r="D30" s="53">
        <v>31.54</v>
      </c>
      <c r="E30" s="53">
        <v>27.9229251026476</v>
      </c>
      <c r="F30" s="53">
        <v>12.033000000000001</v>
      </c>
      <c r="G30" s="53">
        <v>19.507000000000001</v>
      </c>
      <c r="H30" s="53">
        <v>27.9229251026476</v>
      </c>
      <c r="I30" s="95"/>
      <c r="J30" s="95"/>
      <c r="K30" s="95"/>
      <c r="L30" s="95"/>
    </row>
    <row r="31" spans="1:12" x14ac:dyDescent="0.2">
      <c r="A31" s="116" t="s">
        <v>87</v>
      </c>
      <c r="B31" s="19" t="s">
        <v>35</v>
      </c>
      <c r="C31" s="19" t="s">
        <v>53</v>
      </c>
      <c r="D31" s="53">
        <v>31.29</v>
      </c>
      <c r="E31" s="53">
        <v>27.155637751561599</v>
      </c>
      <c r="F31" s="53">
        <v>11.635999999999999</v>
      </c>
      <c r="G31" s="53">
        <v>19.654000000000003</v>
      </c>
      <c r="H31" s="53">
        <v>27.155637751561599</v>
      </c>
      <c r="I31" s="95"/>
      <c r="J31" s="95"/>
      <c r="K31" s="95"/>
      <c r="L31" s="95"/>
    </row>
    <row r="32" spans="1:12" x14ac:dyDescent="0.2">
      <c r="A32" s="116" t="s">
        <v>88</v>
      </c>
      <c r="B32" s="19" t="s">
        <v>25</v>
      </c>
      <c r="C32" s="19" t="s">
        <v>49</v>
      </c>
      <c r="D32" s="53">
        <v>174.746819965903</v>
      </c>
      <c r="E32" s="53">
        <v>164.09975522801699</v>
      </c>
      <c r="F32" s="53">
        <v>66.303207500694029</v>
      </c>
      <c r="G32" s="53">
        <v>108.44361246520914</v>
      </c>
      <c r="H32" s="53">
        <v>166.08142005925399</v>
      </c>
      <c r="I32" s="95"/>
      <c r="J32" s="95"/>
      <c r="K32" s="95"/>
      <c r="L32" s="95"/>
    </row>
    <row r="33" spans="1:12" x14ac:dyDescent="0.2">
      <c r="A33" s="116" t="s">
        <v>89</v>
      </c>
      <c r="B33" s="19" t="s">
        <v>25</v>
      </c>
      <c r="C33" s="19" t="s">
        <v>50</v>
      </c>
      <c r="D33" s="53">
        <v>176.722954570669</v>
      </c>
      <c r="E33" s="53">
        <v>162.66139929610401</v>
      </c>
      <c r="F33" s="53">
        <v>70.054705214741375</v>
      </c>
      <c r="G33" s="53">
        <v>106.66824935592743</v>
      </c>
      <c r="H33" s="53">
        <v>164.65179436207899</v>
      </c>
      <c r="I33" s="95"/>
      <c r="J33" s="95"/>
      <c r="K33" s="95"/>
      <c r="L33" s="95"/>
    </row>
    <row r="34" spans="1:12" x14ac:dyDescent="0.2">
      <c r="A34" s="116" t="s">
        <v>90</v>
      </c>
      <c r="B34" s="19" t="s">
        <v>25</v>
      </c>
      <c r="C34" s="19" t="s">
        <v>51</v>
      </c>
      <c r="D34" s="53">
        <v>177.355951648857</v>
      </c>
      <c r="E34" s="53">
        <v>159.92579015640101</v>
      </c>
      <c r="F34" s="53">
        <v>71.483492849518612</v>
      </c>
      <c r="G34" s="53">
        <v>105.87245879933876</v>
      </c>
      <c r="H34" s="53">
        <v>161.93364439069401</v>
      </c>
      <c r="I34" s="95"/>
      <c r="J34" s="95"/>
      <c r="K34" s="95"/>
      <c r="L34" s="95"/>
    </row>
    <row r="35" spans="1:12" x14ac:dyDescent="0.2">
      <c r="A35" s="116" t="s">
        <v>91</v>
      </c>
      <c r="B35" s="19" t="s">
        <v>25</v>
      </c>
      <c r="C35" s="19" t="s">
        <v>52</v>
      </c>
      <c r="D35" s="53">
        <v>175.57351272075201</v>
      </c>
      <c r="E35" s="53">
        <v>155.214240679114</v>
      </c>
      <c r="F35" s="53">
        <v>69.815190044106316</v>
      </c>
      <c r="G35" s="53">
        <v>105.75832267664592</v>
      </c>
      <c r="H35" s="53">
        <v>157.23955451544501</v>
      </c>
      <c r="I35" s="95"/>
      <c r="J35" s="95"/>
      <c r="K35" s="95"/>
      <c r="L35" s="95"/>
    </row>
    <row r="36" spans="1:12" x14ac:dyDescent="0.2">
      <c r="A36" s="116" t="s">
        <v>92</v>
      </c>
      <c r="B36" s="19" t="s">
        <v>25</v>
      </c>
      <c r="C36" s="19" t="s">
        <v>53</v>
      </c>
      <c r="D36" s="53">
        <v>172.49879679750401</v>
      </c>
      <c r="E36" s="53">
        <v>149.505945826279</v>
      </c>
      <c r="F36" s="53">
        <v>68.310145081048475</v>
      </c>
      <c r="G36" s="53">
        <v>104.18865171645565</v>
      </c>
      <c r="H36" s="53">
        <v>151.53998946362799</v>
      </c>
      <c r="I36" s="95"/>
      <c r="J36" s="95"/>
      <c r="K36" s="95"/>
      <c r="L36" s="95"/>
    </row>
    <row r="37" spans="1:12" x14ac:dyDescent="0.2">
      <c r="A37" s="116" t="s">
        <v>93</v>
      </c>
      <c r="B37" s="19" t="s">
        <v>41</v>
      </c>
      <c r="C37" s="19" t="s">
        <v>49</v>
      </c>
      <c r="D37" s="53">
        <v>54.069000000000003</v>
      </c>
      <c r="E37" s="53">
        <v>50.503884512514603</v>
      </c>
      <c r="F37" s="53">
        <v>28.216000000000001</v>
      </c>
      <c r="G37" s="53">
        <v>25.853000000000002</v>
      </c>
      <c r="H37" s="53">
        <v>50.794378290527703</v>
      </c>
      <c r="I37" s="95"/>
      <c r="J37" s="95"/>
      <c r="K37" s="95"/>
      <c r="L37" s="95"/>
    </row>
    <row r="38" spans="1:12" x14ac:dyDescent="0.2">
      <c r="A38" s="116" t="s">
        <v>94</v>
      </c>
      <c r="B38" s="19" t="s">
        <v>41</v>
      </c>
      <c r="C38" s="19" t="s">
        <v>50</v>
      </c>
      <c r="D38" s="53">
        <v>54.161999999999999</v>
      </c>
      <c r="E38" s="53">
        <v>49.5988357252225</v>
      </c>
      <c r="F38" s="53">
        <v>27.478999999999999</v>
      </c>
      <c r="G38" s="53">
        <v>26.683</v>
      </c>
      <c r="H38" s="53">
        <v>49.883633884643203</v>
      </c>
      <c r="I38" s="95"/>
      <c r="J38" s="95"/>
      <c r="K38" s="95"/>
      <c r="L38" s="95"/>
    </row>
    <row r="39" spans="1:12" x14ac:dyDescent="0.2">
      <c r="A39" s="116" t="s">
        <v>95</v>
      </c>
      <c r="B39" s="19" t="s">
        <v>41</v>
      </c>
      <c r="C39" s="19" t="s">
        <v>51</v>
      </c>
      <c r="D39" s="53">
        <v>54.164999999999999</v>
      </c>
      <c r="E39" s="53">
        <v>48.628972893190202</v>
      </c>
      <c r="F39" s="53">
        <v>27.485999999999997</v>
      </c>
      <c r="G39" s="53">
        <v>26.679000000000002</v>
      </c>
      <c r="H39" s="53">
        <v>48.9081866025926</v>
      </c>
      <c r="I39" s="95"/>
      <c r="J39" s="95"/>
      <c r="K39" s="95"/>
      <c r="L39" s="95"/>
    </row>
    <row r="40" spans="1:12" x14ac:dyDescent="0.2">
      <c r="A40" s="116" t="s">
        <v>96</v>
      </c>
      <c r="B40" s="19" t="s">
        <v>41</v>
      </c>
      <c r="C40" s="19" t="s">
        <v>52</v>
      </c>
      <c r="D40" s="53">
        <v>52.94</v>
      </c>
      <c r="E40" s="53">
        <v>46.597310863806399</v>
      </c>
      <c r="F40" s="53">
        <v>26.927</v>
      </c>
      <c r="G40" s="53">
        <v>26.012999999999998</v>
      </c>
      <c r="H40" s="53">
        <v>46.871050260834103</v>
      </c>
      <c r="I40" s="95"/>
      <c r="J40" s="95"/>
      <c r="K40" s="95"/>
      <c r="L40" s="95"/>
    </row>
    <row r="41" spans="1:12" x14ac:dyDescent="0.2">
      <c r="A41" s="116" t="s">
        <v>97</v>
      </c>
      <c r="B41" s="19" t="s">
        <v>41</v>
      </c>
      <c r="C41" s="19" t="s">
        <v>53</v>
      </c>
      <c r="D41" s="53">
        <v>52.77</v>
      </c>
      <c r="E41" s="53">
        <v>45.536925778595098</v>
      </c>
      <c r="F41" s="53">
        <v>26.317</v>
      </c>
      <c r="G41" s="53">
        <v>26.453000000000003</v>
      </c>
      <c r="H41" s="53">
        <v>45.804434722907502</v>
      </c>
      <c r="I41" s="95"/>
      <c r="J41" s="95"/>
      <c r="K41" s="95"/>
      <c r="L41" s="95"/>
    </row>
    <row r="42" spans="1:12" x14ac:dyDescent="0.2">
      <c r="A42" s="116" t="s">
        <v>98</v>
      </c>
      <c r="B42" s="19" t="s">
        <v>26</v>
      </c>
      <c r="C42" s="19" t="s">
        <v>49</v>
      </c>
      <c r="D42" s="53">
        <v>30.638000000000002</v>
      </c>
      <c r="E42" s="53">
        <v>28.8551277379235</v>
      </c>
      <c r="F42" s="53">
        <v>13.030000000000001</v>
      </c>
      <c r="G42" s="53">
        <v>17.608000000000001</v>
      </c>
      <c r="H42" s="53">
        <v>29.358995266475901</v>
      </c>
      <c r="I42" s="95"/>
      <c r="J42" s="95"/>
      <c r="K42" s="95"/>
      <c r="L42" s="95"/>
    </row>
    <row r="43" spans="1:12" x14ac:dyDescent="0.2">
      <c r="A43" s="116" t="s">
        <v>99</v>
      </c>
      <c r="B43" s="19" t="s">
        <v>26</v>
      </c>
      <c r="C43" s="19" t="s">
        <v>50</v>
      </c>
      <c r="D43" s="53">
        <v>31.707000000000001</v>
      </c>
      <c r="E43" s="53">
        <v>29.276393124082102</v>
      </c>
      <c r="F43" s="53">
        <v>13.302</v>
      </c>
      <c r="G43" s="53">
        <v>18.405000000000005</v>
      </c>
      <c r="H43" s="53">
        <v>29.784231021651902</v>
      </c>
      <c r="I43" s="95"/>
      <c r="J43" s="95"/>
      <c r="K43" s="95"/>
      <c r="L43" s="95"/>
    </row>
    <row r="44" spans="1:12" x14ac:dyDescent="0.2">
      <c r="A44" s="116" t="s">
        <v>100</v>
      </c>
      <c r="B44" s="19" t="s">
        <v>26</v>
      </c>
      <c r="C44" s="19" t="s">
        <v>51</v>
      </c>
      <c r="D44" s="53">
        <v>32.790999999999997</v>
      </c>
      <c r="E44" s="53">
        <v>29.683622993245599</v>
      </c>
      <c r="F44" s="53">
        <v>13.553999999999998</v>
      </c>
      <c r="G44" s="53">
        <v>19.237000000000005</v>
      </c>
      <c r="H44" s="53">
        <v>30.195081838391602</v>
      </c>
      <c r="I44" s="95"/>
      <c r="J44" s="95"/>
      <c r="K44" s="95"/>
      <c r="L44" s="95"/>
    </row>
    <row r="45" spans="1:12" x14ac:dyDescent="0.2">
      <c r="A45" s="116" t="s">
        <v>101</v>
      </c>
      <c r="B45" s="19" t="s">
        <v>26</v>
      </c>
      <c r="C45" s="19" t="s">
        <v>52</v>
      </c>
      <c r="D45" s="53">
        <v>33.929000000000002</v>
      </c>
      <c r="E45" s="53">
        <v>30.111551547735399</v>
      </c>
      <c r="F45" s="53">
        <v>13.815000000000001</v>
      </c>
      <c r="G45" s="53">
        <v>20.114000000000001</v>
      </c>
      <c r="H45" s="53">
        <v>30.626294095340299</v>
      </c>
      <c r="I45" s="95"/>
      <c r="J45" s="95"/>
      <c r="K45" s="95"/>
      <c r="L45" s="95"/>
    </row>
    <row r="46" spans="1:12" x14ac:dyDescent="0.2">
      <c r="A46" s="116" t="s">
        <v>102</v>
      </c>
      <c r="B46" s="19" t="s">
        <v>26</v>
      </c>
      <c r="C46" s="19" t="s">
        <v>53</v>
      </c>
      <c r="D46" s="53">
        <v>35.066000000000003</v>
      </c>
      <c r="E46" s="53">
        <v>30.510416116148299</v>
      </c>
      <c r="F46" s="53">
        <v>14.082999999999998</v>
      </c>
      <c r="G46" s="53">
        <v>20.983000000000004</v>
      </c>
      <c r="H46" s="53">
        <v>31.027246868814402</v>
      </c>
      <c r="I46" s="95"/>
      <c r="J46" s="95"/>
      <c r="K46" s="95"/>
      <c r="L46" s="95"/>
    </row>
    <row r="47" spans="1:12" x14ac:dyDescent="0.2">
      <c r="A47" s="116" t="s">
        <v>103</v>
      </c>
      <c r="B47" s="19" t="s">
        <v>27</v>
      </c>
      <c r="C47" s="19" t="s">
        <v>49</v>
      </c>
      <c r="D47" s="53">
        <v>54.127195469609902</v>
      </c>
      <c r="E47" s="53">
        <v>50.655893627399898</v>
      </c>
      <c r="F47" s="53">
        <v>24.656195469609898</v>
      </c>
      <c r="G47" s="53">
        <v>29.470999999999997</v>
      </c>
      <c r="H47" s="53">
        <v>52.094322273662002</v>
      </c>
      <c r="I47" s="95"/>
      <c r="J47" s="95"/>
      <c r="K47" s="95"/>
      <c r="L47" s="95"/>
    </row>
    <row r="48" spans="1:12" x14ac:dyDescent="0.2">
      <c r="A48" s="116" t="s">
        <v>104</v>
      </c>
      <c r="B48" s="19" t="s">
        <v>27</v>
      </c>
      <c r="C48" s="19" t="s">
        <v>50</v>
      </c>
      <c r="D48" s="53">
        <v>55.656718654521903</v>
      </c>
      <c r="E48" s="53">
        <v>51.070725914847202</v>
      </c>
      <c r="F48" s="53">
        <v>25.408718654521898</v>
      </c>
      <c r="G48" s="53">
        <v>30.247999999999998</v>
      </c>
      <c r="H48" s="53">
        <v>52.509526120291497</v>
      </c>
      <c r="I48" s="95"/>
      <c r="J48" s="95"/>
      <c r="K48" s="95"/>
      <c r="L48" s="95"/>
    </row>
    <row r="49" spans="1:12" x14ac:dyDescent="0.2">
      <c r="A49" s="116" t="s">
        <v>105</v>
      </c>
      <c r="B49" s="19" t="s">
        <v>27</v>
      </c>
      <c r="C49" s="19" t="s">
        <v>51</v>
      </c>
      <c r="D49" s="53">
        <v>55.759821271839897</v>
      </c>
      <c r="E49" s="53">
        <v>50.164184218806597</v>
      </c>
      <c r="F49" s="53">
        <v>26.181821271839897</v>
      </c>
      <c r="G49" s="53">
        <v>29.577999999999999</v>
      </c>
      <c r="H49" s="53">
        <v>50.164184218806597</v>
      </c>
      <c r="I49" s="95"/>
      <c r="J49" s="95"/>
      <c r="K49" s="95"/>
      <c r="L49" s="95"/>
    </row>
    <row r="50" spans="1:12" x14ac:dyDescent="0.2">
      <c r="A50" s="116" t="s">
        <v>106</v>
      </c>
      <c r="B50" s="19" t="s">
        <v>27</v>
      </c>
      <c r="C50" s="19" t="s">
        <v>52</v>
      </c>
      <c r="D50" s="53">
        <v>54.152321155879299</v>
      </c>
      <c r="E50" s="53">
        <v>47.7560770309166</v>
      </c>
      <c r="F50" s="53">
        <v>26.971321155879298</v>
      </c>
      <c r="G50" s="53">
        <v>27.180999999999994</v>
      </c>
      <c r="H50" s="53">
        <v>47.7560770309166</v>
      </c>
      <c r="I50" s="95"/>
      <c r="J50" s="95"/>
      <c r="K50" s="95"/>
      <c r="L50" s="95"/>
    </row>
    <row r="51" spans="1:12" x14ac:dyDescent="0.2">
      <c r="A51" s="116" t="s">
        <v>107</v>
      </c>
      <c r="B51" s="19" t="s">
        <v>27</v>
      </c>
      <c r="C51" s="19" t="s">
        <v>53</v>
      </c>
      <c r="D51" s="53">
        <v>53.490289842714297</v>
      </c>
      <c r="E51" s="53">
        <v>46.252476303186597</v>
      </c>
      <c r="F51" s="53">
        <v>27.781289842714301</v>
      </c>
      <c r="G51" s="53">
        <v>25.709000000000003</v>
      </c>
      <c r="H51" s="53">
        <v>46.252476303186597</v>
      </c>
      <c r="I51" s="95"/>
      <c r="J51" s="95"/>
      <c r="K51" s="95"/>
      <c r="L51" s="95"/>
    </row>
    <row r="52" spans="1:12" x14ac:dyDescent="0.2">
      <c r="A52" s="116" t="s">
        <v>218</v>
      </c>
      <c r="B52" s="19" t="s">
        <v>156</v>
      </c>
      <c r="C52" s="19" t="s">
        <v>49</v>
      </c>
      <c r="D52" s="53">
        <v>91.930939828044998</v>
      </c>
      <c r="E52" s="53">
        <v>87.259232123243095</v>
      </c>
      <c r="F52" s="53">
        <v>25.589813127201229</v>
      </c>
      <c r="G52" s="53">
        <v>66.341126700843745</v>
      </c>
      <c r="H52" s="53">
        <v>97.266287713308998</v>
      </c>
      <c r="I52" s="95"/>
      <c r="J52" s="95"/>
      <c r="K52" s="95"/>
      <c r="L52" s="95"/>
    </row>
    <row r="53" spans="1:12" x14ac:dyDescent="0.2">
      <c r="A53" s="116" t="s">
        <v>219</v>
      </c>
      <c r="B53" s="19" t="s">
        <v>156</v>
      </c>
      <c r="C53" s="19" t="s">
        <v>50</v>
      </c>
      <c r="D53" s="53">
        <v>94.959928310055503</v>
      </c>
      <c r="E53" s="53">
        <v>88.537656376310096</v>
      </c>
      <c r="F53" s="53">
        <v>26.549070887871579</v>
      </c>
      <c r="G53" s="53">
        <v>68.410857422183938</v>
      </c>
      <c r="H53" s="53">
        <v>98.453100328188796</v>
      </c>
      <c r="I53" s="95"/>
      <c r="J53" s="95"/>
      <c r="K53" s="95"/>
      <c r="L53" s="95"/>
    </row>
    <row r="54" spans="1:12" x14ac:dyDescent="0.2">
      <c r="A54" s="116" t="s">
        <v>220</v>
      </c>
      <c r="B54" s="19" t="s">
        <v>156</v>
      </c>
      <c r="C54" s="19" t="s">
        <v>51</v>
      </c>
      <c r="D54" s="53">
        <v>93.822874169263898</v>
      </c>
      <c r="E54" s="53">
        <v>85.875998809211495</v>
      </c>
      <c r="F54" s="53">
        <v>27.507139438516152</v>
      </c>
      <c r="G54" s="53">
        <v>66.315734730747735</v>
      </c>
      <c r="H54" s="53">
        <v>95.697427048561806</v>
      </c>
      <c r="I54" s="95"/>
      <c r="J54" s="95"/>
      <c r="K54" s="95"/>
      <c r="L54" s="95"/>
    </row>
    <row r="55" spans="1:12" x14ac:dyDescent="0.2">
      <c r="A55" s="116" t="s">
        <v>221</v>
      </c>
      <c r="B55" s="19" t="s">
        <v>156</v>
      </c>
      <c r="C55" s="19" t="s">
        <v>52</v>
      </c>
      <c r="D55" s="53">
        <v>89.882597231763995</v>
      </c>
      <c r="E55" s="53">
        <v>80.708049373170397</v>
      </c>
      <c r="F55" s="53">
        <v>27.780956509927218</v>
      </c>
      <c r="G55" s="53">
        <v>62.101640721836787</v>
      </c>
      <c r="H55" s="53">
        <v>90.437442256964104</v>
      </c>
      <c r="I55" s="95"/>
      <c r="J55" s="95"/>
      <c r="K55" s="95"/>
      <c r="L55" s="95"/>
    </row>
    <row r="56" spans="1:12" x14ac:dyDescent="0.2">
      <c r="A56" s="116" t="s">
        <v>222</v>
      </c>
      <c r="B56" s="19" t="s">
        <v>156</v>
      </c>
      <c r="C56" s="19" t="s">
        <v>53</v>
      </c>
      <c r="D56" s="53">
        <v>91.374835121656105</v>
      </c>
      <c r="E56" s="53">
        <v>80.457893289737498</v>
      </c>
      <c r="F56" s="53">
        <v>28.060167513755001</v>
      </c>
      <c r="G56" s="53">
        <v>63.314667607901143</v>
      </c>
      <c r="H56" s="53">
        <v>90.09987206852</v>
      </c>
      <c r="I56" s="95"/>
      <c r="J56" s="95"/>
      <c r="K56" s="95"/>
      <c r="L56" s="95"/>
    </row>
    <row r="57" spans="1:12" x14ac:dyDescent="0.2">
      <c r="A57" s="116" t="s">
        <v>223</v>
      </c>
      <c r="B57" s="19" t="s">
        <v>157</v>
      </c>
      <c r="C57" s="19" t="s">
        <v>49</v>
      </c>
      <c r="D57" s="53">
        <v>2.92189680319545</v>
      </c>
      <c r="E57" s="53">
        <v>2.77341308450774</v>
      </c>
      <c r="F57" s="53">
        <v>0.64996081954347096</v>
      </c>
      <c r="G57" s="53">
        <v>2.271935983651979</v>
      </c>
      <c r="H57" s="53">
        <v>2.77341308450774</v>
      </c>
      <c r="I57" s="95"/>
      <c r="J57" s="95"/>
      <c r="K57" s="95"/>
      <c r="L57" s="95"/>
    </row>
    <row r="58" spans="1:12" x14ac:dyDescent="0.2">
      <c r="A58" s="116" t="s">
        <v>224</v>
      </c>
      <c r="B58" s="19" t="s">
        <v>157</v>
      </c>
      <c r="C58" s="19" t="s">
        <v>50</v>
      </c>
      <c r="D58" s="53">
        <v>2.9206490767892599</v>
      </c>
      <c r="E58" s="53">
        <v>2.72312152039791</v>
      </c>
      <c r="F58" s="53">
        <v>0.66926351878707602</v>
      </c>
      <c r="G58" s="53">
        <v>2.2513855580021889</v>
      </c>
      <c r="H58" s="53">
        <v>2.72312152039791</v>
      </c>
      <c r="I58" s="95"/>
      <c r="J58" s="95"/>
      <c r="K58" s="95"/>
      <c r="L58" s="95"/>
    </row>
    <row r="59" spans="1:12" x14ac:dyDescent="0.2">
      <c r="A59" s="116" t="s">
        <v>225</v>
      </c>
      <c r="B59" s="19" t="s">
        <v>157</v>
      </c>
      <c r="C59" s="19" t="s">
        <v>51</v>
      </c>
      <c r="D59" s="53">
        <v>2.71379920726039</v>
      </c>
      <c r="E59" s="53">
        <v>2.4839381606524999</v>
      </c>
      <c r="F59" s="53">
        <v>0.71231945535817398</v>
      </c>
      <c r="G59" s="53">
        <v>2.0014797519022132</v>
      </c>
      <c r="H59" s="53">
        <v>2.4839381606524999</v>
      </c>
      <c r="I59" s="95"/>
      <c r="J59" s="95"/>
      <c r="K59" s="95"/>
      <c r="L59" s="95"/>
    </row>
    <row r="60" spans="1:12" x14ac:dyDescent="0.2">
      <c r="A60" s="116" t="s">
        <v>226</v>
      </c>
      <c r="B60" s="19" t="s">
        <v>157</v>
      </c>
      <c r="C60" s="19" t="s">
        <v>52</v>
      </c>
      <c r="D60" s="53">
        <v>2.4657015495698702</v>
      </c>
      <c r="E60" s="53">
        <v>2.21402105113915</v>
      </c>
      <c r="F60" s="53">
        <v>0.58822662590680197</v>
      </c>
      <c r="G60" s="53">
        <v>1.8774749236630637</v>
      </c>
      <c r="H60" s="53">
        <v>2.21402105113915</v>
      </c>
      <c r="I60" s="95"/>
      <c r="J60" s="95"/>
      <c r="K60" s="95"/>
      <c r="L60" s="95"/>
    </row>
    <row r="61" spans="1:12" x14ac:dyDescent="0.2">
      <c r="A61" s="116" t="s">
        <v>227</v>
      </c>
      <c r="B61" s="19" t="s">
        <v>157</v>
      </c>
      <c r="C61" s="19" t="s">
        <v>53</v>
      </c>
      <c r="D61" s="53">
        <v>2.5082652890222099</v>
      </c>
      <c r="E61" s="53">
        <v>2.2085921216472002</v>
      </c>
      <c r="F61" s="53">
        <v>0.61069218361117694</v>
      </c>
      <c r="G61" s="53">
        <v>1.8975731054110356</v>
      </c>
      <c r="H61" s="53">
        <v>2.2085921216472002</v>
      </c>
      <c r="I61" s="95"/>
      <c r="J61" s="95"/>
      <c r="K61" s="95"/>
      <c r="L61" s="95"/>
    </row>
    <row r="62" spans="1:12" x14ac:dyDescent="0.2">
      <c r="A62" s="116" t="s">
        <v>108</v>
      </c>
      <c r="B62" s="19" t="s">
        <v>28</v>
      </c>
      <c r="C62" s="19" t="s">
        <v>49</v>
      </c>
      <c r="D62" s="53">
        <v>28.14</v>
      </c>
      <c r="E62" s="53">
        <v>26.6207295961376</v>
      </c>
      <c r="F62" s="53">
        <v>9.0869999999999997</v>
      </c>
      <c r="G62" s="53">
        <v>19.053000000000001</v>
      </c>
      <c r="H62" s="53">
        <v>26.6207295961376</v>
      </c>
      <c r="I62" s="95"/>
      <c r="J62" s="95"/>
      <c r="K62" s="95"/>
      <c r="L62" s="95"/>
    </row>
    <row r="63" spans="1:12" x14ac:dyDescent="0.2">
      <c r="A63" s="116" t="s">
        <v>109</v>
      </c>
      <c r="B63" s="19" t="s">
        <v>28</v>
      </c>
      <c r="C63" s="19" t="s">
        <v>50</v>
      </c>
      <c r="D63" s="53">
        <v>28.67</v>
      </c>
      <c r="E63" s="53">
        <v>26.624241730152999</v>
      </c>
      <c r="F63" s="53">
        <v>8.9019999999999992</v>
      </c>
      <c r="G63" s="53">
        <v>19.768000000000001</v>
      </c>
      <c r="H63" s="53">
        <v>26.624241730152999</v>
      </c>
      <c r="I63" s="95"/>
      <c r="J63" s="95"/>
      <c r="K63" s="95"/>
      <c r="L63" s="95"/>
    </row>
    <row r="64" spans="1:12" x14ac:dyDescent="0.2">
      <c r="A64" s="116" t="s">
        <v>110</v>
      </c>
      <c r="B64" s="19" t="s">
        <v>28</v>
      </c>
      <c r="C64" s="19" t="s">
        <v>51</v>
      </c>
      <c r="D64" s="53">
        <v>29.132000000000001</v>
      </c>
      <c r="E64" s="53">
        <v>26.5566658999151</v>
      </c>
      <c r="F64" s="53">
        <v>8.7140000000000004</v>
      </c>
      <c r="G64" s="53">
        <v>20.417999999999999</v>
      </c>
      <c r="H64" s="53">
        <v>26.5566658999151</v>
      </c>
      <c r="I64" s="95"/>
      <c r="J64" s="95"/>
      <c r="K64" s="95"/>
      <c r="L64" s="95"/>
    </row>
    <row r="65" spans="1:12" x14ac:dyDescent="0.2">
      <c r="A65" s="116" t="s">
        <v>111</v>
      </c>
      <c r="B65" s="19" t="s">
        <v>28</v>
      </c>
      <c r="C65" s="19" t="s">
        <v>52</v>
      </c>
      <c r="D65" s="53">
        <v>29.754000000000001</v>
      </c>
      <c r="E65" s="53">
        <v>26.625777663381701</v>
      </c>
      <c r="F65" s="53">
        <v>8.5220000000000002</v>
      </c>
      <c r="G65" s="53">
        <v>21.231999999999999</v>
      </c>
      <c r="H65" s="53">
        <v>26.625777663381701</v>
      </c>
      <c r="I65" s="95"/>
      <c r="J65" s="95"/>
      <c r="K65" s="95"/>
      <c r="L65" s="95"/>
    </row>
    <row r="66" spans="1:12" x14ac:dyDescent="0.2">
      <c r="A66" s="116" t="s">
        <v>112</v>
      </c>
      <c r="B66" s="19" t="s">
        <v>28</v>
      </c>
      <c r="C66" s="19" t="s">
        <v>53</v>
      </c>
      <c r="D66" s="53">
        <v>29.760999999999999</v>
      </c>
      <c r="E66" s="53">
        <v>26.143164533247202</v>
      </c>
      <c r="F66" s="53">
        <v>8.3249999999999993</v>
      </c>
      <c r="G66" s="53">
        <v>21.435999999999996</v>
      </c>
      <c r="H66" s="53">
        <v>26.143164533247202</v>
      </c>
      <c r="I66" s="95"/>
      <c r="J66" s="95"/>
      <c r="K66" s="95"/>
      <c r="L66" s="95"/>
    </row>
    <row r="67" spans="1:12" x14ac:dyDescent="0.2">
      <c r="A67" s="116" t="s">
        <v>113</v>
      </c>
      <c r="B67" s="19" t="s">
        <v>29</v>
      </c>
      <c r="C67" s="19" t="s">
        <v>49</v>
      </c>
      <c r="D67" s="53">
        <v>9.5540000000000003</v>
      </c>
      <c r="E67" s="53">
        <v>9.0039430293896601</v>
      </c>
      <c r="F67" s="53">
        <v>3.2280000000000002</v>
      </c>
      <c r="G67" s="53">
        <v>6.3260000000000023</v>
      </c>
      <c r="H67" s="53">
        <v>9.0039430293896601</v>
      </c>
      <c r="I67" s="95"/>
      <c r="J67" s="95"/>
      <c r="K67" s="95"/>
      <c r="L67" s="95"/>
    </row>
    <row r="68" spans="1:12" x14ac:dyDescent="0.2">
      <c r="A68" s="116" t="s">
        <v>114</v>
      </c>
      <c r="B68" s="19" t="s">
        <v>29</v>
      </c>
      <c r="C68" s="19" t="s">
        <v>50</v>
      </c>
      <c r="D68" s="53">
        <v>9.8650000000000002</v>
      </c>
      <c r="E68" s="53">
        <v>9.1136655093448091</v>
      </c>
      <c r="F68" s="53">
        <v>3.2890000000000001</v>
      </c>
      <c r="G68" s="53">
        <v>6.5760000000000005</v>
      </c>
      <c r="H68" s="53">
        <v>9.1136655093448091</v>
      </c>
      <c r="I68" s="95"/>
      <c r="J68" s="95"/>
      <c r="K68" s="95"/>
      <c r="L68" s="95"/>
    </row>
    <row r="69" spans="1:12" x14ac:dyDescent="0.2">
      <c r="A69" s="116" t="s">
        <v>115</v>
      </c>
      <c r="B69" s="19" t="s">
        <v>29</v>
      </c>
      <c r="C69" s="19" t="s">
        <v>51</v>
      </c>
      <c r="D69" s="53">
        <v>10.082000000000001</v>
      </c>
      <c r="E69" s="53">
        <v>9.1306750669853294</v>
      </c>
      <c r="F69" s="53">
        <v>3.3449999999999998</v>
      </c>
      <c r="G69" s="53">
        <v>6.737000000000001</v>
      </c>
      <c r="H69" s="53">
        <v>9.1306750669853294</v>
      </c>
      <c r="I69" s="95"/>
      <c r="J69" s="95"/>
      <c r="K69" s="95"/>
      <c r="L69" s="95"/>
    </row>
    <row r="70" spans="1:12" x14ac:dyDescent="0.2">
      <c r="A70" s="116" t="s">
        <v>116</v>
      </c>
      <c r="B70" s="19" t="s">
        <v>29</v>
      </c>
      <c r="C70" s="19" t="s">
        <v>52</v>
      </c>
      <c r="D70" s="53">
        <v>10.211</v>
      </c>
      <c r="E70" s="53">
        <v>9.0656514269488007</v>
      </c>
      <c r="F70" s="53">
        <v>3.4000000000000004</v>
      </c>
      <c r="G70" s="53">
        <v>6.8110000000000017</v>
      </c>
      <c r="H70" s="53">
        <v>9.0656514269488007</v>
      </c>
      <c r="I70" s="95"/>
      <c r="J70" s="95"/>
      <c r="K70" s="95"/>
      <c r="L70" s="95"/>
    </row>
    <row r="71" spans="1:12" x14ac:dyDescent="0.2">
      <c r="A71" s="116" t="s">
        <v>117</v>
      </c>
      <c r="B71" s="19" t="s">
        <v>29</v>
      </c>
      <c r="C71" s="19" t="s">
        <v>53</v>
      </c>
      <c r="D71" s="53">
        <v>10.276</v>
      </c>
      <c r="E71" s="53">
        <v>8.9455419741055309</v>
      </c>
      <c r="F71" s="53">
        <v>3.4590000000000001</v>
      </c>
      <c r="G71" s="53">
        <v>6.8170000000000002</v>
      </c>
      <c r="H71" s="53">
        <v>8.9455419741055309</v>
      </c>
      <c r="I71" s="95"/>
      <c r="J71" s="95"/>
      <c r="K71" s="95"/>
      <c r="L71" s="95"/>
    </row>
    <row r="72" spans="1:12" x14ac:dyDescent="0.2">
      <c r="A72" s="116" t="s">
        <v>123</v>
      </c>
      <c r="B72" s="19" t="s">
        <v>31</v>
      </c>
      <c r="C72" s="19" t="s">
        <v>49</v>
      </c>
      <c r="D72" s="53">
        <v>4.6219999999999999</v>
      </c>
      <c r="E72" s="53">
        <v>4.3554138302764498</v>
      </c>
      <c r="F72" s="53">
        <v>0.93300000000000005</v>
      </c>
      <c r="G72" s="53">
        <v>3.6890000000000001</v>
      </c>
      <c r="H72" s="53">
        <v>4.3554138302764498</v>
      </c>
      <c r="I72" s="95"/>
      <c r="J72" s="95"/>
      <c r="K72" s="95"/>
      <c r="L72" s="95"/>
    </row>
    <row r="73" spans="1:12" x14ac:dyDescent="0.2">
      <c r="A73" s="116" t="s">
        <v>124</v>
      </c>
      <c r="B73" s="19" t="s">
        <v>31</v>
      </c>
      <c r="C73" s="19" t="s">
        <v>50</v>
      </c>
      <c r="D73" s="53">
        <v>4.6470000000000002</v>
      </c>
      <c r="E73" s="53">
        <v>4.2931096947452199</v>
      </c>
      <c r="F73" s="53">
        <v>0.93199999999999994</v>
      </c>
      <c r="G73" s="53">
        <v>3.7149999999999994</v>
      </c>
      <c r="H73" s="53">
        <v>4.2931096947452199</v>
      </c>
      <c r="I73" s="95"/>
      <c r="J73" s="95"/>
      <c r="K73" s="95"/>
      <c r="L73" s="95"/>
    </row>
    <row r="74" spans="1:12" x14ac:dyDescent="0.2">
      <c r="A74" s="116" t="s">
        <v>125</v>
      </c>
      <c r="B74" s="19" t="s">
        <v>31</v>
      </c>
      <c r="C74" s="19" t="s">
        <v>51</v>
      </c>
      <c r="D74" s="53">
        <v>4.6769999999999996</v>
      </c>
      <c r="E74" s="53">
        <v>4.2361029975745303</v>
      </c>
      <c r="F74" s="53">
        <v>0.94300000000000006</v>
      </c>
      <c r="G74" s="53">
        <v>3.7340000000000004</v>
      </c>
      <c r="H74" s="53">
        <v>4.2361029975745303</v>
      </c>
      <c r="I74" s="95"/>
      <c r="J74" s="95"/>
      <c r="K74" s="95"/>
      <c r="L74" s="95"/>
    </row>
    <row r="75" spans="1:12" x14ac:dyDescent="0.2">
      <c r="A75" s="116" t="s">
        <v>126</v>
      </c>
      <c r="B75" s="19" t="s">
        <v>31</v>
      </c>
      <c r="C75" s="19" t="s">
        <v>52</v>
      </c>
      <c r="D75" s="53">
        <v>4.7320000000000002</v>
      </c>
      <c r="E75" s="53">
        <v>4.2018805805050796</v>
      </c>
      <c r="F75" s="53">
        <v>0.97</v>
      </c>
      <c r="G75" s="53">
        <v>3.7619999999999996</v>
      </c>
      <c r="H75" s="53">
        <v>4.2018805805050796</v>
      </c>
      <c r="I75" s="95"/>
      <c r="J75" s="95"/>
      <c r="K75" s="95"/>
      <c r="L75" s="95"/>
    </row>
    <row r="76" spans="1:12" x14ac:dyDescent="0.2">
      <c r="A76" s="116" t="s">
        <v>127</v>
      </c>
      <c r="B76" s="19" t="s">
        <v>31</v>
      </c>
      <c r="C76" s="19" t="s">
        <v>53</v>
      </c>
      <c r="D76" s="53">
        <v>4.7850000000000001</v>
      </c>
      <c r="E76" s="53">
        <v>4.1656304546676104</v>
      </c>
      <c r="F76" s="53">
        <v>0.99499999999999988</v>
      </c>
      <c r="G76" s="53">
        <v>3.7899999999999983</v>
      </c>
      <c r="H76" s="53">
        <v>4.1656304546676104</v>
      </c>
      <c r="I76" s="95"/>
      <c r="J76" s="95"/>
      <c r="K76" s="95"/>
      <c r="L76" s="95"/>
    </row>
    <row r="77" spans="1:12" x14ac:dyDescent="0.2">
      <c r="A77" s="116" t="s">
        <v>128</v>
      </c>
      <c r="B77" s="19" t="s">
        <v>32</v>
      </c>
      <c r="C77" s="19" t="s">
        <v>49</v>
      </c>
      <c r="D77" s="53">
        <v>7.3872083694844397</v>
      </c>
      <c r="E77" s="53">
        <v>6.9352471938122502</v>
      </c>
      <c r="F77" s="53">
        <v>1.334639040330704</v>
      </c>
      <c r="G77" s="53">
        <v>6.0525693291537381</v>
      </c>
      <c r="H77" s="53">
        <v>6.9352471938122502</v>
      </c>
      <c r="I77" s="95"/>
      <c r="J77" s="95"/>
      <c r="K77" s="95"/>
      <c r="L77" s="95"/>
    </row>
    <row r="78" spans="1:12" x14ac:dyDescent="0.2">
      <c r="A78" s="116" t="s">
        <v>129</v>
      </c>
      <c r="B78" s="19" t="s">
        <v>32</v>
      </c>
      <c r="C78" s="19" t="s">
        <v>50</v>
      </c>
      <c r="D78" s="53">
        <v>7.4095169580540503</v>
      </c>
      <c r="E78" s="53">
        <v>6.8210098695196502</v>
      </c>
      <c r="F78" s="53">
        <v>1.340451821137318</v>
      </c>
      <c r="G78" s="53">
        <v>6.0690651369167306</v>
      </c>
      <c r="H78" s="53">
        <v>6.8210098695196502</v>
      </c>
      <c r="I78" s="95"/>
      <c r="J78" s="95"/>
      <c r="K78" s="95"/>
      <c r="L78" s="95"/>
    </row>
    <row r="79" spans="1:12" x14ac:dyDescent="0.2">
      <c r="A79" s="116" t="s">
        <v>130</v>
      </c>
      <c r="B79" s="19" t="s">
        <v>32</v>
      </c>
      <c r="C79" s="19" t="s">
        <v>51</v>
      </c>
      <c r="D79" s="53">
        <v>7.5428550460436297</v>
      </c>
      <c r="E79" s="53">
        <v>6.8064755902894696</v>
      </c>
      <c r="F79" s="53">
        <v>1.346380857560064</v>
      </c>
      <c r="G79" s="53">
        <v>6.1964741884835695</v>
      </c>
      <c r="H79" s="53">
        <v>6.8064755902894696</v>
      </c>
      <c r="I79" s="95"/>
      <c r="J79" s="95"/>
      <c r="K79" s="95"/>
      <c r="L79" s="95"/>
    </row>
    <row r="80" spans="1:12" x14ac:dyDescent="0.2">
      <c r="A80" s="116" t="s">
        <v>131</v>
      </c>
      <c r="B80" s="19" t="s">
        <v>32</v>
      </c>
      <c r="C80" s="19" t="s">
        <v>52</v>
      </c>
      <c r="D80" s="53">
        <v>7.5322524044117003</v>
      </c>
      <c r="E80" s="53">
        <v>6.6641916214766699</v>
      </c>
      <c r="F80" s="53">
        <v>1.3504284747112649</v>
      </c>
      <c r="G80" s="53">
        <v>6.1818239297004309</v>
      </c>
      <c r="H80" s="53">
        <v>6.6641916214766699</v>
      </c>
      <c r="I80" s="95"/>
      <c r="J80" s="95"/>
      <c r="K80" s="95"/>
      <c r="L80" s="95"/>
    </row>
    <row r="81" spans="1:12" x14ac:dyDescent="0.2">
      <c r="A81" s="116" t="s">
        <v>132</v>
      </c>
      <c r="B81" s="19" t="s">
        <v>32</v>
      </c>
      <c r="C81" s="19" t="s">
        <v>53</v>
      </c>
      <c r="D81" s="53">
        <v>7.5437319399069001</v>
      </c>
      <c r="E81" s="53">
        <v>6.5428886636019303</v>
      </c>
      <c r="F81" s="53">
        <v>1.3545970442054911</v>
      </c>
      <c r="G81" s="53">
        <v>6.1891348957014101</v>
      </c>
      <c r="H81" s="53">
        <v>6.5428886636019303</v>
      </c>
      <c r="I81" s="95"/>
      <c r="J81" s="95"/>
      <c r="K81" s="95"/>
      <c r="L81" s="95"/>
    </row>
    <row r="82" spans="1:12" x14ac:dyDescent="0.2">
      <c r="A82" s="116" t="s">
        <v>133</v>
      </c>
      <c r="B82" s="19" t="s">
        <v>33</v>
      </c>
      <c r="C82" s="19" t="s">
        <v>49</v>
      </c>
      <c r="D82" s="53">
        <v>15.935</v>
      </c>
      <c r="E82" s="53">
        <v>15.1006372660454</v>
      </c>
      <c r="F82" s="53">
        <v>2.36</v>
      </c>
      <c r="G82" s="53">
        <v>13.575000000000001</v>
      </c>
      <c r="H82" s="53">
        <v>15.7725137531258</v>
      </c>
      <c r="I82" s="95"/>
      <c r="J82" s="95"/>
      <c r="K82" s="95"/>
      <c r="L82" s="95"/>
    </row>
    <row r="83" spans="1:12" x14ac:dyDescent="0.2">
      <c r="A83" s="116" t="s">
        <v>134</v>
      </c>
      <c r="B83" s="19" t="s">
        <v>33</v>
      </c>
      <c r="C83" s="19" t="s">
        <v>50</v>
      </c>
      <c r="D83" s="53">
        <v>16.134</v>
      </c>
      <c r="E83" s="53">
        <v>15.003852171326599</v>
      </c>
      <c r="F83" s="53">
        <v>2.3730000000000002</v>
      </c>
      <c r="G83" s="53">
        <v>13.760999999999999</v>
      </c>
      <c r="H83" s="53">
        <v>15.674347858417599</v>
      </c>
      <c r="I83" s="95"/>
      <c r="J83" s="95"/>
      <c r="K83" s="95"/>
      <c r="L83" s="95"/>
    </row>
    <row r="84" spans="1:12" x14ac:dyDescent="0.2">
      <c r="A84" s="116" t="s">
        <v>135</v>
      </c>
      <c r="B84" s="19" t="s">
        <v>33</v>
      </c>
      <c r="C84" s="19" t="s">
        <v>51</v>
      </c>
      <c r="D84" s="53">
        <v>16.32</v>
      </c>
      <c r="E84" s="53">
        <v>14.8943968474057</v>
      </c>
      <c r="F84" s="53">
        <v>2.3879999999999999</v>
      </c>
      <c r="G84" s="53">
        <v>13.932</v>
      </c>
      <c r="H84" s="53">
        <v>15.566104940523999</v>
      </c>
      <c r="I84" s="95"/>
      <c r="J84" s="95"/>
      <c r="K84" s="95"/>
      <c r="L84" s="95"/>
    </row>
    <row r="85" spans="1:12" x14ac:dyDescent="0.2">
      <c r="A85" s="116" t="s">
        <v>136</v>
      </c>
      <c r="B85" s="19" t="s">
        <v>33</v>
      </c>
      <c r="C85" s="19" t="s">
        <v>52</v>
      </c>
      <c r="D85" s="53">
        <v>16.498000000000001</v>
      </c>
      <c r="E85" s="53">
        <v>14.7659048164317</v>
      </c>
      <c r="F85" s="53">
        <v>2.4020000000000001</v>
      </c>
      <c r="G85" s="53">
        <v>14.096000000000004</v>
      </c>
      <c r="H85" s="53">
        <v>15.437163672797499</v>
      </c>
      <c r="I85" s="95"/>
      <c r="J85" s="95"/>
      <c r="K85" s="95"/>
      <c r="L85" s="95"/>
    </row>
    <row r="86" spans="1:12" x14ac:dyDescent="0.2">
      <c r="A86" s="116" t="s">
        <v>137</v>
      </c>
      <c r="B86" s="19" t="s">
        <v>33</v>
      </c>
      <c r="C86" s="19" t="s">
        <v>53</v>
      </c>
      <c r="D86" s="53">
        <v>16.582000000000001</v>
      </c>
      <c r="E86" s="53">
        <v>14.5525959298246</v>
      </c>
      <c r="F86" s="53">
        <v>2.4169999999999998</v>
      </c>
      <c r="G86" s="53">
        <v>14.165000000000001</v>
      </c>
      <c r="H86" s="53">
        <v>15.2239706666667</v>
      </c>
      <c r="I86" s="95"/>
      <c r="J86" s="95"/>
      <c r="K86" s="95"/>
      <c r="L86" s="95"/>
    </row>
    <row r="87" spans="1:12" x14ac:dyDescent="0.2">
      <c r="A87" s="116" t="s">
        <v>138</v>
      </c>
      <c r="B87" s="19" t="s">
        <v>34</v>
      </c>
      <c r="C87" s="19" t="s">
        <v>49</v>
      </c>
      <c r="D87" s="53">
        <v>11.720424281211599</v>
      </c>
      <c r="E87" s="53">
        <v>10.974387120417401</v>
      </c>
      <c r="F87" s="53">
        <v>4.1517011963950345</v>
      </c>
      <c r="G87" s="53">
        <v>7.5687230848165541</v>
      </c>
      <c r="H87" s="53">
        <v>10.9931166509952</v>
      </c>
      <c r="I87" s="95"/>
      <c r="J87" s="95"/>
      <c r="K87" s="95"/>
      <c r="L87" s="95"/>
    </row>
    <row r="88" spans="1:12" x14ac:dyDescent="0.2">
      <c r="A88" s="116" t="s">
        <v>139</v>
      </c>
      <c r="B88" s="19" t="s">
        <v>34</v>
      </c>
      <c r="C88" s="19" t="s">
        <v>50</v>
      </c>
      <c r="D88" s="53">
        <v>11.8637451384245</v>
      </c>
      <c r="E88" s="53">
        <v>10.8881011633071</v>
      </c>
      <c r="F88" s="53">
        <v>4.1076217796700876</v>
      </c>
      <c r="G88" s="53">
        <v>7.7561233587543787</v>
      </c>
      <c r="H88" s="53">
        <v>10.9068306943485</v>
      </c>
      <c r="I88" s="95"/>
      <c r="J88" s="95"/>
      <c r="K88" s="95"/>
      <c r="L88" s="95"/>
    </row>
    <row r="89" spans="1:12" x14ac:dyDescent="0.2">
      <c r="A89" s="116" t="s">
        <v>140</v>
      </c>
      <c r="B89" s="19" t="s">
        <v>34</v>
      </c>
      <c r="C89" s="19" t="s">
        <v>51</v>
      </c>
      <c r="D89" s="53">
        <v>11.809823396873799</v>
      </c>
      <c r="E89" s="53">
        <v>10.6260919681343</v>
      </c>
      <c r="F89" s="53">
        <v>4.1547283709190026</v>
      </c>
      <c r="G89" s="53">
        <v>7.6550950259548234</v>
      </c>
      <c r="H89" s="53">
        <v>10.6448214715472</v>
      </c>
      <c r="I89" s="95"/>
      <c r="J89" s="95"/>
      <c r="K89" s="95"/>
      <c r="L89" s="95"/>
    </row>
    <row r="90" spans="1:12" x14ac:dyDescent="0.2">
      <c r="A90" s="116" t="s">
        <v>141</v>
      </c>
      <c r="B90" s="19" t="s">
        <v>34</v>
      </c>
      <c r="C90" s="19" t="s">
        <v>52</v>
      </c>
      <c r="D90" s="53">
        <v>12.006708385540501</v>
      </c>
      <c r="E90" s="53">
        <v>10.591414340268701</v>
      </c>
      <c r="F90" s="53">
        <v>4.2048891669781812</v>
      </c>
      <c r="G90" s="53">
        <v>7.8018192185623532</v>
      </c>
      <c r="H90" s="53">
        <v>10.6101438152331</v>
      </c>
      <c r="I90" s="95"/>
      <c r="J90" s="95"/>
      <c r="K90" s="95"/>
      <c r="L90" s="95"/>
    </row>
    <row r="91" spans="1:12" x14ac:dyDescent="0.2">
      <c r="A91" s="116" t="s">
        <v>142</v>
      </c>
      <c r="B91" s="19" t="s">
        <v>34</v>
      </c>
      <c r="C91" s="19" t="s">
        <v>53</v>
      </c>
      <c r="D91" s="53">
        <v>12.093304371477</v>
      </c>
      <c r="E91" s="53">
        <v>10.4586301966698</v>
      </c>
      <c r="F91" s="53">
        <v>4.2542509263017463</v>
      </c>
      <c r="G91" s="53">
        <v>7.8390534451752396</v>
      </c>
      <c r="H91" s="53">
        <v>10.477359646469701</v>
      </c>
      <c r="I91" s="95"/>
      <c r="J91" s="95"/>
      <c r="K91" s="95"/>
      <c r="L91" s="95"/>
    </row>
    <row r="92" spans="1:12" x14ac:dyDescent="0.2">
      <c r="A92" s="116" t="s">
        <v>287</v>
      </c>
      <c r="B92" s="19" t="s">
        <v>232</v>
      </c>
      <c r="C92" s="19" t="s">
        <v>49</v>
      </c>
      <c r="D92" s="53">
        <v>94.852836631240393</v>
      </c>
      <c r="E92" s="53">
        <v>90.032645207750903</v>
      </c>
      <c r="F92" s="53">
        <v>26.239773946744698</v>
      </c>
      <c r="G92" s="53">
        <v>68.613062684495702</v>
      </c>
      <c r="H92" s="53">
        <v>100.03970079781701</v>
      </c>
      <c r="I92" s="95"/>
      <c r="J92" s="95"/>
      <c r="K92" s="95"/>
      <c r="L92" s="95"/>
    </row>
    <row r="93" spans="1:12" x14ac:dyDescent="0.2">
      <c r="A93" s="116" t="s">
        <v>288</v>
      </c>
      <c r="B93" s="19" t="s">
        <v>232</v>
      </c>
      <c r="C93" s="19" t="s">
        <v>50</v>
      </c>
      <c r="D93" s="53">
        <v>97.880577386844806</v>
      </c>
      <c r="E93" s="53">
        <v>91.260777896708007</v>
      </c>
      <c r="F93" s="53">
        <v>27.218334406658656</v>
      </c>
      <c r="G93" s="53">
        <v>70.662242980186122</v>
      </c>
      <c r="H93" s="53">
        <v>101.17622184858701</v>
      </c>
      <c r="I93" s="95"/>
      <c r="J93" s="95"/>
      <c r="K93" s="95"/>
      <c r="L93" s="95"/>
    </row>
    <row r="94" spans="1:12" x14ac:dyDescent="0.2">
      <c r="A94" s="116" t="s">
        <v>289</v>
      </c>
      <c r="B94" s="19" t="s">
        <v>232</v>
      </c>
      <c r="C94" s="19" t="s">
        <v>51</v>
      </c>
      <c r="D94" s="53">
        <v>96.536673376524305</v>
      </c>
      <c r="E94" s="53">
        <v>88.359936969863895</v>
      </c>
      <c r="F94" s="53">
        <v>28.219458893874325</v>
      </c>
      <c r="G94" s="53">
        <v>68.317214482649945</v>
      </c>
      <c r="H94" s="53">
        <v>98.181365209214206</v>
      </c>
      <c r="I94" s="95"/>
      <c r="J94" s="95"/>
      <c r="K94" s="95"/>
      <c r="L94" s="95"/>
    </row>
    <row r="95" spans="1:12" x14ac:dyDescent="0.2">
      <c r="A95" s="116" t="s">
        <v>290</v>
      </c>
      <c r="B95" s="19" t="s">
        <v>232</v>
      </c>
      <c r="C95" s="19" t="s">
        <v>52</v>
      </c>
      <c r="D95" s="53">
        <v>92.348298781333895</v>
      </c>
      <c r="E95" s="53">
        <v>82.922070424309496</v>
      </c>
      <c r="F95" s="53">
        <v>28.369183135834021</v>
      </c>
      <c r="G95" s="53">
        <v>63.979115645499874</v>
      </c>
      <c r="H95" s="53">
        <v>92.651463308103203</v>
      </c>
      <c r="I95" s="95"/>
      <c r="J95" s="95"/>
      <c r="K95" s="95"/>
      <c r="L95" s="95"/>
    </row>
    <row r="96" spans="1:12" x14ac:dyDescent="0.2">
      <c r="A96" s="116" t="s">
        <v>291</v>
      </c>
      <c r="B96" s="19" t="s">
        <v>232</v>
      </c>
      <c r="C96" s="19" t="s">
        <v>53</v>
      </c>
      <c r="D96" s="53">
        <v>93.883100410678395</v>
      </c>
      <c r="E96" s="53">
        <v>82.666485411384798</v>
      </c>
      <c r="F96" s="53">
        <v>28.670859697366179</v>
      </c>
      <c r="G96" s="53">
        <v>65.212240713312198</v>
      </c>
      <c r="H96" s="53">
        <v>92.3084641901672</v>
      </c>
      <c r="I96" s="95"/>
      <c r="J96" s="95"/>
      <c r="K96" s="95"/>
      <c r="L96" s="95"/>
    </row>
    <row r="98" spans="4:12" x14ac:dyDescent="0.2">
      <c r="D98" s="81"/>
      <c r="E98" s="81"/>
      <c r="F98" s="81"/>
      <c r="G98" s="81"/>
      <c r="H98" s="81"/>
      <c r="I98" s="81"/>
      <c r="J98" s="81"/>
      <c r="K98" s="81"/>
      <c r="L98" s="81"/>
    </row>
    <row r="99" spans="4:12" x14ac:dyDescent="0.2">
      <c r="D99" s="81"/>
      <c r="E99" s="81"/>
      <c r="F99" s="81"/>
      <c r="G99" s="81"/>
      <c r="H99" s="81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B1:J13"/>
  <sheetViews>
    <sheetView showGridLines="0" zoomScale="90" zoomScaleNormal="90" workbookViewId="0"/>
  </sheetViews>
  <sheetFormatPr defaultColWidth="8.625" defaultRowHeight="12.75" x14ac:dyDescent="0.2"/>
  <cols>
    <col min="1" max="1" width="2.125" style="17" customWidth="1"/>
    <col min="2" max="2" width="13.625" style="17" customWidth="1"/>
    <col min="3" max="3" width="29.875" style="17" bestFit="1" customWidth="1"/>
    <col min="4" max="10" width="7.625" style="17" customWidth="1"/>
    <col min="11" max="16384" width="8.625" style="17"/>
  </cols>
  <sheetData>
    <row r="1" spans="2:10" ht="15.75" customHeight="1" x14ac:dyDescent="0.2"/>
    <row r="2" spans="2:10" x14ac:dyDescent="0.2">
      <c r="B2" s="29"/>
      <c r="C2" s="29"/>
      <c r="D2" s="30" t="s">
        <v>207</v>
      </c>
      <c r="E2" s="31"/>
      <c r="F2" s="31"/>
      <c r="G2" s="31"/>
      <c r="H2" s="31"/>
      <c r="I2" s="31"/>
      <c r="J2" s="173"/>
    </row>
    <row r="3" spans="2:10" x14ac:dyDescent="0.2">
      <c r="B3" s="29"/>
      <c r="C3" s="29"/>
      <c r="D3" s="30" t="s">
        <v>172</v>
      </c>
      <c r="E3" s="31"/>
      <c r="F3" s="30" t="s">
        <v>173</v>
      </c>
      <c r="G3" s="30"/>
      <c r="H3" s="30" t="s">
        <v>174</v>
      </c>
      <c r="I3" s="31"/>
      <c r="J3" s="32"/>
    </row>
    <row r="4" spans="2:10" x14ac:dyDescent="0.2">
      <c r="B4" s="70" t="s">
        <v>209</v>
      </c>
      <c r="C4" s="71"/>
      <c r="D4" s="62" t="s">
        <v>210</v>
      </c>
      <c r="E4" s="62" t="s">
        <v>211</v>
      </c>
      <c r="F4" s="63" t="s">
        <v>212</v>
      </c>
      <c r="G4" s="63" t="s">
        <v>213</v>
      </c>
      <c r="H4" s="64" t="s">
        <v>214</v>
      </c>
      <c r="I4" s="64" t="s">
        <v>215</v>
      </c>
      <c r="J4" s="64" t="s">
        <v>216</v>
      </c>
    </row>
    <row r="5" spans="2:10" ht="15" x14ac:dyDescent="0.25">
      <c r="B5" s="33" t="s">
        <v>182</v>
      </c>
      <c r="C5" s="33" t="s">
        <v>183</v>
      </c>
      <c r="D5" s="147" t="s">
        <v>210</v>
      </c>
      <c r="E5" s="147" t="s">
        <v>211</v>
      </c>
      <c r="F5" s="147" t="s">
        <v>212</v>
      </c>
      <c r="G5" s="147" t="s">
        <v>213</v>
      </c>
      <c r="H5" s="147" t="s">
        <v>214</v>
      </c>
      <c r="I5" s="147" t="s">
        <v>215</v>
      </c>
      <c r="J5" s="147" t="s">
        <v>216</v>
      </c>
    </row>
    <row r="6" spans="2:10" x14ac:dyDescent="0.2">
      <c r="B6" s="35" t="s">
        <v>0</v>
      </c>
      <c r="C6" s="35" t="s">
        <v>17</v>
      </c>
      <c r="D6" s="156">
        <v>1.6521958E-3</v>
      </c>
      <c r="E6" s="156">
        <v>2.5786963000000002E-3</v>
      </c>
      <c r="F6" s="156" t="s">
        <v>294</v>
      </c>
      <c r="G6" s="156" t="s">
        <v>294</v>
      </c>
      <c r="H6" s="156" t="s">
        <v>294</v>
      </c>
      <c r="I6" s="156" t="s">
        <v>294</v>
      </c>
      <c r="J6" s="156" t="s">
        <v>294</v>
      </c>
    </row>
    <row r="7" spans="2:10" x14ac:dyDescent="0.2">
      <c r="B7" s="35" t="s">
        <v>1</v>
      </c>
      <c r="C7" s="35" t="s">
        <v>179</v>
      </c>
      <c r="D7" s="156">
        <v>5.4099984000000002E-3</v>
      </c>
      <c r="E7" s="156">
        <v>5.2494022999999999E-3</v>
      </c>
      <c r="F7" s="156" t="s">
        <v>294</v>
      </c>
      <c r="G7" s="156" t="s">
        <v>294</v>
      </c>
      <c r="H7" s="156">
        <v>2.4477331000000001E-3</v>
      </c>
      <c r="I7" s="156">
        <v>3.3068718000000001E-3</v>
      </c>
      <c r="J7" s="156">
        <v>2.7312178E-3</v>
      </c>
    </row>
    <row r="8" spans="2:10" x14ac:dyDescent="0.2">
      <c r="B8" s="35" t="s">
        <v>2</v>
      </c>
      <c r="C8" s="35" t="s">
        <v>178</v>
      </c>
      <c r="D8" s="156" t="s">
        <v>294</v>
      </c>
      <c r="E8" s="156">
        <v>-4.71807183E-2</v>
      </c>
      <c r="F8" s="156" t="s">
        <v>294</v>
      </c>
      <c r="G8" s="156" t="s">
        <v>294</v>
      </c>
      <c r="H8" s="156" t="s">
        <v>294</v>
      </c>
      <c r="I8" s="156">
        <v>-6.1700172800000001E-2</v>
      </c>
      <c r="J8" s="156">
        <v>-0.12489394619999999</v>
      </c>
    </row>
    <row r="9" spans="2:10" x14ac:dyDescent="0.2">
      <c r="B9" s="35" t="s">
        <v>3</v>
      </c>
      <c r="C9" s="35" t="s">
        <v>181</v>
      </c>
      <c r="D9" s="156" t="s">
        <v>294</v>
      </c>
      <c r="E9" s="156" t="s">
        <v>294</v>
      </c>
      <c r="F9" s="156">
        <v>1.1375701118999999</v>
      </c>
      <c r="G9" s="156">
        <v>1.1248586558</v>
      </c>
      <c r="H9" s="156">
        <v>0.46503326820000002</v>
      </c>
      <c r="I9" s="156">
        <v>0.52111418460000003</v>
      </c>
      <c r="J9" s="156">
        <v>0.59514090080000004</v>
      </c>
    </row>
    <row r="10" spans="2:10" x14ac:dyDescent="0.2">
      <c r="B10" s="35" t="s">
        <v>4</v>
      </c>
      <c r="C10" s="35" t="s">
        <v>175</v>
      </c>
      <c r="D10" s="156" t="s">
        <v>294</v>
      </c>
      <c r="E10" s="156" t="s">
        <v>294</v>
      </c>
      <c r="F10" s="156">
        <v>5.95701446E-2</v>
      </c>
      <c r="G10" s="156" t="s">
        <v>294</v>
      </c>
      <c r="H10" s="156">
        <v>1.9634616399999999E-2</v>
      </c>
      <c r="I10" s="156">
        <v>2.8661855999999999E-2</v>
      </c>
      <c r="J10" s="156" t="s">
        <v>294</v>
      </c>
    </row>
    <row r="11" spans="2:10" x14ac:dyDescent="0.2">
      <c r="B11" s="35" t="s">
        <v>5</v>
      </c>
      <c r="C11" s="35" t="s">
        <v>184</v>
      </c>
      <c r="D11" s="156" t="s">
        <v>294</v>
      </c>
      <c r="E11" s="156" t="s">
        <v>294</v>
      </c>
      <c r="F11" s="156" t="s">
        <v>294</v>
      </c>
      <c r="G11" s="156">
        <v>7.6674310499999995E-2</v>
      </c>
      <c r="H11" s="156" t="s">
        <v>294</v>
      </c>
      <c r="I11" s="156" t="s">
        <v>294</v>
      </c>
      <c r="J11" s="156">
        <v>7.0100798699999994E-2</v>
      </c>
    </row>
    <row r="12" spans="2:10" x14ac:dyDescent="0.2">
      <c r="B12" s="35" t="s">
        <v>6</v>
      </c>
      <c r="C12" s="35" t="s">
        <v>177</v>
      </c>
      <c r="D12" s="156" t="s">
        <v>294</v>
      </c>
      <c r="E12" s="156" t="s">
        <v>294</v>
      </c>
      <c r="F12" s="156" t="s">
        <v>294</v>
      </c>
      <c r="G12" s="156">
        <v>3.4964753699999997E-2</v>
      </c>
      <c r="H12" s="156" t="s">
        <v>294</v>
      </c>
      <c r="I12" s="156" t="s">
        <v>294</v>
      </c>
      <c r="J12" s="156">
        <v>4.62582094E-2</v>
      </c>
    </row>
    <row r="13" spans="2:10" x14ac:dyDescent="0.2">
      <c r="B13" s="35" t="s">
        <v>7</v>
      </c>
      <c r="C13" s="35" t="s">
        <v>180</v>
      </c>
      <c r="D13" s="156">
        <v>2.4675701223000002</v>
      </c>
      <c r="E13" s="156">
        <v>3.0895807222</v>
      </c>
      <c r="F13" s="156">
        <v>-5.6293523055000003</v>
      </c>
      <c r="G13" s="156">
        <v>-5.4599723917</v>
      </c>
      <c r="H13" s="156">
        <v>8.1025691299999994E-2</v>
      </c>
      <c r="I13" s="156">
        <v>0.33707315599999998</v>
      </c>
      <c r="J13" s="156">
        <v>6.1991609599999997E-2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T158"/>
  <sheetViews>
    <sheetView showGridLines="0" zoomScale="80" zoomScaleNormal="80" workbookViewId="0">
      <pane xSplit="2" ySplit="4" topLeftCell="C5" activePane="bottomRight" state="frozen"/>
      <selection pane="topRight" activeCell="C1" sqref="C1"/>
      <selection pane="bottomLeft" activeCell="A5" sqref="A5"/>
      <selection pane="bottomRight"/>
    </sheetView>
  </sheetViews>
  <sheetFormatPr defaultColWidth="8.625" defaultRowHeight="12.75" zeroHeight="1" x14ac:dyDescent="0.2"/>
  <cols>
    <col min="1" max="1" width="7.875" style="17" customWidth="1"/>
    <col min="2" max="2" width="9.875" style="17" bestFit="1" customWidth="1"/>
    <col min="3" max="3" width="8.625" style="17" customWidth="1"/>
    <col min="4" max="4" width="10.5" style="38" customWidth="1"/>
    <col min="5" max="7" width="10.5" style="17" customWidth="1"/>
    <col min="8" max="8" width="9.625" style="17" customWidth="1"/>
    <col min="9" max="9" width="10.125" style="17" customWidth="1"/>
    <col min="10" max="10" width="10.875" style="57" customWidth="1"/>
    <col min="11" max="11" width="1.875" style="57" customWidth="1"/>
    <col min="12" max="12" width="11.875" style="57" customWidth="1"/>
    <col min="13" max="13" width="9.375" style="57" customWidth="1"/>
    <col min="14" max="14" width="10.125" style="57" customWidth="1"/>
    <col min="15" max="15" width="9.875" style="57" customWidth="1"/>
    <col min="16" max="16" width="9.625" style="57" customWidth="1"/>
    <col min="17" max="17" width="10.125" style="57" customWidth="1"/>
    <col min="18" max="18" width="10.875" style="57" customWidth="1"/>
    <col min="19" max="19" width="8.625" style="57" customWidth="1"/>
    <col min="20" max="25" width="8.625" style="17" customWidth="1"/>
    <col min="26" max="16384" width="8.625" style="17"/>
  </cols>
  <sheetData>
    <row r="1" spans="1:20" x14ac:dyDescent="0.2">
      <c r="A1" s="77" t="s">
        <v>217</v>
      </c>
      <c r="B1" s="78">
        <f>COUNTA(A5:A94)</f>
        <v>90</v>
      </c>
      <c r="C1" s="39"/>
      <c r="D1" s="30" t="s">
        <v>37</v>
      </c>
      <c r="E1" s="41"/>
      <c r="F1" s="41"/>
      <c r="G1" s="41"/>
      <c r="H1" s="42"/>
      <c r="I1" s="42"/>
      <c r="J1" s="43"/>
      <c r="K1" s="17"/>
      <c r="L1" s="40" t="s">
        <v>185</v>
      </c>
      <c r="M1" s="41"/>
      <c r="N1" s="41"/>
      <c r="O1" s="41"/>
      <c r="P1" s="42"/>
      <c r="Q1" s="42"/>
      <c r="R1" s="43"/>
      <c r="S1" s="17"/>
    </row>
    <row r="2" spans="1:20" ht="25.5" x14ac:dyDescent="0.2">
      <c r="A2" s="44" t="s">
        <v>44</v>
      </c>
      <c r="B2" s="45" t="s">
        <v>45</v>
      </c>
      <c r="C2" s="46" t="s">
        <v>43</v>
      </c>
      <c r="D2" s="34" t="s">
        <v>0</v>
      </c>
      <c r="E2" s="34" t="s">
        <v>1</v>
      </c>
      <c r="F2" s="34" t="s">
        <v>2</v>
      </c>
      <c r="G2" s="34" t="s">
        <v>3</v>
      </c>
      <c r="H2" s="34" t="s">
        <v>4</v>
      </c>
      <c r="I2" s="34" t="s">
        <v>5</v>
      </c>
      <c r="J2" s="34" t="s">
        <v>6</v>
      </c>
      <c r="K2" s="17"/>
      <c r="L2" s="27" t="s">
        <v>8</v>
      </c>
      <c r="M2" s="27" t="s">
        <v>9</v>
      </c>
      <c r="N2" s="27" t="s">
        <v>0</v>
      </c>
      <c r="O2" s="27" t="s">
        <v>1</v>
      </c>
      <c r="P2" s="27" t="s">
        <v>4</v>
      </c>
      <c r="Q2" s="27" t="s">
        <v>5</v>
      </c>
      <c r="R2" s="27" t="s">
        <v>6</v>
      </c>
      <c r="S2" s="17"/>
    </row>
    <row r="3" spans="1:20" ht="63.75" x14ac:dyDescent="0.2">
      <c r="A3" s="45" t="s">
        <v>47</v>
      </c>
      <c r="B3" s="45" t="s">
        <v>48</v>
      </c>
      <c r="C3" s="47" t="s">
        <v>46</v>
      </c>
      <c r="D3" s="48" t="s">
        <v>17</v>
      </c>
      <c r="E3" s="48" t="s">
        <v>179</v>
      </c>
      <c r="F3" s="48" t="s">
        <v>18</v>
      </c>
      <c r="G3" s="49" t="s">
        <v>42</v>
      </c>
      <c r="H3" s="24" t="s">
        <v>175</v>
      </c>
      <c r="I3" s="25" t="s">
        <v>176</v>
      </c>
      <c r="J3" s="26" t="s">
        <v>177</v>
      </c>
      <c r="K3" s="11"/>
      <c r="L3" s="24" t="s">
        <v>178</v>
      </c>
      <c r="M3" s="28" t="s">
        <v>274</v>
      </c>
      <c r="N3" s="24" t="s">
        <v>17</v>
      </c>
      <c r="O3" s="24" t="s">
        <v>179</v>
      </c>
      <c r="P3" s="24" t="s">
        <v>175</v>
      </c>
      <c r="Q3" s="25" t="s">
        <v>176</v>
      </c>
      <c r="R3" s="26" t="s">
        <v>177</v>
      </c>
      <c r="S3" s="17"/>
      <c r="T3" s="50"/>
    </row>
    <row r="4" spans="1:20" x14ac:dyDescent="0.2">
      <c r="A4" s="45"/>
      <c r="B4" s="45"/>
      <c r="C4" s="47"/>
      <c r="D4" s="34" t="s">
        <v>11</v>
      </c>
      <c r="E4" s="34" t="s">
        <v>11</v>
      </c>
      <c r="F4" s="34" t="s">
        <v>36</v>
      </c>
      <c r="G4" s="34" t="s">
        <v>13</v>
      </c>
      <c r="H4" s="34" t="s">
        <v>11</v>
      </c>
      <c r="I4" s="34" t="s">
        <v>11</v>
      </c>
      <c r="J4" s="34" t="s">
        <v>11</v>
      </c>
      <c r="K4" s="12"/>
      <c r="L4" s="34" t="s">
        <v>12</v>
      </c>
      <c r="M4" s="51" t="s">
        <v>275</v>
      </c>
      <c r="N4" s="34" t="s">
        <v>11</v>
      </c>
      <c r="O4" s="34" t="s">
        <v>11</v>
      </c>
      <c r="P4" s="34" t="s">
        <v>11</v>
      </c>
      <c r="Q4" s="34" t="s">
        <v>11</v>
      </c>
      <c r="R4" s="34" t="s">
        <v>11</v>
      </c>
      <c r="S4" s="17"/>
      <c r="T4" s="36"/>
    </row>
    <row r="5" spans="1:20" x14ac:dyDescent="0.2">
      <c r="A5" s="13" t="s">
        <v>20</v>
      </c>
      <c r="B5" s="13" t="s">
        <v>49</v>
      </c>
      <c r="C5" s="14" t="str">
        <f t="shared" ref="C5:C36" si="0">A5&amp;RIGHT(B5,2)</f>
        <v>ANH21</v>
      </c>
      <c r="D5" s="52">
        <f>N5 * 100</f>
        <v>62.247807234997701</v>
      </c>
      <c r="E5" s="53">
        <f>O5 * 100</f>
        <v>80.6568458578639</v>
      </c>
      <c r="F5" s="54">
        <f>LN($L5*1000)</f>
        <v>14.886160519346262</v>
      </c>
      <c r="G5" s="54">
        <f t="shared" ref="G5:G36" si="1">LN(M5)</f>
        <v>5.8564764221015384</v>
      </c>
      <c r="H5" s="53">
        <f xml:space="preserve"> P5 * 100</f>
        <v>25.523899999999998</v>
      </c>
      <c r="I5" s="53">
        <f xml:space="preserve"> Q5 * 100</f>
        <v>12.701471452047</v>
      </c>
      <c r="J5" s="53">
        <f xml:space="preserve"> R5 * 100</f>
        <v>11.930408248096199</v>
      </c>
      <c r="K5" s="15"/>
      <c r="L5" s="55">
        <v>2917.2750000000001</v>
      </c>
      <c r="M5" s="55">
        <v>349.49051484818398</v>
      </c>
      <c r="N5" s="56">
        <v>0.62247807234997699</v>
      </c>
      <c r="O5" s="56">
        <v>0.80656845857863901</v>
      </c>
      <c r="P5" s="56">
        <v>0.25523899999999999</v>
      </c>
      <c r="Q5" s="56">
        <v>0.12701471452047</v>
      </c>
      <c r="R5" s="56">
        <v>0.119304082480962</v>
      </c>
      <c r="S5" s="17"/>
    </row>
    <row r="6" spans="1:20" x14ac:dyDescent="0.2">
      <c r="A6" s="13" t="s">
        <v>20</v>
      </c>
      <c r="B6" s="13" t="s">
        <v>50</v>
      </c>
      <c r="C6" s="14" t="str">
        <f t="shared" si="0"/>
        <v>ANH22</v>
      </c>
      <c r="D6" s="52">
        <f t="shared" ref="D6:D69" si="2">N6 * 100</f>
        <v>62.247807234997701</v>
      </c>
      <c r="E6" s="53">
        <f t="shared" ref="E6:E69" si="3">O6 * 100</f>
        <v>81.596282172694004</v>
      </c>
      <c r="F6" s="54">
        <f t="shared" ref="F6:F69" si="4">LN($L6*1000)</f>
        <v>14.90135670510271</v>
      </c>
      <c r="G6" s="54">
        <f t="shared" si="1"/>
        <v>5.845531378678972</v>
      </c>
      <c r="H6" s="53">
        <f t="shared" ref="H6:H69" si="5" xml:space="preserve"> P6 * 100</f>
        <v>25.523899999999998</v>
      </c>
      <c r="I6" s="53">
        <f t="shared" ref="I6:I69" si="6" xml:space="preserve"> Q6 * 100</f>
        <v>12.701471452047</v>
      </c>
      <c r="J6" s="53">
        <f t="shared" ref="J6:J69" si="7" xml:space="preserve"> R6 * 100</f>
        <v>11.930408248096199</v>
      </c>
      <c r="K6" s="15"/>
      <c r="L6" s="55">
        <v>2961.9450000000002</v>
      </c>
      <c r="M6" s="55">
        <v>345.68618325257398</v>
      </c>
      <c r="N6" s="56">
        <v>0.62247807234997699</v>
      </c>
      <c r="O6" s="56">
        <v>0.81596282172694001</v>
      </c>
      <c r="P6" s="56">
        <v>0.25523899999999999</v>
      </c>
      <c r="Q6" s="56">
        <v>0.12701471452047</v>
      </c>
      <c r="R6" s="56">
        <v>0.119304082480962</v>
      </c>
      <c r="S6" s="17"/>
    </row>
    <row r="7" spans="1:20" x14ac:dyDescent="0.2">
      <c r="A7" s="13" t="s">
        <v>20</v>
      </c>
      <c r="B7" s="13" t="s">
        <v>51</v>
      </c>
      <c r="C7" s="14" t="str">
        <f t="shared" si="0"/>
        <v>ANH23</v>
      </c>
      <c r="D7" s="52">
        <f t="shared" si="2"/>
        <v>62.247807234997701</v>
      </c>
      <c r="E7" s="53">
        <f t="shared" si="3"/>
        <v>82.502526091847812</v>
      </c>
      <c r="F7" s="54">
        <f t="shared" si="4"/>
        <v>14.915009786518224</v>
      </c>
      <c r="G7" s="54">
        <f t="shared" si="1"/>
        <v>5.8486512312234824</v>
      </c>
      <c r="H7" s="53">
        <f t="shared" si="5"/>
        <v>25.523899999999998</v>
      </c>
      <c r="I7" s="53">
        <f t="shared" si="6"/>
        <v>12.701471452047</v>
      </c>
      <c r="J7" s="53">
        <f t="shared" si="7"/>
        <v>11.930408248096199</v>
      </c>
      <c r="K7" s="15"/>
      <c r="L7" s="55">
        <v>3002.6619999999998</v>
      </c>
      <c r="M7" s="55">
        <v>346.76635728669697</v>
      </c>
      <c r="N7" s="56">
        <v>0.62247807234997699</v>
      </c>
      <c r="O7" s="56">
        <v>0.82502526091847805</v>
      </c>
      <c r="P7" s="56">
        <v>0.25523899999999999</v>
      </c>
      <c r="Q7" s="56">
        <v>0.12701471452047</v>
      </c>
      <c r="R7" s="56">
        <v>0.119304082480962</v>
      </c>
      <c r="S7" s="17"/>
    </row>
    <row r="8" spans="1:20" x14ac:dyDescent="0.2">
      <c r="A8" s="13" t="s">
        <v>20</v>
      </c>
      <c r="B8" s="13" t="s">
        <v>52</v>
      </c>
      <c r="C8" s="14" t="str">
        <f t="shared" si="0"/>
        <v>ANH24</v>
      </c>
      <c r="D8" s="52">
        <f t="shared" si="2"/>
        <v>62.247807234997701</v>
      </c>
      <c r="E8" s="53">
        <f t="shared" si="3"/>
        <v>83.3541181363709</v>
      </c>
      <c r="F8" s="54">
        <f t="shared" si="4"/>
        <v>14.927856440953652</v>
      </c>
      <c r="G8" s="54">
        <f t="shared" si="1"/>
        <v>5.8521457275738999</v>
      </c>
      <c r="H8" s="53">
        <f t="shared" si="5"/>
        <v>25.523899999999998</v>
      </c>
      <c r="I8" s="53">
        <f t="shared" si="6"/>
        <v>12.701471452047</v>
      </c>
      <c r="J8" s="53">
        <f t="shared" si="7"/>
        <v>11.930408248096199</v>
      </c>
      <c r="K8" s="15"/>
      <c r="L8" s="55">
        <v>3041.4850000000001</v>
      </c>
      <c r="M8" s="55">
        <v>347.98025079461098</v>
      </c>
      <c r="N8" s="56">
        <v>0.62247807234997699</v>
      </c>
      <c r="O8" s="56">
        <v>0.83354118136370903</v>
      </c>
      <c r="P8" s="56">
        <v>0.25523899999999999</v>
      </c>
      <c r="Q8" s="56">
        <v>0.12701471452047</v>
      </c>
      <c r="R8" s="56">
        <v>0.119304082480962</v>
      </c>
      <c r="S8" s="17"/>
    </row>
    <row r="9" spans="1:20" x14ac:dyDescent="0.2">
      <c r="A9" s="13" t="s">
        <v>20</v>
      </c>
      <c r="B9" s="13" t="s">
        <v>53</v>
      </c>
      <c r="C9" s="14" t="str">
        <f t="shared" si="0"/>
        <v>ANH25</v>
      </c>
      <c r="D9" s="52">
        <f t="shared" si="2"/>
        <v>62.247807234997701</v>
      </c>
      <c r="E9" s="53">
        <f t="shared" si="3"/>
        <v>84.134195885659096</v>
      </c>
      <c r="F9" s="54">
        <f t="shared" si="4"/>
        <v>14.939890003644276</v>
      </c>
      <c r="G9" s="54">
        <f t="shared" si="1"/>
        <v>5.8501569104969287</v>
      </c>
      <c r="H9" s="53">
        <f t="shared" si="5"/>
        <v>25.523899999999998</v>
      </c>
      <c r="I9" s="53">
        <f t="shared" si="6"/>
        <v>12.701471452047</v>
      </c>
      <c r="J9" s="53">
        <f t="shared" si="7"/>
        <v>11.930408248096199</v>
      </c>
      <c r="K9" s="15"/>
      <c r="L9" s="55">
        <v>3078.306</v>
      </c>
      <c r="M9" s="55">
        <v>347.28886947276197</v>
      </c>
      <c r="N9" s="56">
        <v>0.62247807234997699</v>
      </c>
      <c r="O9" s="56">
        <v>0.84134195885659102</v>
      </c>
      <c r="P9" s="56">
        <v>0.25523899999999999</v>
      </c>
      <c r="Q9" s="56">
        <v>0.12701471452047</v>
      </c>
      <c r="R9" s="56">
        <v>0.119304082480962</v>
      </c>
      <c r="S9" s="17"/>
    </row>
    <row r="10" spans="1:20" x14ac:dyDescent="0.2">
      <c r="A10" s="13" t="s">
        <v>21</v>
      </c>
      <c r="B10" s="13" t="s">
        <v>49</v>
      </c>
      <c r="C10" s="14" t="str">
        <f t="shared" si="0"/>
        <v>NES21</v>
      </c>
      <c r="D10" s="52">
        <f t="shared" si="2"/>
        <v>57.033833521782398</v>
      </c>
      <c r="E10" s="53">
        <f t="shared" si="3"/>
        <v>51.907761383599706</v>
      </c>
      <c r="F10" s="54">
        <f t="shared" si="4"/>
        <v>14.485465362515969</v>
      </c>
      <c r="G10" s="54">
        <f t="shared" si="1"/>
        <v>5.6207152560972862</v>
      </c>
      <c r="H10" s="53">
        <f t="shared" si="5"/>
        <v>30.547400000000003</v>
      </c>
      <c r="I10" s="53">
        <f t="shared" si="6"/>
        <v>17.393574078757201</v>
      </c>
      <c r="J10" s="53">
        <f t="shared" si="7"/>
        <v>9.6672483697440299</v>
      </c>
      <c r="K10" s="15"/>
      <c r="L10" s="55">
        <v>1954.1489999999999</v>
      </c>
      <c r="M10" s="55">
        <v>276.08678538644801</v>
      </c>
      <c r="N10" s="56">
        <v>0.57033833521782396</v>
      </c>
      <c r="O10" s="56">
        <v>0.51907761383599704</v>
      </c>
      <c r="P10" s="56">
        <v>0.30547400000000002</v>
      </c>
      <c r="Q10" s="56">
        <v>0.17393574078757201</v>
      </c>
      <c r="R10" s="56">
        <v>9.6672483697440303E-2</v>
      </c>
      <c r="S10" s="17"/>
    </row>
    <row r="11" spans="1:20" x14ac:dyDescent="0.2">
      <c r="A11" s="13" t="s">
        <v>21</v>
      </c>
      <c r="B11" s="13" t="s">
        <v>50</v>
      </c>
      <c r="C11" s="14" t="str">
        <f t="shared" si="0"/>
        <v>NES22</v>
      </c>
      <c r="D11" s="52">
        <f t="shared" si="2"/>
        <v>57.033833521782398</v>
      </c>
      <c r="E11" s="53">
        <f t="shared" si="3"/>
        <v>53.796386681628405</v>
      </c>
      <c r="F11" s="54">
        <f t="shared" si="4"/>
        <v>14.495083017496921</v>
      </c>
      <c r="G11" s="54">
        <f t="shared" si="1"/>
        <v>5.6120256882193624</v>
      </c>
      <c r="H11" s="53">
        <f t="shared" si="5"/>
        <v>30.547400000000003</v>
      </c>
      <c r="I11" s="53">
        <f t="shared" si="6"/>
        <v>17.393574078757201</v>
      </c>
      <c r="J11" s="53">
        <f t="shared" si="7"/>
        <v>9.6672483697440299</v>
      </c>
      <c r="K11" s="15"/>
      <c r="L11" s="55">
        <v>1973.0340000000001</v>
      </c>
      <c r="M11" s="55">
        <v>273.69810386024398</v>
      </c>
      <c r="N11" s="56">
        <v>0.57033833521782396</v>
      </c>
      <c r="O11" s="56">
        <v>0.53796386681628405</v>
      </c>
      <c r="P11" s="56">
        <v>0.30547400000000002</v>
      </c>
      <c r="Q11" s="56">
        <v>0.17393574078757201</v>
      </c>
      <c r="R11" s="56">
        <v>9.6672483697440303E-2</v>
      </c>
      <c r="S11" s="17"/>
    </row>
    <row r="12" spans="1:20" x14ac:dyDescent="0.2">
      <c r="A12" s="13" t="s">
        <v>21</v>
      </c>
      <c r="B12" s="13" t="s">
        <v>51</v>
      </c>
      <c r="C12" s="14" t="str">
        <f t="shared" si="0"/>
        <v>NES23</v>
      </c>
      <c r="D12" s="52">
        <f t="shared" si="2"/>
        <v>57.033833521782398</v>
      </c>
      <c r="E12" s="53">
        <f t="shared" si="3"/>
        <v>55.619621433266694</v>
      </c>
      <c r="F12" s="54">
        <f t="shared" si="4"/>
        <v>14.50432486517121</v>
      </c>
      <c r="G12" s="54">
        <f t="shared" si="1"/>
        <v>5.6039862281841577</v>
      </c>
      <c r="H12" s="53">
        <f t="shared" si="5"/>
        <v>30.547400000000003</v>
      </c>
      <c r="I12" s="53">
        <f t="shared" si="6"/>
        <v>17.393574078757201</v>
      </c>
      <c r="J12" s="53">
        <f t="shared" si="7"/>
        <v>9.6672483697440299</v>
      </c>
      <c r="K12" s="15"/>
      <c r="L12" s="55">
        <v>1991.3530000000001</v>
      </c>
      <c r="M12" s="55">
        <v>271.50654019073301</v>
      </c>
      <c r="N12" s="56">
        <v>0.57033833521782396</v>
      </c>
      <c r="O12" s="56">
        <v>0.55619621433266697</v>
      </c>
      <c r="P12" s="56">
        <v>0.30547400000000002</v>
      </c>
      <c r="Q12" s="56">
        <v>0.17393574078757201</v>
      </c>
      <c r="R12" s="56">
        <v>9.6672483697440303E-2</v>
      </c>
      <c r="S12" s="17"/>
    </row>
    <row r="13" spans="1:20" x14ac:dyDescent="0.2">
      <c r="A13" s="13" t="s">
        <v>21</v>
      </c>
      <c r="B13" s="13" t="s">
        <v>52</v>
      </c>
      <c r="C13" s="14" t="str">
        <f t="shared" si="0"/>
        <v>NES24</v>
      </c>
      <c r="D13" s="52">
        <f t="shared" si="2"/>
        <v>57.033833521782398</v>
      </c>
      <c r="E13" s="53">
        <f t="shared" si="3"/>
        <v>57.382340043533397</v>
      </c>
      <c r="F13" s="54">
        <f t="shared" si="4"/>
        <v>14.51316307424049</v>
      </c>
      <c r="G13" s="54">
        <f t="shared" si="1"/>
        <v>5.5956986390564056</v>
      </c>
      <c r="H13" s="53">
        <f t="shared" si="5"/>
        <v>30.547400000000003</v>
      </c>
      <c r="I13" s="53">
        <f t="shared" si="6"/>
        <v>17.393574078757201</v>
      </c>
      <c r="J13" s="53">
        <f t="shared" si="7"/>
        <v>9.6672483697440299</v>
      </c>
      <c r="K13" s="15"/>
      <c r="L13" s="55">
        <v>2009.0309999999999</v>
      </c>
      <c r="M13" s="55">
        <v>269.26570393105601</v>
      </c>
      <c r="N13" s="56">
        <v>0.57033833521782396</v>
      </c>
      <c r="O13" s="56">
        <v>0.57382340043533397</v>
      </c>
      <c r="P13" s="56">
        <v>0.30547400000000002</v>
      </c>
      <c r="Q13" s="56">
        <v>0.17393574078757201</v>
      </c>
      <c r="R13" s="56">
        <v>9.6672483697440303E-2</v>
      </c>
      <c r="S13" s="17"/>
    </row>
    <row r="14" spans="1:20" x14ac:dyDescent="0.2">
      <c r="A14" s="13" t="s">
        <v>21</v>
      </c>
      <c r="B14" s="13" t="s">
        <v>53</v>
      </c>
      <c r="C14" s="14" t="str">
        <f t="shared" si="0"/>
        <v>NES25</v>
      </c>
      <c r="D14" s="52">
        <f t="shared" si="2"/>
        <v>57.033833521782398</v>
      </c>
      <c r="E14" s="53">
        <f t="shared" si="3"/>
        <v>59.092189748931403</v>
      </c>
      <c r="F14" s="54">
        <f t="shared" si="4"/>
        <v>14.521898195526022</v>
      </c>
      <c r="G14" s="54">
        <f t="shared" si="1"/>
        <v>5.5873971501511068</v>
      </c>
      <c r="H14" s="53">
        <f t="shared" si="5"/>
        <v>30.547400000000003</v>
      </c>
      <c r="I14" s="53">
        <f t="shared" si="6"/>
        <v>17.393574078757201</v>
      </c>
      <c r="J14" s="53">
        <f t="shared" si="7"/>
        <v>9.6672483697440299</v>
      </c>
      <c r="K14" s="15"/>
      <c r="L14" s="55">
        <v>2026.6569999999999</v>
      </c>
      <c r="M14" s="55">
        <v>267.03965024127302</v>
      </c>
      <c r="N14" s="56">
        <v>0.57033833521782396</v>
      </c>
      <c r="O14" s="56">
        <v>0.59092189748931401</v>
      </c>
      <c r="P14" s="56">
        <v>0.30547400000000002</v>
      </c>
      <c r="Q14" s="56">
        <v>0.17393574078757201</v>
      </c>
      <c r="R14" s="56">
        <v>9.6672483697440303E-2</v>
      </c>
      <c r="S14" s="17"/>
    </row>
    <row r="15" spans="1:20" x14ac:dyDescent="0.2">
      <c r="A15" s="13" t="s">
        <v>22</v>
      </c>
      <c r="B15" s="13" t="s">
        <v>49</v>
      </c>
      <c r="C15" s="14" t="str">
        <f t="shared" si="0"/>
        <v>NWT21</v>
      </c>
      <c r="D15" s="52">
        <f t="shared" si="2"/>
        <v>95.111689930923703</v>
      </c>
      <c r="E15" s="53">
        <f t="shared" si="3"/>
        <v>47.251725337148997</v>
      </c>
      <c r="F15" s="54">
        <f t="shared" si="4"/>
        <v>14.928120439513753</v>
      </c>
      <c r="G15" s="54">
        <f t="shared" si="1"/>
        <v>5.9538251911156763</v>
      </c>
      <c r="H15" s="53">
        <f t="shared" si="5"/>
        <v>31.478499999999997</v>
      </c>
      <c r="I15" s="53">
        <f t="shared" si="6"/>
        <v>17.345573914666701</v>
      </c>
      <c r="J15" s="53">
        <f t="shared" si="7"/>
        <v>11.3714629927796</v>
      </c>
      <c r="K15" s="15"/>
      <c r="L15" s="55">
        <v>3042.2880536584098</v>
      </c>
      <c r="M15" s="55">
        <v>385.22408006367402</v>
      </c>
      <c r="N15" s="56">
        <v>0.95111689930923704</v>
      </c>
      <c r="O15" s="56">
        <v>0.47251725337148998</v>
      </c>
      <c r="P15" s="56">
        <v>0.31478499999999998</v>
      </c>
      <c r="Q15" s="56">
        <v>0.17345573914666701</v>
      </c>
      <c r="R15" s="56">
        <v>0.113714629927796</v>
      </c>
      <c r="S15" s="17"/>
    </row>
    <row r="16" spans="1:20" x14ac:dyDescent="0.2">
      <c r="A16" s="13" t="s">
        <v>22</v>
      </c>
      <c r="B16" s="13" t="s">
        <v>50</v>
      </c>
      <c r="C16" s="14" t="str">
        <f t="shared" si="0"/>
        <v>NWT22</v>
      </c>
      <c r="D16" s="52">
        <f t="shared" si="2"/>
        <v>95.111689930923703</v>
      </c>
      <c r="E16" s="53">
        <f t="shared" si="3"/>
        <v>48.824431942192895</v>
      </c>
      <c r="F16" s="54">
        <f t="shared" si="4"/>
        <v>14.935570920896966</v>
      </c>
      <c r="G16" s="54">
        <f t="shared" si="1"/>
        <v>5.9489150868533534</v>
      </c>
      <c r="H16" s="53">
        <f t="shared" si="5"/>
        <v>31.478499999999997</v>
      </c>
      <c r="I16" s="53">
        <f t="shared" si="6"/>
        <v>17.345573914666701</v>
      </c>
      <c r="J16" s="53">
        <f t="shared" si="7"/>
        <v>11.3714629927796</v>
      </c>
      <c r="K16" s="15"/>
      <c r="L16" s="55">
        <v>3065.0392124647801</v>
      </c>
      <c r="M16" s="55">
        <v>383.337225782693</v>
      </c>
      <c r="N16" s="56">
        <v>0.95111689930923704</v>
      </c>
      <c r="O16" s="56">
        <v>0.48824431942192897</v>
      </c>
      <c r="P16" s="56">
        <v>0.31478499999999998</v>
      </c>
      <c r="Q16" s="56">
        <v>0.17345573914666701</v>
      </c>
      <c r="R16" s="56">
        <v>0.113714629927796</v>
      </c>
      <c r="S16" s="17"/>
    </row>
    <row r="17" spans="1:19" x14ac:dyDescent="0.2">
      <c r="A17" s="13" t="s">
        <v>22</v>
      </c>
      <c r="B17" s="13" t="s">
        <v>51</v>
      </c>
      <c r="C17" s="14" t="str">
        <f t="shared" si="0"/>
        <v>NWT23</v>
      </c>
      <c r="D17" s="52">
        <f t="shared" si="2"/>
        <v>95.111689930923703</v>
      </c>
      <c r="E17" s="53">
        <f t="shared" si="3"/>
        <v>50.377464833647998</v>
      </c>
      <c r="F17" s="54">
        <f t="shared" si="4"/>
        <v>14.943299724514082</v>
      </c>
      <c r="G17" s="54">
        <f t="shared" si="1"/>
        <v>5.9341538090595947</v>
      </c>
      <c r="H17" s="53">
        <f t="shared" si="5"/>
        <v>31.478499999999997</v>
      </c>
      <c r="I17" s="53">
        <f t="shared" si="6"/>
        <v>17.345573914666701</v>
      </c>
      <c r="J17" s="53">
        <f t="shared" si="7"/>
        <v>11.3714629927796</v>
      </c>
      <c r="K17" s="15"/>
      <c r="L17" s="55">
        <v>3088.8200790626902</v>
      </c>
      <c r="M17" s="55">
        <v>377.720237459315</v>
      </c>
      <c r="N17" s="56">
        <v>0.95111689930923704</v>
      </c>
      <c r="O17" s="56">
        <v>0.50377464833648</v>
      </c>
      <c r="P17" s="56">
        <v>0.31478499999999998</v>
      </c>
      <c r="Q17" s="56">
        <v>0.17345573914666701</v>
      </c>
      <c r="R17" s="56">
        <v>0.113714629927796</v>
      </c>
      <c r="S17" s="17"/>
    </row>
    <row r="18" spans="1:19" x14ac:dyDescent="0.2">
      <c r="A18" s="13" t="s">
        <v>22</v>
      </c>
      <c r="B18" s="13" t="s">
        <v>52</v>
      </c>
      <c r="C18" s="14" t="str">
        <f t="shared" si="0"/>
        <v>NWT24</v>
      </c>
      <c r="D18" s="52">
        <f t="shared" si="2"/>
        <v>95.111689930923703</v>
      </c>
      <c r="E18" s="53">
        <f t="shared" si="3"/>
        <v>51.906862465153601</v>
      </c>
      <c r="F18" s="54">
        <f t="shared" si="4"/>
        <v>14.951299681159067</v>
      </c>
      <c r="G18" s="54">
        <f t="shared" si="1"/>
        <v>5.9252917840874249</v>
      </c>
      <c r="H18" s="53">
        <f t="shared" si="5"/>
        <v>31.478499999999997</v>
      </c>
      <c r="I18" s="53">
        <f t="shared" si="6"/>
        <v>17.345573914666701</v>
      </c>
      <c r="J18" s="53">
        <f t="shared" si="7"/>
        <v>11.3714629927796</v>
      </c>
      <c r="K18" s="15"/>
      <c r="L18" s="55">
        <v>3113.62961105358</v>
      </c>
      <c r="M18" s="55">
        <v>374.38765978617602</v>
      </c>
      <c r="N18" s="56">
        <v>0.95111689930923704</v>
      </c>
      <c r="O18" s="56">
        <v>0.51906862465153603</v>
      </c>
      <c r="P18" s="56">
        <v>0.31478499999999998</v>
      </c>
      <c r="Q18" s="56">
        <v>0.17345573914666701</v>
      </c>
      <c r="R18" s="56">
        <v>0.113714629927796</v>
      </c>
      <c r="S18" s="17"/>
    </row>
    <row r="19" spans="1:19" x14ac:dyDescent="0.2">
      <c r="A19" s="13" t="s">
        <v>22</v>
      </c>
      <c r="B19" s="13" t="s">
        <v>53</v>
      </c>
      <c r="C19" s="14" t="str">
        <f t="shared" si="0"/>
        <v>NWT25</v>
      </c>
      <c r="D19" s="52">
        <f t="shared" si="2"/>
        <v>95.111689930923703</v>
      </c>
      <c r="E19" s="53">
        <f t="shared" si="3"/>
        <v>53.410263612475497</v>
      </c>
      <c r="F19" s="54">
        <f t="shared" si="4"/>
        <v>14.959563362863365</v>
      </c>
      <c r="G19" s="54">
        <f t="shared" si="1"/>
        <v>5.922940264103997</v>
      </c>
      <c r="H19" s="53">
        <f t="shared" si="5"/>
        <v>31.478499999999997</v>
      </c>
      <c r="I19" s="53">
        <f t="shared" si="6"/>
        <v>17.345573914666701</v>
      </c>
      <c r="J19" s="53">
        <f t="shared" si="7"/>
        <v>11.3714629927796</v>
      </c>
      <c r="K19" s="15"/>
      <c r="L19" s="55">
        <v>3139.4662610016098</v>
      </c>
      <c r="M19" s="55">
        <v>373.50831402740801</v>
      </c>
      <c r="N19" s="56">
        <v>0.95111689930923704</v>
      </c>
      <c r="O19" s="56">
        <v>0.53410263612475495</v>
      </c>
      <c r="P19" s="56">
        <v>0.31478499999999998</v>
      </c>
      <c r="Q19" s="56">
        <v>0.17345573914666701</v>
      </c>
      <c r="R19" s="56">
        <v>0.113714629927796</v>
      </c>
      <c r="S19" s="17"/>
    </row>
    <row r="20" spans="1:19" x14ac:dyDescent="0.2">
      <c r="A20" s="13" t="s">
        <v>23</v>
      </c>
      <c r="B20" s="13" t="s">
        <v>49</v>
      </c>
      <c r="C20" s="14" t="str">
        <f t="shared" si="0"/>
        <v>SRN21</v>
      </c>
      <c r="D20" s="52">
        <f t="shared" si="2"/>
        <v>48.8358639573486</v>
      </c>
      <c r="E20" s="53">
        <f t="shared" si="3"/>
        <v>79.419333998317398</v>
      </c>
      <c r="F20" s="54">
        <f t="shared" si="4"/>
        <v>14.494547150790696</v>
      </c>
      <c r="G20" s="54">
        <f t="shared" si="1"/>
        <v>5.7574383128382189</v>
      </c>
      <c r="H20" s="53">
        <f t="shared" si="5"/>
        <v>24.613399999999999</v>
      </c>
      <c r="I20" s="53">
        <f t="shared" si="6"/>
        <v>12.501624906830401</v>
      </c>
      <c r="J20" s="53">
        <f t="shared" si="7"/>
        <v>13.1668055636184</v>
      </c>
      <c r="K20" s="15"/>
      <c r="L20" s="55">
        <v>1971.9770000000001</v>
      </c>
      <c r="M20" s="55">
        <v>316.53642214741802</v>
      </c>
      <c r="N20" s="56">
        <v>0.48835863957348602</v>
      </c>
      <c r="O20" s="56">
        <v>0.79419333998317398</v>
      </c>
      <c r="P20" s="56">
        <v>0.24613399999999999</v>
      </c>
      <c r="Q20" s="56">
        <v>0.125016249068304</v>
      </c>
      <c r="R20" s="56">
        <v>0.131668055636184</v>
      </c>
      <c r="S20" s="17"/>
    </row>
    <row r="21" spans="1:19" x14ac:dyDescent="0.2">
      <c r="A21" s="13" t="s">
        <v>23</v>
      </c>
      <c r="B21" s="13" t="s">
        <v>50</v>
      </c>
      <c r="C21" s="14" t="str">
        <f t="shared" si="0"/>
        <v>SRN22</v>
      </c>
      <c r="D21" s="52">
        <f t="shared" si="2"/>
        <v>48.8358639573486</v>
      </c>
      <c r="E21" s="53">
        <f t="shared" si="3"/>
        <v>80.390470603075897</v>
      </c>
      <c r="F21" s="54">
        <f t="shared" si="4"/>
        <v>14.50750307215351</v>
      </c>
      <c r="G21" s="54">
        <f t="shared" si="1"/>
        <v>5.7574209667334939</v>
      </c>
      <c r="H21" s="53">
        <f t="shared" si="5"/>
        <v>24.613399999999999</v>
      </c>
      <c r="I21" s="53">
        <f t="shared" si="6"/>
        <v>12.501624906830401</v>
      </c>
      <c r="J21" s="53">
        <f t="shared" si="7"/>
        <v>13.1668055636184</v>
      </c>
      <c r="K21" s="15"/>
      <c r="L21" s="55">
        <v>1997.692</v>
      </c>
      <c r="M21" s="55">
        <v>316.53093152111097</v>
      </c>
      <c r="N21" s="56">
        <v>0.48835863957348602</v>
      </c>
      <c r="O21" s="56">
        <v>0.80390470603075903</v>
      </c>
      <c r="P21" s="56">
        <v>0.24613399999999999</v>
      </c>
      <c r="Q21" s="56">
        <v>0.125016249068304</v>
      </c>
      <c r="R21" s="56">
        <v>0.131668055636184</v>
      </c>
      <c r="S21" s="17"/>
    </row>
    <row r="22" spans="1:19" x14ac:dyDescent="0.2">
      <c r="A22" s="13" t="s">
        <v>23</v>
      </c>
      <c r="B22" s="13" t="s">
        <v>51</v>
      </c>
      <c r="C22" s="14" t="str">
        <f t="shared" si="0"/>
        <v>SRN23</v>
      </c>
      <c r="D22" s="52">
        <f t="shared" si="2"/>
        <v>48.8358639573486</v>
      </c>
      <c r="E22" s="53">
        <f t="shared" si="3"/>
        <v>81.333241649925398</v>
      </c>
      <c r="F22" s="54">
        <f t="shared" si="4"/>
        <v>14.519325138954208</v>
      </c>
      <c r="G22" s="54">
        <f t="shared" si="1"/>
        <v>5.7570986895391982</v>
      </c>
      <c r="H22" s="53">
        <f t="shared" si="5"/>
        <v>24.613399999999999</v>
      </c>
      <c r="I22" s="53">
        <f t="shared" si="6"/>
        <v>12.501624906830401</v>
      </c>
      <c r="J22" s="53">
        <f t="shared" si="7"/>
        <v>13.1668055636184</v>
      </c>
      <c r="K22" s="15"/>
      <c r="L22" s="55">
        <v>2021.4490000000001</v>
      </c>
      <c r="M22" s="55">
        <v>316.42893725668802</v>
      </c>
      <c r="N22" s="56">
        <v>0.48835863957348602</v>
      </c>
      <c r="O22" s="56">
        <v>0.81333241649925403</v>
      </c>
      <c r="P22" s="56">
        <v>0.24613399999999999</v>
      </c>
      <c r="Q22" s="56">
        <v>0.125016249068304</v>
      </c>
      <c r="R22" s="56">
        <v>0.131668055636184</v>
      </c>
      <c r="S22" s="17"/>
    </row>
    <row r="23" spans="1:19" x14ac:dyDescent="0.2">
      <c r="A23" s="13" t="s">
        <v>23</v>
      </c>
      <c r="B23" s="13" t="s">
        <v>52</v>
      </c>
      <c r="C23" s="14" t="str">
        <f t="shared" si="0"/>
        <v>SRN24</v>
      </c>
      <c r="D23" s="52">
        <f t="shared" si="2"/>
        <v>48.8358639573486</v>
      </c>
      <c r="E23" s="53">
        <f t="shared" si="3"/>
        <v>82.25633279641859</v>
      </c>
      <c r="F23" s="54">
        <f t="shared" si="4"/>
        <v>14.530613438451979</v>
      </c>
      <c r="G23" s="54">
        <f t="shared" si="1"/>
        <v>5.7568490440956506</v>
      </c>
      <c r="H23" s="53">
        <f t="shared" si="5"/>
        <v>24.613399999999999</v>
      </c>
      <c r="I23" s="53">
        <f t="shared" si="6"/>
        <v>12.501624906830401</v>
      </c>
      <c r="J23" s="53">
        <f t="shared" si="7"/>
        <v>13.1668055636184</v>
      </c>
      <c r="K23" s="15"/>
      <c r="L23" s="55">
        <v>2044.3969999999999</v>
      </c>
      <c r="M23" s="55">
        <v>316.349952073851</v>
      </c>
      <c r="N23" s="56">
        <v>0.48835863957348602</v>
      </c>
      <c r="O23" s="56">
        <v>0.82256332796418596</v>
      </c>
      <c r="P23" s="56">
        <v>0.24613399999999999</v>
      </c>
      <c r="Q23" s="56">
        <v>0.125016249068304</v>
      </c>
      <c r="R23" s="56">
        <v>0.131668055636184</v>
      </c>
      <c r="S23" s="17"/>
    </row>
    <row r="24" spans="1:19" x14ac:dyDescent="0.2">
      <c r="A24" s="13" t="s">
        <v>23</v>
      </c>
      <c r="B24" s="13" t="s">
        <v>53</v>
      </c>
      <c r="C24" s="14" t="str">
        <f t="shared" si="0"/>
        <v>SRN25</v>
      </c>
      <c r="D24" s="52">
        <f t="shared" si="2"/>
        <v>48.8358639573486</v>
      </c>
      <c r="E24" s="53">
        <f t="shared" si="3"/>
        <v>83.16238641924339</v>
      </c>
      <c r="F24" s="54">
        <f t="shared" si="4"/>
        <v>14.541144773576136</v>
      </c>
      <c r="G24" s="54">
        <f t="shared" si="1"/>
        <v>5.7566061748990514</v>
      </c>
      <c r="H24" s="53">
        <f t="shared" si="5"/>
        <v>24.613399999999999</v>
      </c>
      <c r="I24" s="53">
        <f t="shared" si="6"/>
        <v>12.501624906830401</v>
      </c>
      <c r="J24" s="53">
        <f t="shared" si="7"/>
        <v>13.1668055636184</v>
      </c>
      <c r="K24" s="15"/>
      <c r="L24" s="55">
        <v>2066.0410000000002</v>
      </c>
      <c r="M24" s="55">
        <v>316.27312974441298</v>
      </c>
      <c r="N24" s="56">
        <v>0.48835863957348602</v>
      </c>
      <c r="O24" s="56">
        <v>0.83162386419243395</v>
      </c>
      <c r="P24" s="56">
        <v>0.24613399999999999</v>
      </c>
      <c r="Q24" s="56">
        <v>0.125016249068304</v>
      </c>
      <c r="R24" s="56">
        <v>0.131668055636184</v>
      </c>
      <c r="S24" s="17"/>
    </row>
    <row r="25" spans="1:19" x14ac:dyDescent="0.2">
      <c r="A25" s="13" t="s">
        <v>24</v>
      </c>
      <c r="B25" s="13" t="s">
        <v>49</v>
      </c>
      <c r="C25" s="14" t="str">
        <f t="shared" si="0"/>
        <v>SVT21</v>
      </c>
      <c r="D25" s="52">
        <f t="shared" si="2"/>
        <v>73.797074928828494</v>
      </c>
      <c r="E25" s="53">
        <f t="shared" si="3"/>
        <v>51.616763952462954</v>
      </c>
      <c r="F25" s="54">
        <f t="shared" si="4"/>
        <v>15.241099619884908</v>
      </c>
      <c r="G25" s="54">
        <f t="shared" si="1"/>
        <v>5.5843987709428742</v>
      </c>
      <c r="H25" s="53">
        <f t="shared" si="5"/>
        <v>28.091100000000001</v>
      </c>
      <c r="I25" s="53">
        <f t="shared" si="6"/>
        <v>15.631676327006899</v>
      </c>
      <c r="J25" s="53">
        <f t="shared" si="7"/>
        <v>11.876864082534</v>
      </c>
      <c r="K25" s="15"/>
      <c r="L25" s="55">
        <v>4160.3077999999996</v>
      </c>
      <c r="M25" s="55">
        <v>266.24016328771251</v>
      </c>
      <c r="N25" s="56">
        <v>0.73797074928828499</v>
      </c>
      <c r="O25" s="56">
        <v>0.51616763952462952</v>
      </c>
      <c r="P25" s="56">
        <v>0.28091100000000002</v>
      </c>
      <c r="Q25" s="56">
        <v>0.15631676327006899</v>
      </c>
      <c r="R25" s="56">
        <v>0.11876864082534</v>
      </c>
      <c r="S25" s="17"/>
    </row>
    <row r="26" spans="1:19" x14ac:dyDescent="0.2">
      <c r="A26" s="13" t="s">
        <v>24</v>
      </c>
      <c r="B26" s="13" t="s">
        <v>50</v>
      </c>
      <c r="C26" s="14" t="str">
        <f t="shared" si="0"/>
        <v>SVT22</v>
      </c>
      <c r="D26" s="52">
        <f t="shared" si="2"/>
        <v>73.797074928828494</v>
      </c>
      <c r="E26" s="53">
        <f t="shared" si="3"/>
        <v>55.123463020465344</v>
      </c>
      <c r="F26" s="54">
        <f t="shared" si="4"/>
        <v>15.251985164262202</v>
      </c>
      <c r="G26" s="54">
        <f t="shared" si="1"/>
        <v>5.5582338060519278</v>
      </c>
      <c r="H26" s="53">
        <f t="shared" si="5"/>
        <v>28.091100000000001</v>
      </c>
      <c r="I26" s="53">
        <f t="shared" si="6"/>
        <v>15.631676327006899</v>
      </c>
      <c r="J26" s="53">
        <f t="shared" si="7"/>
        <v>11.876864082534</v>
      </c>
      <c r="K26" s="15"/>
      <c r="L26" s="55">
        <v>4205.8423999999995</v>
      </c>
      <c r="M26" s="55">
        <v>259.36434381439983</v>
      </c>
      <c r="N26" s="56">
        <v>0.73797074928828499</v>
      </c>
      <c r="O26" s="56">
        <v>0.55123463020465346</v>
      </c>
      <c r="P26" s="56">
        <v>0.28091100000000002</v>
      </c>
      <c r="Q26" s="56">
        <v>0.15631676327006899</v>
      </c>
      <c r="R26" s="56">
        <v>0.11876864082534</v>
      </c>
      <c r="S26" s="17"/>
    </row>
    <row r="27" spans="1:19" x14ac:dyDescent="0.2">
      <c r="A27" s="13" t="s">
        <v>24</v>
      </c>
      <c r="B27" s="13" t="s">
        <v>51</v>
      </c>
      <c r="C27" s="14" t="str">
        <f t="shared" si="0"/>
        <v>SVT23</v>
      </c>
      <c r="D27" s="52">
        <f t="shared" si="2"/>
        <v>73.797074928828494</v>
      </c>
      <c r="E27" s="53">
        <f t="shared" si="3"/>
        <v>58.50889599143774</v>
      </c>
      <c r="F27" s="54">
        <f t="shared" si="4"/>
        <v>15.262753488423934</v>
      </c>
      <c r="G27" s="54">
        <f t="shared" si="1"/>
        <v>5.5313657995285057</v>
      </c>
      <c r="H27" s="53">
        <f t="shared" si="5"/>
        <v>28.091100000000001</v>
      </c>
      <c r="I27" s="53">
        <f t="shared" si="6"/>
        <v>15.631676327006899</v>
      </c>
      <c r="J27" s="53">
        <f t="shared" si="7"/>
        <v>11.876864082534</v>
      </c>
      <c r="K27" s="15"/>
      <c r="L27" s="55">
        <v>4251.3769999999995</v>
      </c>
      <c r="M27" s="55">
        <v>252.4885243410871</v>
      </c>
      <c r="N27" s="56">
        <v>0.73797074928828499</v>
      </c>
      <c r="O27" s="56">
        <v>0.58508895991437737</v>
      </c>
      <c r="P27" s="56">
        <v>0.28091100000000002</v>
      </c>
      <c r="Q27" s="56">
        <v>0.15631676327006899</v>
      </c>
      <c r="R27" s="56">
        <v>0.11876864082534</v>
      </c>
      <c r="S27" s="17"/>
    </row>
    <row r="28" spans="1:19" x14ac:dyDescent="0.2">
      <c r="A28" s="13" t="s">
        <v>24</v>
      </c>
      <c r="B28" s="13" t="s">
        <v>52</v>
      </c>
      <c r="C28" s="14" t="str">
        <f t="shared" si="0"/>
        <v>SVT24</v>
      </c>
      <c r="D28" s="52">
        <f t="shared" si="2"/>
        <v>73.797074928828494</v>
      </c>
      <c r="E28" s="53">
        <f t="shared" si="3"/>
        <v>61.786788537319005</v>
      </c>
      <c r="F28" s="54">
        <f t="shared" si="4"/>
        <v>15.273407090053079</v>
      </c>
      <c r="G28" s="54">
        <f t="shared" si="1"/>
        <v>5.5037559248526895</v>
      </c>
      <c r="H28" s="53">
        <f t="shared" si="5"/>
        <v>28.091100000000001</v>
      </c>
      <c r="I28" s="53">
        <f t="shared" si="6"/>
        <v>15.631676327006899</v>
      </c>
      <c r="J28" s="53">
        <f t="shared" si="7"/>
        <v>11.876864082534</v>
      </c>
      <c r="K28" s="15"/>
      <c r="L28" s="55">
        <v>4296.9115999999995</v>
      </c>
      <c r="M28" s="55">
        <v>245.6127048677744</v>
      </c>
      <c r="N28" s="56">
        <v>0.73797074928828499</v>
      </c>
      <c r="O28" s="56">
        <v>0.61786788537319004</v>
      </c>
      <c r="P28" s="56">
        <v>0.28091100000000002</v>
      </c>
      <c r="Q28" s="56">
        <v>0.15631676327006899</v>
      </c>
      <c r="R28" s="56">
        <v>0.11876864082534</v>
      </c>
      <c r="S28" s="17"/>
    </row>
    <row r="29" spans="1:19" x14ac:dyDescent="0.2">
      <c r="A29" s="13" t="s">
        <v>24</v>
      </c>
      <c r="B29" s="13" t="s">
        <v>53</v>
      </c>
      <c r="C29" s="14" t="str">
        <f t="shared" si="0"/>
        <v>SVT25</v>
      </c>
      <c r="D29" s="52">
        <f t="shared" si="2"/>
        <v>73.797074928828494</v>
      </c>
      <c r="E29" s="53">
        <f t="shared" si="3"/>
        <v>64.987097650414242</v>
      </c>
      <c r="F29" s="54">
        <f t="shared" si="4"/>
        <v>15.283948387843909</v>
      </c>
      <c r="G29" s="54">
        <f t="shared" si="1"/>
        <v>5.4753620475671392</v>
      </c>
      <c r="H29" s="53">
        <f t="shared" si="5"/>
        <v>28.091100000000001</v>
      </c>
      <c r="I29" s="53">
        <f t="shared" si="6"/>
        <v>15.631676327006899</v>
      </c>
      <c r="J29" s="53">
        <f t="shared" si="7"/>
        <v>11.876864082534</v>
      </c>
      <c r="K29" s="15"/>
      <c r="L29" s="55">
        <v>4342.4461999999994</v>
      </c>
      <c r="M29" s="55">
        <v>238.73688539446169</v>
      </c>
      <c r="N29" s="56">
        <v>0.73797074928828499</v>
      </c>
      <c r="O29" s="56">
        <v>0.64987097650414238</v>
      </c>
      <c r="P29" s="56">
        <v>0.28091100000000002</v>
      </c>
      <c r="Q29" s="56">
        <v>0.15631676327006899</v>
      </c>
      <c r="R29" s="56">
        <v>0.11876864082534</v>
      </c>
      <c r="S29" s="17"/>
    </row>
    <row r="30" spans="1:19" x14ac:dyDescent="0.2">
      <c r="A30" s="13" t="s">
        <v>35</v>
      </c>
      <c r="B30" s="13" t="s">
        <v>49</v>
      </c>
      <c r="C30" s="14" t="str">
        <f t="shared" si="0"/>
        <v>SWB21</v>
      </c>
      <c r="D30" s="52">
        <f t="shared" si="2"/>
        <v>72.004260513250102</v>
      </c>
      <c r="E30" s="53">
        <f t="shared" si="3"/>
        <v>81.474475869021006</v>
      </c>
      <c r="F30" s="54">
        <f t="shared" si="4"/>
        <v>13.786266076318835</v>
      </c>
      <c r="G30" s="54">
        <f t="shared" si="1"/>
        <v>6.0091823651586935</v>
      </c>
      <c r="H30" s="53">
        <f t="shared" si="5"/>
        <v>22.5785747993089</v>
      </c>
      <c r="I30" s="53">
        <f t="shared" si="6"/>
        <v>13.0228384421084</v>
      </c>
      <c r="J30" s="53">
        <f t="shared" si="7"/>
        <v>10.516150912811401</v>
      </c>
      <c r="K30" s="15"/>
      <c r="L30" s="55">
        <v>971.17899999999997</v>
      </c>
      <c r="M30" s="55">
        <v>407.150283883626</v>
      </c>
      <c r="N30" s="56">
        <v>0.72004260513250096</v>
      </c>
      <c r="O30" s="56">
        <v>0.81474475869021001</v>
      </c>
      <c r="P30" s="56">
        <v>0.22578574799308901</v>
      </c>
      <c r="Q30" s="56">
        <v>0.130228384421084</v>
      </c>
      <c r="R30" s="56">
        <v>0.10516150912811401</v>
      </c>
      <c r="S30" s="17"/>
    </row>
    <row r="31" spans="1:19" x14ac:dyDescent="0.2">
      <c r="A31" s="13" t="s">
        <v>35</v>
      </c>
      <c r="B31" s="13" t="s">
        <v>50</v>
      </c>
      <c r="C31" s="14" t="str">
        <f t="shared" si="0"/>
        <v>SWB22</v>
      </c>
      <c r="D31" s="52">
        <f t="shared" si="2"/>
        <v>72.004260513250102</v>
      </c>
      <c r="E31" s="53">
        <f t="shared" si="3"/>
        <v>82.346180875851402</v>
      </c>
      <c r="F31" s="54">
        <f t="shared" si="4"/>
        <v>13.798617673258196</v>
      </c>
      <c r="G31" s="54">
        <f t="shared" si="1"/>
        <v>5.9975388337702666</v>
      </c>
      <c r="H31" s="53">
        <f t="shared" si="5"/>
        <v>22.5785747993089</v>
      </c>
      <c r="I31" s="53">
        <f t="shared" si="6"/>
        <v>13.0228384421084</v>
      </c>
      <c r="J31" s="53">
        <f t="shared" si="7"/>
        <v>10.516150912811401</v>
      </c>
      <c r="K31" s="15"/>
      <c r="L31" s="55">
        <v>983.24900000000002</v>
      </c>
      <c r="M31" s="55">
        <v>402.43710902083598</v>
      </c>
      <c r="N31" s="56">
        <v>0.72004260513250096</v>
      </c>
      <c r="O31" s="56">
        <v>0.82346180875851405</v>
      </c>
      <c r="P31" s="56">
        <v>0.22578574799308901</v>
      </c>
      <c r="Q31" s="56">
        <v>0.130228384421084</v>
      </c>
      <c r="R31" s="56">
        <v>0.10516150912811401</v>
      </c>
      <c r="S31" s="17"/>
    </row>
    <row r="32" spans="1:19" x14ac:dyDescent="0.2">
      <c r="A32" s="13" t="s">
        <v>35</v>
      </c>
      <c r="B32" s="13" t="s">
        <v>51</v>
      </c>
      <c r="C32" s="14" t="str">
        <f t="shared" si="0"/>
        <v>SWB23</v>
      </c>
      <c r="D32" s="52">
        <f t="shared" si="2"/>
        <v>72.004260513250102</v>
      </c>
      <c r="E32" s="53">
        <f t="shared" si="3"/>
        <v>83.187375008063896</v>
      </c>
      <c r="F32" s="54">
        <f t="shared" si="4"/>
        <v>13.807542900314965</v>
      </c>
      <c r="G32" s="54">
        <f t="shared" si="1"/>
        <v>5.9768481335146291</v>
      </c>
      <c r="H32" s="53">
        <f t="shared" si="5"/>
        <v>22.5785747993089</v>
      </c>
      <c r="I32" s="53">
        <f t="shared" si="6"/>
        <v>13.0228384421084</v>
      </c>
      <c r="J32" s="53">
        <f t="shared" si="7"/>
        <v>10.516150912811401</v>
      </c>
      <c r="K32" s="15"/>
      <c r="L32" s="55">
        <v>992.06399999999996</v>
      </c>
      <c r="M32" s="55">
        <v>394.19595505413997</v>
      </c>
      <c r="N32" s="56">
        <v>0.72004260513250096</v>
      </c>
      <c r="O32" s="56">
        <v>0.83187375008063902</v>
      </c>
      <c r="P32" s="56">
        <v>0.22578574799308901</v>
      </c>
      <c r="Q32" s="56">
        <v>0.130228384421084</v>
      </c>
      <c r="R32" s="56">
        <v>0.10516150912811401</v>
      </c>
      <c r="S32" s="17"/>
    </row>
    <row r="33" spans="1:19" x14ac:dyDescent="0.2">
      <c r="A33" s="13" t="s">
        <v>35</v>
      </c>
      <c r="B33" s="13" t="s">
        <v>52</v>
      </c>
      <c r="C33" s="14" t="str">
        <f t="shared" si="0"/>
        <v>SWB24</v>
      </c>
      <c r="D33" s="52">
        <f t="shared" si="2"/>
        <v>72.004260513250102</v>
      </c>
      <c r="E33" s="53">
        <f t="shared" si="3"/>
        <v>83.94202730606591</v>
      </c>
      <c r="F33" s="54">
        <f t="shared" si="4"/>
        <v>13.816533035056366</v>
      </c>
      <c r="G33" s="54">
        <f t="shared" si="1"/>
        <v>5.9591765483131089</v>
      </c>
      <c r="H33" s="53">
        <f t="shared" si="5"/>
        <v>22.5785747993089</v>
      </c>
      <c r="I33" s="53">
        <f t="shared" si="6"/>
        <v>13.0228384421084</v>
      </c>
      <c r="J33" s="53">
        <f t="shared" si="7"/>
        <v>10.516150912811401</v>
      </c>
      <c r="K33" s="15"/>
      <c r="L33" s="55">
        <v>1001.023</v>
      </c>
      <c r="M33" s="55">
        <v>387.29107740497801</v>
      </c>
      <c r="N33" s="56">
        <v>0.72004260513250096</v>
      </c>
      <c r="O33" s="56">
        <v>0.83942027306065903</v>
      </c>
      <c r="P33" s="56">
        <v>0.22578574799308901</v>
      </c>
      <c r="Q33" s="56">
        <v>0.130228384421084</v>
      </c>
      <c r="R33" s="56">
        <v>0.10516150912811401</v>
      </c>
      <c r="S33" s="17"/>
    </row>
    <row r="34" spans="1:19" x14ac:dyDescent="0.2">
      <c r="A34" s="13" t="s">
        <v>35</v>
      </c>
      <c r="B34" s="13" t="s">
        <v>53</v>
      </c>
      <c r="C34" s="14" t="str">
        <f t="shared" si="0"/>
        <v>SWB25</v>
      </c>
      <c r="D34" s="52">
        <f t="shared" si="2"/>
        <v>72.004260513250102</v>
      </c>
      <c r="E34" s="53">
        <f t="shared" si="3"/>
        <v>84.614523789717197</v>
      </c>
      <c r="F34" s="54">
        <f t="shared" si="4"/>
        <v>13.825227198147568</v>
      </c>
      <c r="G34" s="54">
        <f t="shared" si="1"/>
        <v>5.938801251167602</v>
      </c>
      <c r="H34" s="53">
        <f t="shared" si="5"/>
        <v>22.5785747993089</v>
      </c>
      <c r="I34" s="53">
        <f t="shared" si="6"/>
        <v>13.0228384421084</v>
      </c>
      <c r="J34" s="53">
        <f t="shared" si="7"/>
        <v>10.516150912811401</v>
      </c>
      <c r="K34" s="15"/>
      <c r="L34" s="55">
        <v>1009.764</v>
      </c>
      <c r="M34" s="55">
        <v>379.47975585893602</v>
      </c>
      <c r="N34" s="56">
        <v>0.72004260513250096</v>
      </c>
      <c r="O34" s="56">
        <v>0.846145237897172</v>
      </c>
      <c r="P34" s="56">
        <v>0.22578574799308901</v>
      </c>
      <c r="Q34" s="56">
        <v>0.130228384421084</v>
      </c>
      <c r="R34" s="56">
        <v>0.10516150912811401</v>
      </c>
      <c r="S34" s="17"/>
    </row>
    <row r="35" spans="1:19" x14ac:dyDescent="0.2">
      <c r="A35" s="13" t="s">
        <v>25</v>
      </c>
      <c r="B35" s="13" t="s">
        <v>49</v>
      </c>
      <c r="C35" s="14" t="str">
        <f t="shared" si="0"/>
        <v>TMS21</v>
      </c>
      <c r="D35" s="52">
        <f t="shared" si="2"/>
        <v>63.370896516053499</v>
      </c>
      <c r="E35" s="53">
        <f t="shared" si="3"/>
        <v>54.603257143359599</v>
      </c>
      <c r="F35" s="54">
        <f t="shared" si="4"/>
        <v>15.533451782294382</v>
      </c>
      <c r="G35" s="54">
        <f t="shared" si="1"/>
        <v>5.6640631510917157</v>
      </c>
      <c r="H35" s="53">
        <f t="shared" si="5"/>
        <v>30.046499999999998</v>
      </c>
      <c r="I35" s="53">
        <f t="shared" si="6"/>
        <v>14.221257091584299</v>
      </c>
      <c r="J35" s="53">
        <f t="shared" si="7"/>
        <v>18.2864869197637</v>
      </c>
      <c r="K35" s="15"/>
      <c r="L35" s="55">
        <v>5573.0429999999997</v>
      </c>
      <c r="M35" s="55">
        <v>288.31774438681998</v>
      </c>
      <c r="N35" s="56">
        <v>0.63370896516053499</v>
      </c>
      <c r="O35" s="56">
        <v>0.54603257143359596</v>
      </c>
      <c r="P35" s="56">
        <v>0.30046499999999998</v>
      </c>
      <c r="Q35" s="56">
        <v>0.142212570915843</v>
      </c>
      <c r="R35" s="56">
        <v>0.182864869197637</v>
      </c>
      <c r="S35" s="17"/>
    </row>
    <row r="36" spans="1:19" x14ac:dyDescent="0.2">
      <c r="A36" s="13" t="s">
        <v>25</v>
      </c>
      <c r="B36" s="13" t="s">
        <v>50</v>
      </c>
      <c r="C36" s="14" t="str">
        <f t="shared" si="0"/>
        <v>TMS22</v>
      </c>
      <c r="D36" s="52">
        <f t="shared" si="2"/>
        <v>63.370896516053499</v>
      </c>
      <c r="E36" s="53">
        <f t="shared" si="3"/>
        <v>56.261739383169697</v>
      </c>
      <c r="F36" s="54">
        <f t="shared" si="4"/>
        <v>15.546468337616991</v>
      </c>
      <c r="G36" s="54">
        <f t="shared" si="1"/>
        <v>5.6802876805510021</v>
      </c>
      <c r="H36" s="53">
        <f t="shared" si="5"/>
        <v>30.046499999999998</v>
      </c>
      <c r="I36" s="53">
        <f t="shared" si="6"/>
        <v>14.221257091584299</v>
      </c>
      <c r="J36" s="53">
        <f t="shared" si="7"/>
        <v>18.2864869197637</v>
      </c>
      <c r="K36" s="15"/>
      <c r="L36" s="55">
        <v>5646.0590000000002</v>
      </c>
      <c r="M36" s="55">
        <v>293.03371789939098</v>
      </c>
      <c r="N36" s="56">
        <v>0.63370896516053499</v>
      </c>
      <c r="O36" s="56">
        <v>0.56261739383169695</v>
      </c>
      <c r="P36" s="56">
        <v>0.30046499999999998</v>
      </c>
      <c r="Q36" s="56">
        <v>0.142212570915843</v>
      </c>
      <c r="R36" s="56">
        <v>0.182864869197637</v>
      </c>
      <c r="S36" s="17"/>
    </row>
    <row r="37" spans="1:19" x14ac:dyDescent="0.2">
      <c r="A37" s="13" t="s">
        <v>25</v>
      </c>
      <c r="B37" s="13" t="s">
        <v>51</v>
      </c>
      <c r="C37" s="14" t="str">
        <f t="shared" ref="C37:C68" si="8">A37&amp;RIGHT(B37,2)</f>
        <v>TMS23</v>
      </c>
      <c r="D37" s="52">
        <f t="shared" si="2"/>
        <v>63.370896516053499</v>
      </c>
      <c r="E37" s="53">
        <f t="shared" si="3"/>
        <v>58.888250528368303</v>
      </c>
      <c r="F37" s="54">
        <f t="shared" si="4"/>
        <v>15.55848078802247</v>
      </c>
      <c r="G37" s="54">
        <f t="shared" ref="G37:G68" si="9">LN(M37)</f>
        <v>5.6871797626868466</v>
      </c>
      <c r="H37" s="53">
        <f t="shared" si="5"/>
        <v>30.046499999999998</v>
      </c>
      <c r="I37" s="53">
        <f t="shared" si="6"/>
        <v>14.221257091584299</v>
      </c>
      <c r="J37" s="53">
        <f t="shared" si="7"/>
        <v>18.2864869197637</v>
      </c>
      <c r="K37" s="15"/>
      <c r="L37" s="55">
        <v>5714.2910000000002</v>
      </c>
      <c r="M37" s="55">
        <v>295.06030603563102</v>
      </c>
      <c r="N37" s="56">
        <v>0.63370896516053499</v>
      </c>
      <c r="O37" s="56">
        <v>0.58888250528368302</v>
      </c>
      <c r="P37" s="56">
        <v>0.30046499999999998</v>
      </c>
      <c r="Q37" s="56">
        <v>0.142212570915843</v>
      </c>
      <c r="R37" s="56">
        <v>0.182864869197637</v>
      </c>
      <c r="S37" s="17"/>
    </row>
    <row r="38" spans="1:19" x14ac:dyDescent="0.2">
      <c r="A38" s="13" t="s">
        <v>25</v>
      </c>
      <c r="B38" s="13" t="s">
        <v>52</v>
      </c>
      <c r="C38" s="14" t="str">
        <f t="shared" si="8"/>
        <v>TMS24</v>
      </c>
      <c r="D38" s="52">
        <f t="shared" si="2"/>
        <v>63.370896516053499</v>
      </c>
      <c r="E38" s="53">
        <f t="shared" si="3"/>
        <v>61.527671252203596</v>
      </c>
      <c r="F38" s="54">
        <f t="shared" si="4"/>
        <v>15.570552791057105</v>
      </c>
      <c r="G38" s="54">
        <f t="shared" si="9"/>
        <v>5.6874809126063122</v>
      </c>
      <c r="H38" s="53">
        <f t="shared" si="5"/>
        <v>30.046499999999998</v>
      </c>
      <c r="I38" s="53">
        <f t="shared" si="6"/>
        <v>14.221257091584299</v>
      </c>
      <c r="J38" s="53">
        <f t="shared" si="7"/>
        <v>18.2864869197637</v>
      </c>
      <c r="K38" s="15"/>
      <c r="L38" s="55">
        <v>5783.692</v>
      </c>
      <c r="M38" s="55">
        <v>295.149176804072</v>
      </c>
      <c r="N38" s="56">
        <v>0.63370896516053499</v>
      </c>
      <c r="O38" s="56">
        <v>0.61527671252203597</v>
      </c>
      <c r="P38" s="56">
        <v>0.30046499999999998</v>
      </c>
      <c r="Q38" s="56">
        <v>0.142212570915843</v>
      </c>
      <c r="R38" s="56">
        <v>0.182864869197637</v>
      </c>
      <c r="S38" s="17"/>
    </row>
    <row r="39" spans="1:19" x14ac:dyDescent="0.2">
      <c r="A39" s="13" t="s">
        <v>25</v>
      </c>
      <c r="B39" s="13" t="s">
        <v>53</v>
      </c>
      <c r="C39" s="14" t="str">
        <f t="shared" si="8"/>
        <v>TMS25</v>
      </c>
      <c r="D39" s="52">
        <f t="shared" si="2"/>
        <v>63.370896516053499</v>
      </c>
      <c r="E39" s="53">
        <f t="shared" si="3"/>
        <v>64.512162723803797</v>
      </c>
      <c r="F39" s="54">
        <f t="shared" si="4"/>
        <v>15.580574860828929</v>
      </c>
      <c r="G39" s="54">
        <f t="shared" si="9"/>
        <v>5.6881725715325713</v>
      </c>
      <c r="H39" s="53">
        <f t="shared" si="5"/>
        <v>30.046499999999998</v>
      </c>
      <c r="I39" s="53">
        <f t="shared" si="6"/>
        <v>14.221257091584299</v>
      </c>
      <c r="J39" s="53">
        <f t="shared" si="7"/>
        <v>18.2864869197637</v>
      </c>
      <c r="K39" s="15"/>
      <c r="L39" s="55">
        <v>5841.9480000000003</v>
      </c>
      <c r="M39" s="55">
        <v>295.35338998157903</v>
      </c>
      <c r="N39" s="56">
        <v>0.63370896516053499</v>
      </c>
      <c r="O39" s="56">
        <v>0.64512162723803801</v>
      </c>
      <c r="P39" s="56">
        <v>0.30046499999999998</v>
      </c>
      <c r="Q39" s="56">
        <v>0.142212570915843</v>
      </c>
      <c r="R39" s="56">
        <v>0.182864869197637</v>
      </c>
      <c r="S39" s="17"/>
    </row>
    <row r="40" spans="1:19" x14ac:dyDescent="0.2">
      <c r="A40" s="13" t="s">
        <v>41</v>
      </c>
      <c r="B40" s="13" t="s">
        <v>49</v>
      </c>
      <c r="C40" s="14" t="str">
        <f t="shared" si="8"/>
        <v>WSH21</v>
      </c>
      <c r="D40" s="52">
        <f t="shared" si="2"/>
        <v>84.611136287411</v>
      </c>
      <c r="E40" s="53">
        <f t="shared" si="3"/>
        <v>47.853723370661299</v>
      </c>
      <c r="F40" s="54">
        <f t="shared" si="4"/>
        <v>14.169700617132474</v>
      </c>
      <c r="G40" s="54">
        <f t="shared" si="9"/>
        <v>5.9596697703429982</v>
      </c>
      <c r="H40" s="53">
        <f t="shared" si="5"/>
        <v>27.984199999999998</v>
      </c>
      <c r="I40" s="53">
        <f t="shared" si="6"/>
        <v>15.7473898728237</v>
      </c>
      <c r="J40" s="53">
        <f t="shared" si="7"/>
        <v>9.5180095976945509</v>
      </c>
      <c r="K40" s="15"/>
      <c r="L40" s="55">
        <v>1425.0260000000001</v>
      </c>
      <c r="M40" s="55">
        <v>387.48214501183702</v>
      </c>
      <c r="N40" s="56">
        <v>0.84611136287411004</v>
      </c>
      <c r="O40" s="56">
        <v>0.478537233706613</v>
      </c>
      <c r="P40" s="56">
        <v>0.27984199999999998</v>
      </c>
      <c r="Q40" s="56">
        <v>0.157473898728237</v>
      </c>
      <c r="R40" s="56">
        <v>9.5180095976945503E-2</v>
      </c>
      <c r="S40" s="17"/>
    </row>
    <row r="41" spans="1:19" x14ac:dyDescent="0.2">
      <c r="A41" s="13" t="s">
        <v>41</v>
      </c>
      <c r="B41" s="13" t="s">
        <v>50</v>
      </c>
      <c r="C41" s="14" t="str">
        <f t="shared" si="8"/>
        <v>WSH22</v>
      </c>
      <c r="D41" s="52">
        <f t="shared" si="2"/>
        <v>84.611136287411</v>
      </c>
      <c r="E41" s="53">
        <f t="shared" si="3"/>
        <v>49.126337160888198</v>
      </c>
      <c r="F41" s="54">
        <f t="shared" si="4"/>
        <v>14.177547500659363</v>
      </c>
      <c r="G41" s="54">
        <f t="shared" si="9"/>
        <v>5.9589711430880881</v>
      </c>
      <c r="H41" s="53">
        <f t="shared" si="5"/>
        <v>27.984199999999998</v>
      </c>
      <c r="I41" s="53">
        <f t="shared" si="6"/>
        <v>15.7473898728237</v>
      </c>
      <c r="J41" s="53">
        <f t="shared" si="7"/>
        <v>9.5180095976945509</v>
      </c>
      <c r="K41" s="15"/>
      <c r="L41" s="55">
        <v>1436.252</v>
      </c>
      <c r="M41" s="55">
        <v>387.21153396367401</v>
      </c>
      <c r="N41" s="56">
        <v>0.84611136287411004</v>
      </c>
      <c r="O41" s="56">
        <v>0.491263371608882</v>
      </c>
      <c r="P41" s="56">
        <v>0.27984199999999998</v>
      </c>
      <c r="Q41" s="56">
        <v>0.157473898728237</v>
      </c>
      <c r="R41" s="56">
        <v>9.5180095976945503E-2</v>
      </c>
      <c r="S41" s="17"/>
    </row>
    <row r="42" spans="1:19" x14ac:dyDescent="0.2">
      <c r="A42" s="13" t="s">
        <v>41</v>
      </c>
      <c r="B42" s="13" t="s">
        <v>51</v>
      </c>
      <c r="C42" s="14" t="str">
        <f t="shared" si="8"/>
        <v>WSH23</v>
      </c>
      <c r="D42" s="52">
        <f t="shared" si="2"/>
        <v>84.611136287411</v>
      </c>
      <c r="E42" s="53">
        <f t="shared" si="3"/>
        <v>50.3636903692856</v>
      </c>
      <c r="F42" s="54">
        <f t="shared" si="4"/>
        <v>14.185459017726572</v>
      </c>
      <c r="G42" s="54">
        <f t="shared" si="9"/>
        <v>5.9584049899740243</v>
      </c>
      <c r="H42" s="53">
        <f t="shared" si="5"/>
        <v>27.984199999999998</v>
      </c>
      <c r="I42" s="53">
        <f t="shared" si="6"/>
        <v>15.7473898728237</v>
      </c>
      <c r="J42" s="53">
        <f t="shared" si="7"/>
        <v>9.5180095976945509</v>
      </c>
      <c r="K42" s="15"/>
      <c r="L42" s="55">
        <v>1447.66</v>
      </c>
      <c r="M42" s="55">
        <v>386.99237499254002</v>
      </c>
      <c r="N42" s="56">
        <v>0.84611136287411004</v>
      </c>
      <c r="O42" s="56">
        <v>0.50363690369285596</v>
      </c>
      <c r="P42" s="56">
        <v>0.27984199999999998</v>
      </c>
      <c r="Q42" s="56">
        <v>0.157473898728237</v>
      </c>
      <c r="R42" s="56">
        <v>9.5180095976945503E-2</v>
      </c>
      <c r="S42" s="17"/>
    </row>
    <row r="43" spans="1:19" x14ac:dyDescent="0.2">
      <c r="A43" s="13" t="s">
        <v>41</v>
      </c>
      <c r="B43" s="13" t="s">
        <v>52</v>
      </c>
      <c r="C43" s="14" t="str">
        <f t="shared" si="8"/>
        <v>WSH24</v>
      </c>
      <c r="D43" s="52">
        <f t="shared" si="2"/>
        <v>84.611136287411</v>
      </c>
      <c r="E43" s="53">
        <f t="shared" si="3"/>
        <v>51.5625021416813</v>
      </c>
      <c r="F43" s="54">
        <f t="shared" si="4"/>
        <v>14.193353667016128</v>
      </c>
      <c r="G43" s="54">
        <f t="shared" si="9"/>
        <v>5.9578085846570605</v>
      </c>
      <c r="H43" s="53">
        <f t="shared" si="5"/>
        <v>27.984199999999998</v>
      </c>
      <c r="I43" s="53">
        <f t="shared" si="6"/>
        <v>15.7473898728237</v>
      </c>
      <c r="J43" s="53">
        <f t="shared" si="7"/>
        <v>9.5180095976945509</v>
      </c>
      <c r="K43" s="15"/>
      <c r="L43" s="55">
        <v>1459.134</v>
      </c>
      <c r="M43" s="55">
        <v>386.76163949524801</v>
      </c>
      <c r="N43" s="56">
        <v>0.84611136287411004</v>
      </c>
      <c r="O43" s="56">
        <v>0.51562502141681299</v>
      </c>
      <c r="P43" s="56">
        <v>0.27984199999999998</v>
      </c>
      <c r="Q43" s="56">
        <v>0.157473898728237</v>
      </c>
      <c r="R43" s="56">
        <v>9.5180095976945503E-2</v>
      </c>
      <c r="S43" s="17"/>
    </row>
    <row r="44" spans="1:19" x14ac:dyDescent="0.2">
      <c r="A44" s="13" t="s">
        <v>41</v>
      </c>
      <c r="B44" s="13" t="s">
        <v>53</v>
      </c>
      <c r="C44" s="14" t="str">
        <f t="shared" si="8"/>
        <v>WSH25</v>
      </c>
      <c r="D44" s="52">
        <f t="shared" si="2"/>
        <v>84.611136287411</v>
      </c>
      <c r="E44" s="53">
        <f t="shared" si="3"/>
        <v>52.723652860733097</v>
      </c>
      <c r="F44" s="54">
        <f t="shared" si="4"/>
        <v>14.201229997154099</v>
      </c>
      <c r="G44" s="54">
        <f t="shared" si="9"/>
        <v>5.9571336625740603</v>
      </c>
      <c r="H44" s="53">
        <f t="shared" si="5"/>
        <v>27.984199999999998</v>
      </c>
      <c r="I44" s="53">
        <f t="shared" si="6"/>
        <v>15.7473898728237</v>
      </c>
      <c r="J44" s="53">
        <f t="shared" si="7"/>
        <v>9.5180095976945509</v>
      </c>
      <c r="K44" s="15"/>
      <c r="L44" s="55">
        <v>1470.672</v>
      </c>
      <c r="M44" s="55">
        <v>386.50069359287698</v>
      </c>
      <c r="N44" s="56">
        <v>0.84611136287411004</v>
      </c>
      <c r="O44" s="56">
        <v>0.52723652860733095</v>
      </c>
      <c r="P44" s="56">
        <v>0.27984199999999998</v>
      </c>
      <c r="Q44" s="56">
        <v>0.157473898728237</v>
      </c>
      <c r="R44" s="56">
        <v>9.5180095976945503E-2</v>
      </c>
      <c r="S44" s="17"/>
    </row>
    <row r="45" spans="1:19" x14ac:dyDescent="0.2">
      <c r="A45" s="13" t="s">
        <v>26</v>
      </c>
      <c r="B45" s="13" t="s">
        <v>49</v>
      </c>
      <c r="C45" s="14" t="str">
        <f t="shared" si="8"/>
        <v>WSX21</v>
      </c>
      <c r="D45" s="52">
        <f t="shared" si="2"/>
        <v>43.030071066995305</v>
      </c>
      <c r="E45" s="53">
        <f t="shared" si="3"/>
        <v>65.779302716344105</v>
      </c>
      <c r="F45" s="54">
        <f t="shared" si="4"/>
        <v>14.025064588599443</v>
      </c>
      <c r="G45" s="54">
        <f t="shared" si="9"/>
        <v>5.6906855103729281</v>
      </c>
      <c r="H45" s="53">
        <f t="shared" si="5"/>
        <v>21.5488999999999</v>
      </c>
      <c r="I45" s="53">
        <f t="shared" si="6"/>
        <v>10.973999387637599</v>
      </c>
      <c r="J45" s="53">
        <f t="shared" si="7"/>
        <v>12.5150932073511</v>
      </c>
      <c r="K45" s="15"/>
      <c r="L45" s="55">
        <v>1233.1279999999999</v>
      </c>
      <c r="M45" s="55">
        <v>296.09652832643201</v>
      </c>
      <c r="N45" s="56">
        <v>0.43030071066995301</v>
      </c>
      <c r="O45" s="56">
        <v>0.65779302716344101</v>
      </c>
      <c r="P45" s="56">
        <v>0.21548899999999899</v>
      </c>
      <c r="Q45" s="56">
        <v>0.10973999387637599</v>
      </c>
      <c r="R45" s="56">
        <v>0.125150932073511</v>
      </c>
      <c r="S45" s="17"/>
    </row>
    <row r="46" spans="1:19" x14ac:dyDescent="0.2">
      <c r="A46" s="13" t="s">
        <v>26</v>
      </c>
      <c r="B46" s="13" t="s">
        <v>50</v>
      </c>
      <c r="C46" s="14" t="str">
        <f t="shared" si="8"/>
        <v>WSX22</v>
      </c>
      <c r="D46" s="52">
        <f t="shared" si="2"/>
        <v>43.030071066995305</v>
      </c>
      <c r="E46" s="53">
        <f t="shared" si="3"/>
        <v>67.495748521111295</v>
      </c>
      <c r="F46" s="54">
        <f t="shared" si="4"/>
        <v>14.035478672912724</v>
      </c>
      <c r="G46" s="54">
        <f t="shared" si="9"/>
        <v>5.7074415020200684</v>
      </c>
      <c r="H46" s="53">
        <f t="shared" si="5"/>
        <v>21.5488999999999</v>
      </c>
      <c r="I46" s="53">
        <f t="shared" si="6"/>
        <v>10.973999387637599</v>
      </c>
      <c r="J46" s="53">
        <f t="shared" si="7"/>
        <v>12.5150932073511</v>
      </c>
      <c r="K46" s="15"/>
      <c r="L46" s="55">
        <v>1246.037</v>
      </c>
      <c r="M46" s="55">
        <v>301.099718933031</v>
      </c>
      <c r="N46" s="56">
        <v>0.43030071066995301</v>
      </c>
      <c r="O46" s="56">
        <v>0.67495748521111298</v>
      </c>
      <c r="P46" s="56">
        <v>0.21548899999999899</v>
      </c>
      <c r="Q46" s="56">
        <v>0.10973999387637599</v>
      </c>
      <c r="R46" s="56">
        <v>0.125150932073511</v>
      </c>
      <c r="S46" s="17"/>
    </row>
    <row r="47" spans="1:19" x14ac:dyDescent="0.2">
      <c r="A47" s="13" t="s">
        <v>26</v>
      </c>
      <c r="B47" s="13" t="s">
        <v>51</v>
      </c>
      <c r="C47" s="14" t="str">
        <f t="shared" si="8"/>
        <v>WSX23</v>
      </c>
      <c r="D47" s="52">
        <f t="shared" si="2"/>
        <v>43.030071066995305</v>
      </c>
      <c r="E47" s="53">
        <f t="shared" si="3"/>
        <v>69.124109105613897</v>
      </c>
      <c r="F47" s="54">
        <f t="shared" si="4"/>
        <v>14.04559556155753</v>
      </c>
      <c r="G47" s="54">
        <f t="shared" si="9"/>
        <v>5.7269422094723668</v>
      </c>
      <c r="H47" s="53">
        <f t="shared" si="5"/>
        <v>21.5488999999999</v>
      </c>
      <c r="I47" s="53">
        <f t="shared" si="6"/>
        <v>10.973999387637599</v>
      </c>
      <c r="J47" s="53">
        <f t="shared" si="7"/>
        <v>12.5150932073511</v>
      </c>
      <c r="K47" s="15"/>
      <c r="L47" s="55">
        <v>1258.7070000000001</v>
      </c>
      <c r="M47" s="55">
        <v>307.02900116847798</v>
      </c>
      <c r="N47" s="56">
        <v>0.43030071066995301</v>
      </c>
      <c r="O47" s="56">
        <v>0.69124109105613896</v>
      </c>
      <c r="P47" s="56">
        <v>0.21548899999999899</v>
      </c>
      <c r="Q47" s="56">
        <v>0.10973999387637599</v>
      </c>
      <c r="R47" s="56">
        <v>0.125150932073511</v>
      </c>
      <c r="S47" s="17"/>
    </row>
    <row r="48" spans="1:19" x14ac:dyDescent="0.2">
      <c r="A48" s="13" t="s">
        <v>26</v>
      </c>
      <c r="B48" s="13" t="s">
        <v>52</v>
      </c>
      <c r="C48" s="14" t="str">
        <f t="shared" si="8"/>
        <v>WSX24</v>
      </c>
      <c r="D48" s="52">
        <f t="shared" si="2"/>
        <v>43.030071066995305</v>
      </c>
      <c r="E48" s="53">
        <f t="shared" si="3"/>
        <v>70.677441789476006</v>
      </c>
      <c r="F48" s="54">
        <f t="shared" si="4"/>
        <v>14.05537434382058</v>
      </c>
      <c r="G48" s="54">
        <f t="shared" si="9"/>
        <v>5.7405076779706281</v>
      </c>
      <c r="H48" s="53">
        <f t="shared" si="5"/>
        <v>21.5488999999999</v>
      </c>
      <c r="I48" s="53">
        <f t="shared" si="6"/>
        <v>10.973999387637599</v>
      </c>
      <c r="J48" s="53">
        <f t="shared" si="7"/>
        <v>12.5150932073511</v>
      </c>
      <c r="K48" s="15"/>
      <c r="L48" s="55">
        <v>1271.076</v>
      </c>
      <c r="M48" s="55">
        <v>311.22237162347102</v>
      </c>
      <c r="N48" s="56">
        <v>0.43030071066995301</v>
      </c>
      <c r="O48" s="56">
        <v>0.70677441789476003</v>
      </c>
      <c r="P48" s="56">
        <v>0.21548899999999899</v>
      </c>
      <c r="Q48" s="56">
        <v>0.10973999387637599</v>
      </c>
      <c r="R48" s="56">
        <v>0.125150932073511</v>
      </c>
      <c r="S48" s="17"/>
    </row>
    <row r="49" spans="1:19" x14ac:dyDescent="0.2">
      <c r="A49" s="13" t="s">
        <v>26</v>
      </c>
      <c r="B49" s="13" t="s">
        <v>53</v>
      </c>
      <c r="C49" s="14" t="str">
        <f t="shared" si="8"/>
        <v>WSX25</v>
      </c>
      <c r="D49" s="52">
        <f t="shared" si="2"/>
        <v>43.030071066995305</v>
      </c>
      <c r="E49" s="53">
        <f t="shared" si="3"/>
        <v>72.162850229796902</v>
      </c>
      <c r="F49" s="54">
        <f t="shared" si="4"/>
        <v>14.064611872447767</v>
      </c>
      <c r="G49" s="54">
        <f t="shared" si="9"/>
        <v>5.7558223722734096</v>
      </c>
      <c r="H49" s="53">
        <f t="shared" si="5"/>
        <v>21.5488999999999</v>
      </c>
      <c r="I49" s="53">
        <f t="shared" si="6"/>
        <v>10.973999387637599</v>
      </c>
      <c r="J49" s="53">
        <f t="shared" si="7"/>
        <v>12.5150932073511</v>
      </c>
      <c r="K49" s="15"/>
      <c r="L49" s="55">
        <v>1282.8720000000001</v>
      </c>
      <c r="M49" s="55">
        <v>316.02533116017599</v>
      </c>
      <c r="N49" s="56">
        <v>0.43030071066995301</v>
      </c>
      <c r="O49" s="56">
        <v>0.72162850229796904</v>
      </c>
      <c r="P49" s="56">
        <v>0.21548899999999899</v>
      </c>
      <c r="Q49" s="56">
        <v>0.10973999387637599</v>
      </c>
      <c r="R49" s="56">
        <v>0.125150932073511</v>
      </c>
      <c r="S49" s="17"/>
    </row>
    <row r="50" spans="1:19" x14ac:dyDescent="0.2">
      <c r="A50" s="13" t="s">
        <v>27</v>
      </c>
      <c r="B50" s="13" t="s">
        <v>49</v>
      </c>
      <c r="C50" s="14" t="str">
        <f t="shared" si="8"/>
        <v>YKY21</v>
      </c>
      <c r="D50" s="52">
        <f t="shared" si="2"/>
        <v>89.922651790779199</v>
      </c>
      <c r="E50" s="53">
        <f t="shared" si="3"/>
        <v>58.961776463748308</v>
      </c>
      <c r="F50" s="54">
        <f t="shared" si="4"/>
        <v>14.612472560212371</v>
      </c>
      <c r="G50" s="54">
        <f t="shared" si="9"/>
        <v>5.8884106144449966</v>
      </c>
      <c r="H50" s="53">
        <f t="shared" si="5"/>
        <v>28.269699999999997</v>
      </c>
      <c r="I50" s="53">
        <f t="shared" si="6"/>
        <v>16.058658878283499</v>
      </c>
      <c r="J50" s="53">
        <f t="shared" si="7"/>
        <v>10.3633066017287</v>
      </c>
      <c r="K50" s="15"/>
      <c r="L50" s="55">
        <v>2218.79</v>
      </c>
      <c r="M50" s="55">
        <v>360.83132827339398</v>
      </c>
      <c r="N50" s="56">
        <v>0.89922651790779196</v>
      </c>
      <c r="O50" s="56">
        <v>0.58961776463748305</v>
      </c>
      <c r="P50" s="56">
        <v>0.28269699999999998</v>
      </c>
      <c r="Q50" s="56">
        <v>0.16058658878283499</v>
      </c>
      <c r="R50" s="56">
        <v>0.103633066017287</v>
      </c>
      <c r="S50" s="17"/>
    </row>
    <row r="51" spans="1:19" x14ac:dyDescent="0.2">
      <c r="A51" s="13" t="s">
        <v>27</v>
      </c>
      <c r="B51" s="13" t="s">
        <v>50</v>
      </c>
      <c r="C51" s="14" t="str">
        <f t="shared" si="8"/>
        <v>YKY22</v>
      </c>
      <c r="D51" s="52">
        <f t="shared" si="2"/>
        <v>89.922651790779199</v>
      </c>
      <c r="E51" s="53">
        <f t="shared" si="3"/>
        <v>60.857814881721495</v>
      </c>
      <c r="F51" s="54">
        <f t="shared" si="4"/>
        <v>14.621858737108191</v>
      </c>
      <c r="G51" s="54">
        <f t="shared" si="9"/>
        <v>5.8885597132193093</v>
      </c>
      <c r="H51" s="53">
        <f t="shared" si="5"/>
        <v>28.269699999999997</v>
      </c>
      <c r="I51" s="53">
        <f t="shared" si="6"/>
        <v>16.058658878283499</v>
      </c>
      <c r="J51" s="53">
        <f t="shared" si="7"/>
        <v>10.3633066017287</v>
      </c>
      <c r="K51" s="15"/>
      <c r="L51" s="55">
        <v>2239.7139999999999</v>
      </c>
      <c r="M51" s="55">
        <v>360.88513179309302</v>
      </c>
      <c r="N51" s="56">
        <v>0.89922651790779196</v>
      </c>
      <c r="O51" s="56">
        <v>0.60857814881721495</v>
      </c>
      <c r="P51" s="56">
        <v>0.28269699999999998</v>
      </c>
      <c r="Q51" s="56">
        <v>0.16058658878283499</v>
      </c>
      <c r="R51" s="56">
        <v>0.103633066017287</v>
      </c>
      <c r="S51" s="17"/>
    </row>
    <row r="52" spans="1:19" x14ac:dyDescent="0.2">
      <c r="A52" s="13" t="s">
        <v>27</v>
      </c>
      <c r="B52" s="13" t="s">
        <v>51</v>
      </c>
      <c r="C52" s="14" t="str">
        <f t="shared" si="8"/>
        <v>YKY23</v>
      </c>
      <c r="D52" s="52">
        <f t="shared" si="2"/>
        <v>89.922651790779199</v>
      </c>
      <c r="E52" s="53">
        <f t="shared" si="3"/>
        <v>62.602405673543004</v>
      </c>
      <c r="F52" s="54">
        <f t="shared" si="4"/>
        <v>14.631202308948957</v>
      </c>
      <c r="G52" s="54">
        <f t="shared" si="9"/>
        <v>5.888611831489265</v>
      </c>
      <c r="H52" s="53">
        <f t="shared" si="5"/>
        <v>28.269699999999997</v>
      </c>
      <c r="I52" s="53">
        <f t="shared" si="6"/>
        <v>16.058658878283499</v>
      </c>
      <c r="J52" s="53">
        <f t="shared" si="7"/>
        <v>10.3633066017287</v>
      </c>
      <c r="K52" s="15"/>
      <c r="L52" s="55">
        <v>2260.739</v>
      </c>
      <c r="M52" s="55">
        <v>360.90394099196197</v>
      </c>
      <c r="N52" s="56">
        <v>0.89922651790779196</v>
      </c>
      <c r="O52" s="56">
        <v>0.62602405673543005</v>
      </c>
      <c r="P52" s="56">
        <v>0.28269699999999998</v>
      </c>
      <c r="Q52" s="56">
        <v>0.16058658878283499</v>
      </c>
      <c r="R52" s="56">
        <v>0.103633066017287</v>
      </c>
      <c r="S52" s="17"/>
    </row>
    <row r="53" spans="1:19" x14ac:dyDescent="0.2">
      <c r="A53" s="13" t="s">
        <v>27</v>
      </c>
      <c r="B53" s="13" t="s">
        <v>52</v>
      </c>
      <c r="C53" s="14" t="str">
        <f t="shared" si="8"/>
        <v>YKY24</v>
      </c>
      <c r="D53" s="52">
        <f t="shared" si="2"/>
        <v>89.922651790779199</v>
      </c>
      <c r="E53" s="53">
        <f t="shared" si="3"/>
        <v>64.207302535622105</v>
      </c>
      <c r="F53" s="54">
        <f t="shared" si="4"/>
        <v>14.64044360861028</v>
      </c>
      <c r="G53" s="54">
        <f t="shared" si="9"/>
        <v>5.8886513527485702</v>
      </c>
      <c r="H53" s="53">
        <f t="shared" si="5"/>
        <v>28.269699999999997</v>
      </c>
      <c r="I53" s="53">
        <f t="shared" si="6"/>
        <v>16.058658878283499</v>
      </c>
      <c r="J53" s="53">
        <f t="shared" si="7"/>
        <v>10.3633066017287</v>
      </c>
      <c r="K53" s="15"/>
      <c r="L53" s="55">
        <v>2281.7280000000001</v>
      </c>
      <c r="M53" s="55">
        <v>360.91820465205501</v>
      </c>
      <c r="N53" s="56">
        <v>0.89922651790779196</v>
      </c>
      <c r="O53" s="56">
        <v>0.64207302535622102</v>
      </c>
      <c r="P53" s="56">
        <v>0.28269699999999998</v>
      </c>
      <c r="Q53" s="56">
        <v>0.16058658878283499</v>
      </c>
      <c r="R53" s="56">
        <v>0.103633066017287</v>
      </c>
      <c r="S53" s="17"/>
    </row>
    <row r="54" spans="1:19" x14ac:dyDescent="0.2">
      <c r="A54" s="13" t="s">
        <v>27</v>
      </c>
      <c r="B54" s="13" t="s">
        <v>53</v>
      </c>
      <c r="C54" s="14" t="str">
        <f t="shared" si="8"/>
        <v>YKY25</v>
      </c>
      <c r="D54" s="52">
        <f t="shared" si="2"/>
        <v>89.922651790779199</v>
      </c>
      <c r="E54" s="53">
        <f t="shared" si="3"/>
        <v>65.686409896975889</v>
      </c>
      <c r="F54" s="54">
        <f t="shared" si="4"/>
        <v>14.649620698519332</v>
      </c>
      <c r="G54" s="54">
        <f t="shared" si="9"/>
        <v>5.8887259954342346</v>
      </c>
      <c r="H54" s="53">
        <f t="shared" si="5"/>
        <v>28.269699999999997</v>
      </c>
      <c r="I54" s="53">
        <f t="shared" si="6"/>
        <v>16.058658878283499</v>
      </c>
      <c r="J54" s="53">
        <f t="shared" si="7"/>
        <v>10.3633066017287</v>
      </c>
      <c r="K54" s="15"/>
      <c r="L54" s="55">
        <v>2302.7640000000001</v>
      </c>
      <c r="M54" s="55">
        <v>360.94514556161403</v>
      </c>
      <c r="N54" s="56">
        <v>0.89922651790779196</v>
      </c>
      <c r="O54" s="56">
        <v>0.65686409896975895</v>
      </c>
      <c r="P54" s="56">
        <v>0.28269699999999998</v>
      </c>
      <c r="Q54" s="56">
        <v>0.16058658878283499</v>
      </c>
      <c r="R54" s="56">
        <v>0.103633066017287</v>
      </c>
      <c r="S54" s="17"/>
    </row>
    <row r="55" spans="1:19" x14ac:dyDescent="0.2">
      <c r="A55" s="13" t="s">
        <v>28</v>
      </c>
      <c r="B55" s="13" t="s">
        <v>49</v>
      </c>
      <c r="C55" s="14" t="str">
        <f t="shared" si="8"/>
        <v>AFW21</v>
      </c>
      <c r="D55" s="52">
        <f t="shared" si="2"/>
        <v>0</v>
      </c>
      <c r="E55" s="53">
        <f t="shared" si="3"/>
        <v>61.763954201594792</v>
      </c>
      <c r="F55" s="54">
        <f t="shared" si="4"/>
        <v>14.158112540675303</v>
      </c>
      <c r="G55" s="54">
        <f t="shared" si="9"/>
        <v>5.149717557562294</v>
      </c>
      <c r="H55" s="53">
        <f t="shared" si="5"/>
        <v>26.967799999999997</v>
      </c>
      <c r="I55" s="53">
        <f t="shared" si="6"/>
        <v>12.3337921749256</v>
      </c>
      <c r="J55" s="53">
        <f t="shared" si="7"/>
        <v>15.6696249375858</v>
      </c>
      <c r="K55" s="15"/>
      <c r="L55" s="55">
        <v>1408.6079999999999</v>
      </c>
      <c r="M55" s="55">
        <v>172.382795223496</v>
      </c>
      <c r="N55" s="56">
        <v>0</v>
      </c>
      <c r="O55" s="56">
        <v>0.61763954201594795</v>
      </c>
      <c r="P55" s="56">
        <v>0.26967799999999997</v>
      </c>
      <c r="Q55" s="56">
        <v>0.12333792174925599</v>
      </c>
      <c r="R55" s="56">
        <v>0.15669624937585799</v>
      </c>
      <c r="S55" s="17"/>
    </row>
    <row r="56" spans="1:19" x14ac:dyDescent="0.2">
      <c r="A56" s="13" t="s">
        <v>28</v>
      </c>
      <c r="B56" s="13" t="s">
        <v>50</v>
      </c>
      <c r="C56" s="14" t="str">
        <f t="shared" si="8"/>
        <v>AFW22</v>
      </c>
      <c r="D56" s="52">
        <f t="shared" si="2"/>
        <v>0</v>
      </c>
      <c r="E56" s="53">
        <f t="shared" si="3"/>
        <v>65.257352040512799</v>
      </c>
      <c r="F56" s="54">
        <f t="shared" si="4"/>
        <v>14.172264998743049</v>
      </c>
      <c r="G56" s="54">
        <f t="shared" si="9"/>
        <v>5.1465074087206792</v>
      </c>
      <c r="H56" s="53">
        <f t="shared" si="5"/>
        <v>26.967799999999997</v>
      </c>
      <c r="I56" s="53">
        <f t="shared" si="6"/>
        <v>12.3337921749256</v>
      </c>
      <c r="J56" s="53">
        <f t="shared" si="7"/>
        <v>15.6696249375858</v>
      </c>
      <c r="K56" s="15"/>
      <c r="L56" s="55">
        <v>1428.6849999999999</v>
      </c>
      <c r="M56" s="55">
        <v>171.83030805057501</v>
      </c>
      <c r="N56" s="56">
        <v>0</v>
      </c>
      <c r="O56" s="56">
        <v>0.65257352040512795</v>
      </c>
      <c r="P56" s="56">
        <v>0.26967799999999997</v>
      </c>
      <c r="Q56" s="56">
        <v>0.12333792174925599</v>
      </c>
      <c r="R56" s="56">
        <v>0.15669624937585799</v>
      </c>
      <c r="S56" s="17"/>
    </row>
    <row r="57" spans="1:19" x14ac:dyDescent="0.2">
      <c r="A57" s="13" t="s">
        <v>28</v>
      </c>
      <c r="B57" s="13" t="s">
        <v>51</v>
      </c>
      <c r="C57" s="14" t="str">
        <f t="shared" si="8"/>
        <v>AFW23</v>
      </c>
      <c r="D57" s="52">
        <f t="shared" si="2"/>
        <v>0</v>
      </c>
      <c r="E57" s="53">
        <f t="shared" si="3"/>
        <v>69.381793929464791</v>
      </c>
      <c r="F57" s="54">
        <f t="shared" si="4"/>
        <v>14.183902192615756</v>
      </c>
      <c r="G57" s="54">
        <f t="shared" si="9"/>
        <v>5.1437140700112645</v>
      </c>
      <c r="H57" s="53">
        <f t="shared" si="5"/>
        <v>26.967799999999997</v>
      </c>
      <c r="I57" s="53">
        <f t="shared" si="6"/>
        <v>12.3337921749256</v>
      </c>
      <c r="J57" s="53">
        <f t="shared" si="7"/>
        <v>15.6696249375858</v>
      </c>
      <c r="K57" s="15"/>
      <c r="L57" s="55">
        <v>1445.4079999999999</v>
      </c>
      <c r="M57" s="55">
        <v>171.350997549596</v>
      </c>
      <c r="N57" s="56">
        <v>0</v>
      </c>
      <c r="O57" s="56">
        <v>0.69381793929464797</v>
      </c>
      <c r="P57" s="56">
        <v>0.26967799999999997</v>
      </c>
      <c r="Q57" s="56">
        <v>0.12333792174925599</v>
      </c>
      <c r="R57" s="56">
        <v>0.15669624937585799</v>
      </c>
      <c r="S57" s="17"/>
    </row>
    <row r="58" spans="1:19" x14ac:dyDescent="0.2">
      <c r="A58" s="13" t="s">
        <v>28</v>
      </c>
      <c r="B58" s="13" t="s">
        <v>52</v>
      </c>
      <c r="C58" s="14" t="str">
        <f t="shared" si="8"/>
        <v>AFW24</v>
      </c>
      <c r="D58" s="52">
        <f t="shared" si="2"/>
        <v>0</v>
      </c>
      <c r="E58" s="53">
        <f t="shared" si="3"/>
        <v>73.657576744097</v>
      </c>
      <c r="F58" s="54">
        <f t="shared" si="4"/>
        <v>14.195406202493912</v>
      </c>
      <c r="G58" s="54">
        <f t="shared" si="9"/>
        <v>5.1411591524323592</v>
      </c>
      <c r="H58" s="53">
        <f t="shared" si="5"/>
        <v>26.967799999999997</v>
      </c>
      <c r="I58" s="53">
        <f t="shared" si="6"/>
        <v>12.3337921749256</v>
      </c>
      <c r="J58" s="53">
        <f t="shared" si="7"/>
        <v>15.6696249375858</v>
      </c>
      <c r="K58" s="15"/>
      <c r="L58" s="55">
        <v>1462.1320000000001</v>
      </c>
      <c r="M58" s="55">
        <v>170.913768653528</v>
      </c>
      <c r="N58" s="56">
        <v>0</v>
      </c>
      <c r="O58" s="56">
        <v>0.73657576744096998</v>
      </c>
      <c r="P58" s="56">
        <v>0.26967799999999997</v>
      </c>
      <c r="Q58" s="56">
        <v>0.12333792174925599</v>
      </c>
      <c r="R58" s="56">
        <v>0.15669624937585799</v>
      </c>
      <c r="S58" s="17"/>
    </row>
    <row r="59" spans="1:19" x14ac:dyDescent="0.2">
      <c r="A59" s="13" t="s">
        <v>28</v>
      </c>
      <c r="B59" s="13" t="s">
        <v>53</v>
      </c>
      <c r="C59" s="14" t="str">
        <f t="shared" si="8"/>
        <v>AFW25</v>
      </c>
      <c r="D59" s="52">
        <f t="shared" si="2"/>
        <v>0</v>
      </c>
      <c r="E59" s="53">
        <f t="shared" si="3"/>
        <v>77.919824513001899</v>
      </c>
      <c r="F59" s="54">
        <f t="shared" si="4"/>
        <v>14.206779373869679</v>
      </c>
      <c r="G59" s="54">
        <f t="shared" si="9"/>
        <v>5.1379075254227109</v>
      </c>
      <c r="H59" s="53">
        <f t="shared" si="5"/>
        <v>26.967799999999997</v>
      </c>
      <c r="I59" s="53">
        <f t="shared" si="6"/>
        <v>12.3337921749256</v>
      </c>
      <c r="J59" s="53">
        <f t="shared" si="7"/>
        <v>15.6696249375858</v>
      </c>
      <c r="K59" s="15"/>
      <c r="L59" s="55">
        <v>1478.856</v>
      </c>
      <c r="M59" s="55">
        <v>170.35892339084299</v>
      </c>
      <c r="N59" s="56">
        <v>0</v>
      </c>
      <c r="O59" s="56">
        <v>0.77919824513001901</v>
      </c>
      <c r="P59" s="56">
        <v>0.26967799999999997</v>
      </c>
      <c r="Q59" s="56">
        <v>0.12333792174925599</v>
      </c>
      <c r="R59" s="56">
        <v>0.15669624937585799</v>
      </c>
      <c r="S59" s="17"/>
    </row>
    <row r="60" spans="1:19" x14ac:dyDescent="0.2">
      <c r="A60" s="13" t="s">
        <v>29</v>
      </c>
      <c r="B60" s="13" t="s">
        <v>49</v>
      </c>
      <c r="C60" s="14" t="str">
        <f t="shared" si="8"/>
        <v>BRL21</v>
      </c>
      <c r="D60" s="52">
        <f t="shared" si="2"/>
        <v>0</v>
      </c>
      <c r="E60" s="53">
        <f t="shared" si="3"/>
        <v>66.546079371109002</v>
      </c>
      <c r="F60" s="54">
        <f t="shared" si="4"/>
        <v>13.138372544108652</v>
      </c>
      <c r="G60" s="54">
        <f t="shared" si="9"/>
        <v>5.1641500131867977</v>
      </c>
      <c r="H60" s="53">
        <f t="shared" si="5"/>
        <v>23.167400000000001</v>
      </c>
      <c r="I60" s="53">
        <f t="shared" si="6"/>
        <v>12.5774820528717</v>
      </c>
      <c r="J60" s="53">
        <f t="shared" si="7"/>
        <v>15.1424486403534</v>
      </c>
      <c r="K60" s="15"/>
      <c r="L60" s="55">
        <v>508.06900000000002</v>
      </c>
      <c r="M60" s="55">
        <v>174.888742252604</v>
      </c>
      <c r="N60" s="56">
        <v>0</v>
      </c>
      <c r="O60" s="56">
        <v>0.66546079371109002</v>
      </c>
      <c r="P60" s="56">
        <v>0.23167399999999999</v>
      </c>
      <c r="Q60" s="56">
        <v>0.125774820528717</v>
      </c>
      <c r="R60" s="56">
        <v>0.15142448640353401</v>
      </c>
      <c r="S60" s="17"/>
    </row>
    <row r="61" spans="1:19" x14ac:dyDescent="0.2">
      <c r="A61" s="13" t="s">
        <v>29</v>
      </c>
      <c r="B61" s="13" t="s">
        <v>50</v>
      </c>
      <c r="C61" s="14" t="str">
        <f t="shared" si="8"/>
        <v>BRL22</v>
      </c>
      <c r="D61" s="52">
        <f t="shared" si="2"/>
        <v>0</v>
      </c>
      <c r="E61" s="53">
        <f t="shared" si="3"/>
        <v>68.307847943659809</v>
      </c>
      <c r="F61" s="54">
        <f t="shared" si="4"/>
        <v>13.150017454186145</v>
      </c>
      <c r="G61" s="54">
        <f t="shared" si="9"/>
        <v>5.1610327692679245</v>
      </c>
      <c r="H61" s="53">
        <f t="shared" si="5"/>
        <v>23.167400000000001</v>
      </c>
      <c r="I61" s="53">
        <f t="shared" si="6"/>
        <v>12.5774820528717</v>
      </c>
      <c r="J61" s="53">
        <f t="shared" si="7"/>
        <v>15.1424486403534</v>
      </c>
      <c r="K61" s="15"/>
      <c r="L61" s="55">
        <v>514.02</v>
      </c>
      <c r="M61" s="55">
        <v>174.344420217389</v>
      </c>
      <c r="N61" s="56">
        <v>0</v>
      </c>
      <c r="O61" s="56">
        <v>0.68307847943659805</v>
      </c>
      <c r="P61" s="56">
        <v>0.23167399999999999</v>
      </c>
      <c r="Q61" s="56">
        <v>0.125774820528717</v>
      </c>
      <c r="R61" s="56">
        <v>0.15142448640353401</v>
      </c>
      <c r="S61" s="17"/>
    </row>
    <row r="62" spans="1:19" x14ac:dyDescent="0.2">
      <c r="A62" s="13" t="s">
        <v>29</v>
      </c>
      <c r="B62" s="13" t="s">
        <v>51</v>
      </c>
      <c r="C62" s="14" t="str">
        <f t="shared" si="8"/>
        <v>BRL23</v>
      </c>
      <c r="D62" s="52">
        <f t="shared" si="2"/>
        <v>0</v>
      </c>
      <c r="E62" s="53">
        <f t="shared" si="3"/>
        <v>70.072533234774298</v>
      </c>
      <c r="F62" s="54">
        <f t="shared" si="4"/>
        <v>13.160595140168876</v>
      </c>
      <c r="G62" s="54">
        <f t="shared" si="9"/>
        <v>5.1565035177501395</v>
      </c>
      <c r="H62" s="53">
        <f t="shared" si="5"/>
        <v>23.167400000000001</v>
      </c>
      <c r="I62" s="53">
        <f t="shared" si="6"/>
        <v>12.5774820528717</v>
      </c>
      <c r="J62" s="53">
        <f t="shared" si="7"/>
        <v>15.1424486403534</v>
      </c>
      <c r="K62" s="15"/>
      <c r="L62" s="55">
        <v>519.48599999999999</v>
      </c>
      <c r="M62" s="55">
        <v>173.556556051847</v>
      </c>
      <c r="N62" s="56">
        <v>0</v>
      </c>
      <c r="O62" s="56">
        <v>0.70072533234774304</v>
      </c>
      <c r="P62" s="56">
        <v>0.23167399999999999</v>
      </c>
      <c r="Q62" s="56">
        <v>0.125774820528717</v>
      </c>
      <c r="R62" s="56">
        <v>0.15142448640353401</v>
      </c>
      <c r="S62" s="17"/>
    </row>
    <row r="63" spans="1:19" x14ac:dyDescent="0.2">
      <c r="A63" s="13" t="s">
        <v>29</v>
      </c>
      <c r="B63" s="13" t="s">
        <v>52</v>
      </c>
      <c r="C63" s="14" t="str">
        <f t="shared" si="8"/>
        <v>BRL24</v>
      </c>
      <c r="D63" s="52">
        <f t="shared" si="2"/>
        <v>0</v>
      </c>
      <c r="E63" s="53">
        <f t="shared" si="3"/>
        <v>71.839157108562304</v>
      </c>
      <c r="F63" s="54">
        <f t="shared" si="4"/>
        <v>13.170886839345217</v>
      </c>
      <c r="G63" s="54">
        <f t="shared" si="9"/>
        <v>5.1531447458921944</v>
      </c>
      <c r="H63" s="53">
        <f t="shared" si="5"/>
        <v>23.167400000000001</v>
      </c>
      <c r="I63" s="53">
        <f t="shared" si="6"/>
        <v>12.5774820528717</v>
      </c>
      <c r="J63" s="53">
        <f t="shared" si="7"/>
        <v>15.1424486403534</v>
      </c>
      <c r="K63" s="15"/>
      <c r="L63" s="55">
        <v>524.86</v>
      </c>
      <c r="M63" s="55">
        <v>172.97459705647299</v>
      </c>
      <c r="N63" s="56">
        <v>0</v>
      </c>
      <c r="O63" s="56">
        <v>0.71839157108562302</v>
      </c>
      <c r="P63" s="56">
        <v>0.23167399999999999</v>
      </c>
      <c r="Q63" s="56">
        <v>0.125774820528717</v>
      </c>
      <c r="R63" s="56">
        <v>0.15142448640353401</v>
      </c>
      <c r="S63" s="17"/>
    </row>
    <row r="64" spans="1:19" x14ac:dyDescent="0.2">
      <c r="A64" s="13" t="s">
        <v>29</v>
      </c>
      <c r="B64" s="13" t="s">
        <v>53</v>
      </c>
      <c r="C64" s="14" t="str">
        <f t="shared" si="8"/>
        <v>BRL25</v>
      </c>
      <c r="D64" s="52">
        <f t="shared" si="2"/>
        <v>0</v>
      </c>
      <c r="E64" s="53">
        <f t="shared" si="3"/>
        <v>73.660938295825289</v>
      </c>
      <c r="F64" s="54">
        <f t="shared" si="4"/>
        <v>13.180839811163182</v>
      </c>
      <c r="G64" s="54">
        <f t="shared" si="9"/>
        <v>5.1477666838563758</v>
      </c>
      <c r="H64" s="53">
        <f t="shared" si="5"/>
        <v>23.167400000000001</v>
      </c>
      <c r="I64" s="53">
        <f t="shared" si="6"/>
        <v>12.5774820528717</v>
      </c>
      <c r="J64" s="53">
        <f t="shared" si="7"/>
        <v>15.1424486403534</v>
      </c>
      <c r="K64" s="15"/>
      <c r="L64" s="55">
        <v>530.11</v>
      </c>
      <c r="M64" s="55">
        <v>172.04682598427499</v>
      </c>
      <c r="N64" s="56">
        <v>0</v>
      </c>
      <c r="O64" s="56">
        <v>0.73660938295825296</v>
      </c>
      <c r="P64" s="56">
        <v>0.23167399999999999</v>
      </c>
      <c r="Q64" s="56">
        <v>0.125774820528717</v>
      </c>
      <c r="R64" s="56">
        <v>0.15142448640353401</v>
      </c>
      <c r="S64" s="17"/>
    </row>
    <row r="65" spans="1:19" x14ac:dyDescent="0.2">
      <c r="A65" s="13" t="s">
        <v>30</v>
      </c>
      <c r="B65" s="13" t="s">
        <v>49</v>
      </c>
      <c r="C65" s="14" t="str">
        <f t="shared" si="8"/>
        <v>DVW21</v>
      </c>
      <c r="D65" s="52">
        <f t="shared" si="2"/>
        <v>0</v>
      </c>
      <c r="E65" s="53">
        <f t="shared" si="3"/>
        <v>65.850973751058433</v>
      </c>
      <c r="F65" s="54">
        <f t="shared" si="4"/>
        <v>11.680057238923196</v>
      </c>
      <c r="G65" s="54">
        <f t="shared" si="9"/>
        <v>4.9595944552487028</v>
      </c>
      <c r="H65" s="53">
        <f t="shared" si="5"/>
        <v>26.331500000000002</v>
      </c>
      <c r="I65" s="53">
        <f t="shared" si="6"/>
        <v>13.768395221218899</v>
      </c>
      <c r="J65" s="53">
        <f t="shared" si="7"/>
        <v>8.7605364305305891</v>
      </c>
      <c r="K65" s="15"/>
      <c r="L65" s="55">
        <v>118.19099999999999</v>
      </c>
      <c r="M65" s="55">
        <v>142.53597945586509</v>
      </c>
      <c r="N65" s="56">
        <v>0</v>
      </c>
      <c r="O65" s="56">
        <v>0.65850973751058428</v>
      </c>
      <c r="P65" s="56">
        <v>0.26331500000000002</v>
      </c>
      <c r="Q65" s="56">
        <v>0.13768395221218899</v>
      </c>
      <c r="R65" s="56">
        <v>8.7605364305305897E-2</v>
      </c>
      <c r="S65" s="17"/>
    </row>
    <row r="66" spans="1:19" x14ac:dyDescent="0.2">
      <c r="A66" s="13" t="s">
        <v>30</v>
      </c>
      <c r="B66" s="13" t="s">
        <v>50</v>
      </c>
      <c r="C66" s="14" t="str">
        <f t="shared" si="8"/>
        <v>DVW22</v>
      </c>
      <c r="D66" s="52">
        <f t="shared" si="2"/>
        <v>0</v>
      </c>
      <c r="E66" s="53">
        <f t="shared" si="3"/>
        <v>67.171589665909281</v>
      </c>
      <c r="F66" s="54">
        <f t="shared" si="4"/>
        <v>11.686167594897354</v>
      </c>
      <c r="G66" s="54">
        <f t="shared" si="9"/>
        <v>4.9454125022313518</v>
      </c>
      <c r="H66" s="53">
        <f t="shared" si="5"/>
        <v>26.331500000000002</v>
      </c>
      <c r="I66" s="53">
        <f t="shared" si="6"/>
        <v>13.768395221218899</v>
      </c>
      <c r="J66" s="53">
        <f t="shared" si="7"/>
        <v>8.7605364305305891</v>
      </c>
      <c r="K66" s="15"/>
      <c r="L66" s="55">
        <v>118.91539999999999</v>
      </c>
      <c r="M66" s="55">
        <v>140.5288073436316</v>
      </c>
      <c r="N66" s="56">
        <v>0</v>
      </c>
      <c r="O66" s="56">
        <v>0.67171589665909281</v>
      </c>
      <c r="P66" s="56">
        <v>0.26331500000000002</v>
      </c>
      <c r="Q66" s="56">
        <v>0.13768395221218899</v>
      </c>
      <c r="R66" s="56">
        <v>8.7605364305305897E-2</v>
      </c>
      <c r="S66" s="17"/>
    </row>
    <row r="67" spans="1:19" x14ac:dyDescent="0.2">
      <c r="A67" s="13" t="s">
        <v>30</v>
      </c>
      <c r="B67" s="13" t="s">
        <v>51</v>
      </c>
      <c r="C67" s="14" t="str">
        <f t="shared" si="8"/>
        <v>DVW23</v>
      </c>
      <c r="D67" s="52">
        <f t="shared" si="2"/>
        <v>0</v>
      </c>
      <c r="E67" s="53">
        <f t="shared" si="3"/>
        <v>68.436898887680869</v>
      </c>
      <c r="F67" s="54">
        <f t="shared" si="4"/>
        <v>11.692240841060775</v>
      </c>
      <c r="G67" s="54">
        <f t="shared" si="9"/>
        <v>4.931026524484742</v>
      </c>
      <c r="H67" s="53">
        <f t="shared" si="5"/>
        <v>26.331500000000002</v>
      </c>
      <c r="I67" s="53">
        <f t="shared" si="6"/>
        <v>13.768395221218899</v>
      </c>
      <c r="J67" s="53">
        <f t="shared" si="7"/>
        <v>8.7605364305305891</v>
      </c>
      <c r="K67" s="15"/>
      <c r="L67" s="55">
        <v>119.63979999999998</v>
      </c>
      <c r="M67" s="55">
        <v>138.52163523139808</v>
      </c>
      <c r="N67" s="56">
        <v>0</v>
      </c>
      <c r="O67" s="56">
        <v>0.68436898887680864</v>
      </c>
      <c r="P67" s="56">
        <v>0.26331500000000002</v>
      </c>
      <c r="Q67" s="56">
        <v>0.13768395221218899</v>
      </c>
      <c r="R67" s="56">
        <v>8.7605364305305897E-2</v>
      </c>
      <c r="S67" s="17"/>
    </row>
    <row r="68" spans="1:19" x14ac:dyDescent="0.2">
      <c r="A68" s="13" t="s">
        <v>30</v>
      </c>
      <c r="B68" s="13" t="s">
        <v>52</v>
      </c>
      <c r="C68" s="14" t="str">
        <f t="shared" si="8"/>
        <v>DVW24</v>
      </c>
      <c r="D68" s="52">
        <f t="shared" si="2"/>
        <v>0</v>
      </c>
      <c r="E68" s="53">
        <f t="shared" si="3"/>
        <v>69.659185369908556</v>
      </c>
      <c r="F68" s="54">
        <f t="shared" si="4"/>
        <v>11.698277425449213</v>
      </c>
      <c r="G68" s="54">
        <f t="shared" si="9"/>
        <v>4.9164305659289331</v>
      </c>
      <c r="H68" s="53">
        <f t="shared" si="5"/>
        <v>26.331500000000002</v>
      </c>
      <c r="I68" s="53">
        <f t="shared" si="6"/>
        <v>13.768395221218899</v>
      </c>
      <c r="J68" s="53">
        <f t="shared" si="7"/>
        <v>8.7605364305305891</v>
      </c>
      <c r="K68" s="15"/>
      <c r="L68" s="55">
        <v>120.36419999999998</v>
      </c>
      <c r="M68" s="55">
        <v>136.51446311916459</v>
      </c>
      <c r="N68" s="56">
        <v>0</v>
      </c>
      <c r="O68" s="56">
        <v>0.69659185369908561</v>
      </c>
      <c r="P68" s="56">
        <v>0.26331500000000002</v>
      </c>
      <c r="Q68" s="56">
        <v>0.13768395221218899</v>
      </c>
      <c r="R68" s="56">
        <v>8.7605364305305897E-2</v>
      </c>
      <c r="S68" s="17"/>
    </row>
    <row r="69" spans="1:19" x14ac:dyDescent="0.2">
      <c r="A69" s="13" t="s">
        <v>30</v>
      </c>
      <c r="B69" s="13" t="s">
        <v>53</v>
      </c>
      <c r="C69" s="14" t="str">
        <f t="shared" ref="C69:C88" si="10">A69&amp;RIGHT(B69,2)</f>
        <v>DVW25</v>
      </c>
      <c r="D69" s="52">
        <f t="shared" si="2"/>
        <v>0</v>
      </c>
      <c r="E69" s="53">
        <f t="shared" si="3"/>
        <v>70.825415186317443</v>
      </c>
      <c r="F69" s="54">
        <f t="shared" si="4"/>
        <v>11.704277788033215</v>
      </c>
      <c r="G69" s="54">
        <f t="shared" ref="G69:G88" si="11">LN(M69)</f>
        <v>4.901618405802652</v>
      </c>
      <c r="H69" s="53">
        <f t="shared" si="5"/>
        <v>26.331500000000002</v>
      </c>
      <c r="I69" s="53">
        <f t="shared" si="6"/>
        <v>13.768395221218899</v>
      </c>
      <c r="J69" s="53">
        <f t="shared" si="7"/>
        <v>8.7605364305305891</v>
      </c>
      <c r="K69" s="15"/>
      <c r="L69" s="55">
        <v>121.08859999999999</v>
      </c>
      <c r="M69" s="55">
        <v>134.5072910069311</v>
      </c>
      <c r="N69" s="56">
        <v>0</v>
      </c>
      <c r="O69" s="56">
        <v>0.70825415186317442</v>
      </c>
      <c r="P69" s="56">
        <v>0.26331500000000002</v>
      </c>
      <c r="Q69" s="56">
        <v>0.13768395221218899</v>
      </c>
      <c r="R69" s="56">
        <v>8.7605364305305897E-2</v>
      </c>
      <c r="S69" s="17"/>
    </row>
    <row r="70" spans="1:19" x14ac:dyDescent="0.2">
      <c r="A70" s="13" t="s">
        <v>31</v>
      </c>
      <c r="B70" s="13" t="s">
        <v>49</v>
      </c>
      <c r="C70" s="14" t="str">
        <f t="shared" si="10"/>
        <v>PRT21</v>
      </c>
      <c r="D70" s="52">
        <f t="shared" ref="D70:D88" si="12">N70 * 100</f>
        <v>0</v>
      </c>
      <c r="E70" s="53">
        <f t="shared" ref="E70:E88" si="13">O70 * 100</f>
        <v>35.844738972143496</v>
      </c>
      <c r="F70" s="54">
        <f t="shared" ref="F70:F88" si="14">LN($L70*1000)</f>
        <v>12.6122608254922</v>
      </c>
      <c r="G70" s="54">
        <f t="shared" si="11"/>
        <v>4.5745520265398056</v>
      </c>
      <c r="H70" s="53">
        <f t="shared" ref="H70:H88" si="15" xml:space="preserve"> P70 * 100</f>
        <v>26.490599999999997</v>
      </c>
      <c r="I70" s="53">
        <f t="shared" ref="I70:I88" si="16" xml:space="preserve"> Q70 * 100</f>
        <v>11.678703095125199</v>
      </c>
      <c r="J70" s="53">
        <f t="shared" ref="J70:J88" si="17" xml:space="preserve"> R70 * 100</f>
        <v>13.986830994174701</v>
      </c>
      <c r="K70" s="15"/>
      <c r="L70" s="55">
        <v>300.21699999999998</v>
      </c>
      <c r="M70" s="55">
        <v>96.984582884855797</v>
      </c>
      <c r="N70" s="56">
        <v>0</v>
      </c>
      <c r="O70" s="56">
        <v>0.35844738972143497</v>
      </c>
      <c r="P70" s="56">
        <v>0.26490599999999997</v>
      </c>
      <c r="Q70" s="56">
        <v>0.11678703095125199</v>
      </c>
      <c r="R70" s="56">
        <v>0.13986830994174701</v>
      </c>
      <c r="S70" s="17"/>
    </row>
    <row r="71" spans="1:19" x14ac:dyDescent="0.2">
      <c r="A71" s="13" t="s">
        <v>31</v>
      </c>
      <c r="B71" s="13" t="s">
        <v>50</v>
      </c>
      <c r="C71" s="14" t="str">
        <f t="shared" si="10"/>
        <v>PRT22</v>
      </c>
      <c r="D71" s="52">
        <f t="shared" si="12"/>
        <v>0</v>
      </c>
      <c r="E71" s="53">
        <f t="shared" si="13"/>
        <v>37.894973798071405</v>
      </c>
      <c r="F71" s="54">
        <f t="shared" si="14"/>
        <v>12.618437230745892</v>
      </c>
      <c r="G71" s="54">
        <f t="shared" si="11"/>
        <v>4.5737700893387254</v>
      </c>
      <c r="H71" s="53">
        <f t="shared" si="15"/>
        <v>26.490599999999997</v>
      </c>
      <c r="I71" s="53">
        <f t="shared" si="16"/>
        <v>11.678703095125199</v>
      </c>
      <c r="J71" s="53">
        <f t="shared" si="17"/>
        <v>13.986830994174701</v>
      </c>
      <c r="K71" s="15"/>
      <c r="L71" s="55">
        <v>302.077</v>
      </c>
      <c r="M71" s="55">
        <v>96.908776673277899</v>
      </c>
      <c r="N71" s="56">
        <v>0</v>
      </c>
      <c r="O71" s="56">
        <v>0.37894973798071402</v>
      </c>
      <c r="P71" s="56">
        <v>0.26490599999999997</v>
      </c>
      <c r="Q71" s="56">
        <v>0.11678703095125199</v>
      </c>
      <c r="R71" s="56">
        <v>0.13986830994174701</v>
      </c>
      <c r="S71" s="17"/>
    </row>
    <row r="72" spans="1:19" x14ac:dyDescent="0.2">
      <c r="A72" s="13" t="s">
        <v>31</v>
      </c>
      <c r="B72" s="13" t="s">
        <v>51</v>
      </c>
      <c r="C72" s="14" t="str">
        <f t="shared" si="10"/>
        <v>PRT23</v>
      </c>
      <c r="D72" s="52">
        <f t="shared" si="12"/>
        <v>0</v>
      </c>
      <c r="E72" s="53">
        <f t="shared" si="13"/>
        <v>39.922684652080896</v>
      </c>
      <c r="F72" s="54">
        <f t="shared" si="14"/>
        <v>12.624618493176868</v>
      </c>
      <c r="G72" s="54">
        <f t="shared" si="11"/>
        <v>4.5742351466644164</v>
      </c>
      <c r="H72" s="53">
        <f t="shared" si="15"/>
        <v>26.490599999999997</v>
      </c>
      <c r="I72" s="53">
        <f t="shared" si="16"/>
        <v>11.678703095125199</v>
      </c>
      <c r="J72" s="53">
        <f t="shared" si="17"/>
        <v>13.986830994174701</v>
      </c>
      <c r="K72" s="15"/>
      <c r="L72" s="55">
        <v>303.95</v>
      </c>
      <c r="M72" s="55">
        <v>96.953855291051795</v>
      </c>
      <c r="N72" s="56">
        <v>0</v>
      </c>
      <c r="O72" s="56">
        <v>0.39922684652080898</v>
      </c>
      <c r="P72" s="56">
        <v>0.26490599999999997</v>
      </c>
      <c r="Q72" s="56">
        <v>0.11678703095125199</v>
      </c>
      <c r="R72" s="56">
        <v>0.13986830994174701</v>
      </c>
      <c r="S72" s="17"/>
    </row>
    <row r="73" spans="1:19" x14ac:dyDescent="0.2">
      <c r="A73" s="13" t="s">
        <v>31</v>
      </c>
      <c r="B73" s="13" t="s">
        <v>52</v>
      </c>
      <c r="C73" s="14" t="str">
        <f t="shared" si="10"/>
        <v>PRT24</v>
      </c>
      <c r="D73" s="52">
        <f t="shared" si="12"/>
        <v>0</v>
      </c>
      <c r="E73" s="53">
        <f t="shared" si="13"/>
        <v>41.932583534950602</v>
      </c>
      <c r="F73" s="54">
        <f t="shared" si="14"/>
        <v>12.630882759902114</v>
      </c>
      <c r="G73" s="54">
        <f t="shared" si="11"/>
        <v>4.5752475809760806</v>
      </c>
      <c r="H73" s="53">
        <f t="shared" si="15"/>
        <v>26.490599999999997</v>
      </c>
      <c r="I73" s="53">
        <f t="shared" si="16"/>
        <v>11.678703095125199</v>
      </c>
      <c r="J73" s="53">
        <f t="shared" si="17"/>
        <v>13.986830994174701</v>
      </c>
      <c r="K73" s="15"/>
      <c r="L73" s="55">
        <v>305.86</v>
      </c>
      <c r="M73" s="55">
        <v>97.052064407547306</v>
      </c>
      <c r="N73" s="56">
        <v>0</v>
      </c>
      <c r="O73" s="56">
        <v>0.41932583534950602</v>
      </c>
      <c r="P73" s="56">
        <v>0.26490599999999997</v>
      </c>
      <c r="Q73" s="56">
        <v>0.11678703095125199</v>
      </c>
      <c r="R73" s="56">
        <v>0.13986830994174701</v>
      </c>
      <c r="S73" s="17"/>
    </row>
    <row r="74" spans="1:19" x14ac:dyDescent="0.2">
      <c r="A74" s="13" t="s">
        <v>31</v>
      </c>
      <c r="B74" s="13" t="s">
        <v>53</v>
      </c>
      <c r="C74" s="14" t="str">
        <f t="shared" si="10"/>
        <v>PRT25</v>
      </c>
      <c r="D74" s="52">
        <f t="shared" si="12"/>
        <v>0</v>
      </c>
      <c r="E74" s="53">
        <f t="shared" si="13"/>
        <v>43.9291956054237</v>
      </c>
      <c r="F74" s="54">
        <f t="shared" si="14"/>
        <v>12.637315955625043</v>
      </c>
      <c r="G74" s="54">
        <f t="shared" si="11"/>
        <v>4.5781422918398675</v>
      </c>
      <c r="H74" s="53">
        <f t="shared" si="15"/>
        <v>26.490599999999997</v>
      </c>
      <c r="I74" s="53">
        <f t="shared" si="16"/>
        <v>11.678703095125199</v>
      </c>
      <c r="J74" s="53">
        <f t="shared" si="17"/>
        <v>13.986830994174701</v>
      </c>
      <c r="K74" s="15"/>
      <c r="L74" s="55">
        <v>307.834</v>
      </c>
      <c r="M74" s="55">
        <v>97.333409082026506</v>
      </c>
      <c r="N74" s="56">
        <v>0</v>
      </c>
      <c r="O74" s="56">
        <v>0.43929195605423699</v>
      </c>
      <c r="P74" s="56">
        <v>0.26490599999999997</v>
      </c>
      <c r="Q74" s="56">
        <v>0.11678703095125199</v>
      </c>
      <c r="R74" s="56">
        <v>0.13986830994174701</v>
      </c>
      <c r="S74" s="17"/>
    </row>
    <row r="75" spans="1:19" x14ac:dyDescent="0.2">
      <c r="A75" s="13" t="s">
        <v>32</v>
      </c>
      <c r="B75" s="13" t="s">
        <v>49</v>
      </c>
      <c r="C75" s="14" t="str">
        <f t="shared" si="10"/>
        <v>SES21</v>
      </c>
      <c r="D75" s="52">
        <f t="shared" si="12"/>
        <v>0</v>
      </c>
      <c r="E75" s="53">
        <f t="shared" si="13"/>
        <v>64.539368570209902</v>
      </c>
      <c r="F75" s="54">
        <f t="shared" si="14"/>
        <v>12.530479530503477</v>
      </c>
      <c r="G75" s="54">
        <f t="shared" si="11"/>
        <v>5.2028076788814994</v>
      </c>
      <c r="H75" s="53">
        <f t="shared" si="15"/>
        <v>20.9862</v>
      </c>
      <c r="I75" s="53">
        <f t="shared" si="16"/>
        <v>9.6072079609599896</v>
      </c>
      <c r="J75" s="53">
        <f t="shared" si="17"/>
        <v>13.955975676094102</v>
      </c>
      <c r="K75" s="15"/>
      <c r="L75" s="55">
        <v>276.642</v>
      </c>
      <c r="M75" s="55">
        <v>181.781911279665</v>
      </c>
      <c r="N75" s="56">
        <v>0</v>
      </c>
      <c r="O75" s="56">
        <v>0.64539368570209898</v>
      </c>
      <c r="P75" s="56">
        <v>0.20986199999999999</v>
      </c>
      <c r="Q75" s="56">
        <v>9.6072079609599903E-2</v>
      </c>
      <c r="R75" s="56">
        <v>0.13955975676094101</v>
      </c>
      <c r="S75" s="17"/>
    </row>
    <row r="76" spans="1:19" x14ac:dyDescent="0.2">
      <c r="A76" s="13" t="s">
        <v>32</v>
      </c>
      <c r="B76" s="13" t="s">
        <v>50</v>
      </c>
      <c r="C76" s="14" t="str">
        <f t="shared" si="10"/>
        <v>SES22</v>
      </c>
      <c r="D76" s="52">
        <f t="shared" si="12"/>
        <v>0</v>
      </c>
      <c r="E76" s="53">
        <f t="shared" si="13"/>
        <v>70.855384086194093</v>
      </c>
      <c r="F76" s="54">
        <f t="shared" si="14"/>
        <v>12.539293172497855</v>
      </c>
      <c r="G76" s="54">
        <f t="shared" si="11"/>
        <v>5.2046105009909667</v>
      </c>
      <c r="H76" s="53">
        <f t="shared" si="15"/>
        <v>20.9862</v>
      </c>
      <c r="I76" s="53">
        <f t="shared" si="16"/>
        <v>9.6072079609599896</v>
      </c>
      <c r="J76" s="53">
        <f t="shared" si="17"/>
        <v>13.955975676094102</v>
      </c>
      <c r="K76" s="15"/>
      <c r="L76" s="55">
        <v>279.09100000000001</v>
      </c>
      <c r="M76" s="55">
        <v>182.10992731686099</v>
      </c>
      <c r="N76" s="56">
        <v>0</v>
      </c>
      <c r="O76" s="56">
        <v>0.70855384086194095</v>
      </c>
      <c r="P76" s="56">
        <v>0.20986199999999999</v>
      </c>
      <c r="Q76" s="56">
        <v>9.6072079609599903E-2</v>
      </c>
      <c r="R76" s="56">
        <v>0.13955975676094101</v>
      </c>
      <c r="S76" s="17"/>
    </row>
    <row r="77" spans="1:19" x14ac:dyDescent="0.2">
      <c r="A77" s="13" t="s">
        <v>32</v>
      </c>
      <c r="B77" s="13" t="s">
        <v>51</v>
      </c>
      <c r="C77" s="14" t="str">
        <f t="shared" si="10"/>
        <v>SES23</v>
      </c>
      <c r="D77" s="52">
        <f t="shared" si="12"/>
        <v>0</v>
      </c>
      <c r="E77" s="53">
        <f t="shared" si="13"/>
        <v>76.940393635643801</v>
      </c>
      <c r="F77" s="54">
        <f t="shared" si="14"/>
        <v>12.548352982434363</v>
      </c>
      <c r="G77" s="54">
        <f t="shared" si="11"/>
        <v>5.2027816919116354</v>
      </c>
      <c r="H77" s="53">
        <f t="shared" si="15"/>
        <v>20.9862</v>
      </c>
      <c r="I77" s="53">
        <f t="shared" si="16"/>
        <v>9.6072079609599896</v>
      </c>
      <c r="J77" s="53">
        <f t="shared" si="17"/>
        <v>13.955975676094102</v>
      </c>
      <c r="K77" s="15"/>
      <c r="L77" s="55">
        <v>281.63099999999997</v>
      </c>
      <c r="M77" s="55">
        <v>181.77718737999501</v>
      </c>
      <c r="N77" s="56">
        <v>0</v>
      </c>
      <c r="O77" s="56">
        <v>0.769403936356438</v>
      </c>
      <c r="P77" s="56">
        <v>0.20986199999999999</v>
      </c>
      <c r="Q77" s="56">
        <v>9.6072079609599903E-2</v>
      </c>
      <c r="R77" s="56">
        <v>0.13955975676094101</v>
      </c>
      <c r="S77" s="17"/>
    </row>
    <row r="78" spans="1:19" x14ac:dyDescent="0.2">
      <c r="A78" s="13" t="s">
        <v>32</v>
      </c>
      <c r="B78" s="13" t="s">
        <v>52</v>
      </c>
      <c r="C78" s="14" t="str">
        <f t="shared" si="10"/>
        <v>SES24</v>
      </c>
      <c r="D78" s="52">
        <f t="shared" si="12"/>
        <v>0</v>
      </c>
      <c r="E78" s="53">
        <f t="shared" si="13"/>
        <v>82.8011159151595</v>
      </c>
      <c r="F78" s="54">
        <f t="shared" si="14"/>
        <v>12.557612929636498</v>
      </c>
      <c r="G78" s="54">
        <f t="shared" si="11"/>
        <v>5.2012478621973397</v>
      </c>
      <c r="H78" s="53">
        <f t="shared" si="15"/>
        <v>20.9862</v>
      </c>
      <c r="I78" s="53">
        <f t="shared" si="16"/>
        <v>9.6072079609599896</v>
      </c>
      <c r="J78" s="53">
        <f t="shared" si="17"/>
        <v>13.955975676094102</v>
      </c>
      <c r="K78" s="15"/>
      <c r="L78" s="55">
        <v>284.25099999999998</v>
      </c>
      <c r="M78" s="55">
        <v>181.49858584688599</v>
      </c>
      <c r="N78" s="56">
        <v>0</v>
      </c>
      <c r="O78" s="56">
        <v>0.82801115915159496</v>
      </c>
      <c r="P78" s="56">
        <v>0.20986199999999999</v>
      </c>
      <c r="Q78" s="56">
        <v>9.6072079609599903E-2</v>
      </c>
      <c r="R78" s="56">
        <v>0.13955975676094101</v>
      </c>
      <c r="S78" s="17"/>
    </row>
    <row r="79" spans="1:19" x14ac:dyDescent="0.2">
      <c r="A79" s="13" t="s">
        <v>32</v>
      </c>
      <c r="B79" s="13" t="s">
        <v>53</v>
      </c>
      <c r="C79" s="14" t="str">
        <f t="shared" si="10"/>
        <v>SES25</v>
      </c>
      <c r="D79" s="52">
        <f t="shared" si="12"/>
        <v>0</v>
      </c>
      <c r="E79" s="53">
        <f t="shared" si="13"/>
        <v>88.442526371565407</v>
      </c>
      <c r="F79" s="54">
        <f t="shared" si="14"/>
        <v>12.56675654286601</v>
      </c>
      <c r="G79" s="54">
        <f t="shared" si="11"/>
        <v>5.1940807124717816</v>
      </c>
      <c r="H79" s="53">
        <f t="shared" si="15"/>
        <v>20.9862</v>
      </c>
      <c r="I79" s="53">
        <f t="shared" si="16"/>
        <v>9.6072079609599896</v>
      </c>
      <c r="J79" s="53">
        <f t="shared" si="17"/>
        <v>13.955975676094102</v>
      </c>
      <c r="K79" s="15"/>
      <c r="L79" s="55">
        <v>286.86200000000002</v>
      </c>
      <c r="M79" s="55">
        <v>180.20240880311701</v>
      </c>
      <c r="N79" s="56">
        <v>0</v>
      </c>
      <c r="O79" s="56">
        <v>0.884425263715654</v>
      </c>
      <c r="P79" s="56">
        <v>0.20986199999999999</v>
      </c>
      <c r="Q79" s="56">
        <v>9.6072079609599903E-2</v>
      </c>
      <c r="R79" s="56">
        <v>0.13955975676094101</v>
      </c>
      <c r="S79" s="17"/>
    </row>
    <row r="80" spans="1:19" x14ac:dyDescent="0.2">
      <c r="A80" s="13" t="s">
        <v>33</v>
      </c>
      <c r="B80" s="13" t="s">
        <v>49</v>
      </c>
      <c r="C80" s="14" t="str">
        <f t="shared" si="10"/>
        <v>SEW21</v>
      </c>
      <c r="D80" s="52">
        <f t="shared" si="12"/>
        <v>0</v>
      </c>
      <c r="E80" s="53">
        <f t="shared" si="13"/>
        <v>87.196804746921103</v>
      </c>
      <c r="F80" s="54">
        <f t="shared" si="14"/>
        <v>13.686601608227456</v>
      </c>
      <c r="G80" s="54">
        <f t="shared" si="11"/>
        <v>5.3169254541962134</v>
      </c>
      <c r="H80" s="53">
        <f t="shared" si="15"/>
        <v>21.316199999999998</v>
      </c>
      <c r="I80" s="53">
        <f t="shared" si="16"/>
        <v>9.5258229755804198</v>
      </c>
      <c r="J80" s="53">
        <f t="shared" si="17"/>
        <v>12.383108799698899</v>
      </c>
      <c r="K80" s="15"/>
      <c r="L80" s="55">
        <v>879.05399999999997</v>
      </c>
      <c r="M80" s="55">
        <v>203.75645940021801</v>
      </c>
      <c r="N80" s="56">
        <v>0</v>
      </c>
      <c r="O80" s="56">
        <v>0.87196804746921097</v>
      </c>
      <c r="P80" s="56">
        <v>0.21316199999999999</v>
      </c>
      <c r="Q80" s="56">
        <v>9.5258229755804197E-2</v>
      </c>
      <c r="R80" s="56">
        <v>0.123831087996989</v>
      </c>
      <c r="S80" s="17"/>
    </row>
    <row r="81" spans="1:19" x14ac:dyDescent="0.2">
      <c r="A81" s="13" t="s">
        <v>33</v>
      </c>
      <c r="B81" s="13" t="s">
        <v>50</v>
      </c>
      <c r="C81" s="14" t="str">
        <f t="shared" si="10"/>
        <v>SEW22</v>
      </c>
      <c r="D81" s="52">
        <f t="shared" si="12"/>
        <v>0</v>
      </c>
      <c r="E81" s="53">
        <f t="shared" si="13"/>
        <v>87.364711634545898</v>
      </c>
      <c r="F81" s="54">
        <f t="shared" si="14"/>
        <v>13.696322660952127</v>
      </c>
      <c r="G81" s="54">
        <f t="shared" si="11"/>
        <v>5.3169041862336339</v>
      </c>
      <c r="H81" s="53">
        <f t="shared" si="15"/>
        <v>21.316199999999998</v>
      </c>
      <c r="I81" s="53">
        <f t="shared" si="16"/>
        <v>9.5258229755804198</v>
      </c>
      <c r="J81" s="53">
        <f t="shared" si="17"/>
        <v>12.383108799698899</v>
      </c>
      <c r="K81" s="15"/>
      <c r="L81" s="55">
        <v>887.64099999999996</v>
      </c>
      <c r="M81" s="55">
        <v>203.752125961546</v>
      </c>
      <c r="N81" s="56">
        <v>0</v>
      </c>
      <c r="O81" s="56">
        <v>0.873647116345459</v>
      </c>
      <c r="P81" s="56">
        <v>0.21316199999999999</v>
      </c>
      <c r="Q81" s="56">
        <v>9.5258229755804197E-2</v>
      </c>
      <c r="R81" s="56">
        <v>0.123831087996989</v>
      </c>
      <c r="S81" s="17"/>
    </row>
    <row r="82" spans="1:19" x14ac:dyDescent="0.2">
      <c r="A82" s="13" t="s">
        <v>33</v>
      </c>
      <c r="B82" s="13" t="s">
        <v>51</v>
      </c>
      <c r="C82" s="14" t="str">
        <f t="shared" si="10"/>
        <v>SEW23</v>
      </c>
      <c r="D82" s="52">
        <f t="shared" si="12"/>
        <v>0</v>
      </c>
      <c r="E82" s="53">
        <f t="shared" si="13"/>
        <v>87.520262573951996</v>
      </c>
      <c r="F82" s="54">
        <f t="shared" si="14"/>
        <v>13.706094050101925</v>
      </c>
      <c r="G82" s="54">
        <f t="shared" si="11"/>
        <v>5.3169216744625851</v>
      </c>
      <c r="H82" s="53">
        <f t="shared" si="15"/>
        <v>21.316199999999998</v>
      </c>
      <c r="I82" s="53">
        <f t="shared" si="16"/>
        <v>9.5258229755804198</v>
      </c>
      <c r="J82" s="53">
        <f t="shared" si="17"/>
        <v>12.383108799698899</v>
      </c>
      <c r="K82" s="15"/>
      <c r="L82" s="55">
        <v>896.35699999999997</v>
      </c>
      <c r="M82" s="55">
        <v>203.75568925653201</v>
      </c>
      <c r="N82" s="56">
        <v>0</v>
      </c>
      <c r="O82" s="56">
        <v>0.87520262573952001</v>
      </c>
      <c r="P82" s="56">
        <v>0.21316199999999999</v>
      </c>
      <c r="Q82" s="56">
        <v>9.5258229755804197E-2</v>
      </c>
      <c r="R82" s="56">
        <v>0.123831087996989</v>
      </c>
      <c r="S82" s="17"/>
    </row>
    <row r="83" spans="1:19" x14ac:dyDescent="0.2">
      <c r="A83" s="13" t="s">
        <v>33</v>
      </c>
      <c r="B83" s="13" t="s">
        <v>52</v>
      </c>
      <c r="C83" s="14" t="str">
        <f t="shared" si="10"/>
        <v>SEW24</v>
      </c>
      <c r="D83" s="52">
        <f t="shared" si="12"/>
        <v>0</v>
      </c>
      <c r="E83" s="53">
        <f t="shared" si="13"/>
        <v>87.663858453693194</v>
      </c>
      <c r="F83" s="54">
        <f t="shared" si="14"/>
        <v>13.715913402195552</v>
      </c>
      <c r="G83" s="54">
        <f t="shared" si="11"/>
        <v>5.3169165480221201</v>
      </c>
      <c r="H83" s="53">
        <f t="shared" si="15"/>
        <v>21.316199999999998</v>
      </c>
      <c r="I83" s="53">
        <f t="shared" si="16"/>
        <v>9.5258229755804198</v>
      </c>
      <c r="J83" s="53">
        <f t="shared" si="17"/>
        <v>12.383108799698899</v>
      </c>
      <c r="K83" s="15"/>
      <c r="L83" s="55">
        <v>905.202</v>
      </c>
      <c r="M83" s="55">
        <v>203.75464471779901</v>
      </c>
      <c r="N83" s="56">
        <v>0</v>
      </c>
      <c r="O83" s="56">
        <v>0.876638584536932</v>
      </c>
      <c r="P83" s="56">
        <v>0.21316199999999999</v>
      </c>
      <c r="Q83" s="56">
        <v>9.5258229755804197E-2</v>
      </c>
      <c r="R83" s="56">
        <v>0.123831087996989</v>
      </c>
      <c r="S83" s="17"/>
    </row>
    <row r="84" spans="1:19" x14ac:dyDescent="0.2">
      <c r="A84" s="13" t="s">
        <v>33</v>
      </c>
      <c r="B84" s="13" t="s">
        <v>53</v>
      </c>
      <c r="C84" s="14" t="str">
        <f t="shared" si="10"/>
        <v>SEW25</v>
      </c>
      <c r="D84" s="52">
        <f t="shared" si="12"/>
        <v>0</v>
      </c>
      <c r="E84" s="53">
        <f t="shared" si="13"/>
        <v>87.795646818685896</v>
      </c>
      <c r="F84" s="54">
        <f t="shared" si="14"/>
        <v>13.725784955340067</v>
      </c>
      <c r="G84" s="54">
        <f t="shared" si="11"/>
        <v>5.3158004596313422</v>
      </c>
      <c r="H84" s="53">
        <f t="shared" si="15"/>
        <v>21.316199999999998</v>
      </c>
      <c r="I84" s="53">
        <f t="shared" si="16"/>
        <v>9.5258229755804198</v>
      </c>
      <c r="J84" s="53">
        <f t="shared" si="17"/>
        <v>12.383108799698899</v>
      </c>
      <c r="K84" s="15"/>
      <c r="L84" s="55">
        <v>914.18200000000002</v>
      </c>
      <c r="M84" s="55">
        <v>203.52736338088599</v>
      </c>
      <c r="N84" s="56">
        <v>0</v>
      </c>
      <c r="O84" s="56">
        <v>0.87795646818685902</v>
      </c>
      <c r="P84" s="56">
        <v>0.21316199999999999</v>
      </c>
      <c r="Q84" s="56">
        <v>9.5258229755804197E-2</v>
      </c>
      <c r="R84" s="56">
        <v>0.123831087996989</v>
      </c>
      <c r="S84" s="17"/>
    </row>
    <row r="85" spans="1:19" x14ac:dyDescent="0.2">
      <c r="A85" s="13" t="s">
        <v>34</v>
      </c>
      <c r="B85" s="13" t="s">
        <v>49</v>
      </c>
      <c r="C85" s="14" t="str">
        <f t="shared" si="10"/>
        <v>SSC21</v>
      </c>
      <c r="D85" s="52">
        <f t="shared" si="12"/>
        <v>0</v>
      </c>
      <c r="E85" s="53">
        <f t="shared" si="13"/>
        <v>48.605351952939799</v>
      </c>
      <c r="F85" s="54">
        <f t="shared" si="14"/>
        <v>13.455636129467505</v>
      </c>
      <c r="G85" s="54">
        <f t="shared" si="11"/>
        <v>4.9278112082381949</v>
      </c>
      <c r="H85" s="53">
        <f t="shared" si="15"/>
        <v>28.280100000000001</v>
      </c>
      <c r="I85" s="53">
        <f t="shared" si="16"/>
        <v>16.123359541033501</v>
      </c>
      <c r="J85" s="53">
        <f t="shared" si="17"/>
        <v>11.093384498118199</v>
      </c>
      <c r="K85" s="15"/>
      <c r="L85" s="55">
        <v>697.763939836845</v>
      </c>
      <c r="M85" s="55">
        <v>138.07695963657</v>
      </c>
      <c r="N85" s="56">
        <v>0</v>
      </c>
      <c r="O85" s="56">
        <v>0.48605351952939801</v>
      </c>
      <c r="P85" s="56">
        <v>0.28280100000000002</v>
      </c>
      <c r="Q85" s="56">
        <v>0.161233595410335</v>
      </c>
      <c r="R85" s="56">
        <v>0.110933844981182</v>
      </c>
      <c r="S85" s="17"/>
    </row>
    <row r="86" spans="1:19" x14ac:dyDescent="0.2">
      <c r="A86" s="13" t="s">
        <v>34</v>
      </c>
      <c r="B86" s="13" t="s">
        <v>50</v>
      </c>
      <c r="C86" s="14" t="str">
        <f t="shared" si="10"/>
        <v>SSC22</v>
      </c>
      <c r="D86" s="52">
        <f t="shared" si="12"/>
        <v>0</v>
      </c>
      <c r="E86" s="53">
        <f t="shared" si="13"/>
        <v>50.568152194237506</v>
      </c>
      <c r="F86" s="54">
        <f t="shared" si="14"/>
        <v>13.468009956446773</v>
      </c>
      <c r="G86" s="54">
        <f t="shared" si="11"/>
        <v>4.9077911185628942</v>
      </c>
      <c r="H86" s="53">
        <f t="shared" si="15"/>
        <v>28.280100000000001</v>
      </c>
      <c r="I86" s="53">
        <f t="shared" si="16"/>
        <v>16.123359541033501</v>
      </c>
      <c r="J86" s="53">
        <f t="shared" si="17"/>
        <v>11.093384498118199</v>
      </c>
      <c r="K86" s="15"/>
      <c r="L86" s="55">
        <v>706.45158898644104</v>
      </c>
      <c r="M86" s="55">
        <v>135.34013368334399</v>
      </c>
      <c r="N86" s="56">
        <v>0</v>
      </c>
      <c r="O86" s="56">
        <v>0.50568152194237503</v>
      </c>
      <c r="P86" s="56">
        <v>0.28280100000000002</v>
      </c>
      <c r="Q86" s="56">
        <v>0.161233595410335</v>
      </c>
      <c r="R86" s="56">
        <v>0.110933844981182</v>
      </c>
      <c r="S86" s="17"/>
    </row>
    <row r="87" spans="1:19" x14ac:dyDescent="0.2">
      <c r="A87" s="13" t="s">
        <v>34</v>
      </c>
      <c r="B87" s="13" t="s">
        <v>51</v>
      </c>
      <c r="C87" s="14" t="str">
        <f t="shared" si="10"/>
        <v>SSC23</v>
      </c>
      <c r="D87" s="52">
        <f t="shared" si="12"/>
        <v>0</v>
      </c>
      <c r="E87" s="53">
        <f t="shared" si="13"/>
        <v>52.451960942546009</v>
      </c>
      <c r="F87" s="54">
        <f t="shared" si="14"/>
        <v>13.479720561934183</v>
      </c>
      <c r="G87" s="54">
        <f t="shared" si="11"/>
        <v>4.8880727756366475</v>
      </c>
      <c r="H87" s="53">
        <f t="shared" si="15"/>
        <v>28.280100000000001</v>
      </c>
      <c r="I87" s="53">
        <f t="shared" si="16"/>
        <v>16.123359541033501</v>
      </c>
      <c r="J87" s="53">
        <f t="shared" si="17"/>
        <v>11.093384498118199</v>
      </c>
      <c r="K87" s="15"/>
      <c r="L87" s="55">
        <v>714.77319526440601</v>
      </c>
      <c r="M87" s="55">
        <v>132.69758943330399</v>
      </c>
      <c r="N87" s="56">
        <v>0</v>
      </c>
      <c r="O87" s="56">
        <v>0.52451960942546005</v>
      </c>
      <c r="P87" s="56">
        <v>0.28280100000000002</v>
      </c>
      <c r="Q87" s="56">
        <v>0.161233595410335</v>
      </c>
      <c r="R87" s="56">
        <v>0.110933844981182</v>
      </c>
      <c r="S87" s="17"/>
    </row>
    <row r="88" spans="1:19" x14ac:dyDescent="0.2">
      <c r="A88" s="13" t="s">
        <v>34</v>
      </c>
      <c r="B88" s="13" t="s">
        <v>52</v>
      </c>
      <c r="C88" s="14" t="str">
        <f t="shared" si="10"/>
        <v>SSC24</v>
      </c>
      <c r="D88" s="52">
        <f t="shared" si="12"/>
        <v>0</v>
      </c>
      <c r="E88" s="53">
        <f t="shared" si="13"/>
        <v>54.317679701042401</v>
      </c>
      <c r="F88" s="54">
        <f t="shared" si="14"/>
        <v>13.491995533473828</v>
      </c>
      <c r="G88" s="54">
        <f t="shared" si="11"/>
        <v>4.8682426013513851</v>
      </c>
      <c r="H88" s="53">
        <f t="shared" si="15"/>
        <v>28.280100000000001</v>
      </c>
      <c r="I88" s="53">
        <f t="shared" si="16"/>
        <v>16.123359541033501</v>
      </c>
      <c r="J88" s="53">
        <f t="shared" si="17"/>
        <v>11.093384498118199</v>
      </c>
      <c r="K88" s="15"/>
      <c r="L88" s="55">
        <v>723.60108610310601</v>
      </c>
      <c r="M88" s="55">
        <v>130.09209222019999</v>
      </c>
      <c r="N88" s="56">
        <v>0</v>
      </c>
      <c r="O88" s="56">
        <v>0.54317679701042398</v>
      </c>
      <c r="P88" s="56">
        <v>0.28280100000000002</v>
      </c>
      <c r="Q88" s="56">
        <v>0.161233595410335</v>
      </c>
      <c r="R88" s="56">
        <v>0.110933844981182</v>
      </c>
      <c r="S88" s="17"/>
    </row>
    <row r="89" spans="1:19" x14ac:dyDescent="0.2">
      <c r="A89" s="13" t="s">
        <v>34</v>
      </c>
      <c r="B89" s="13" t="s">
        <v>53</v>
      </c>
      <c r="C89" s="14" t="str">
        <f>A89&amp;RIGHT(B89,2)</f>
        <v>SSC25</v>
      </c>
      <c r="D89" s="52">
        <f>N89 * 100</f>
        <v>0</v>
      </c>
      <c r="E89" s="53">
        <f>O89 * 100</f>
        <v>56.121304304966003</v>
      </c>
      <c r="F89" s="54">
        <f>LN($L89*1000)</f>
        <v>13.503878995280461</v>
      </c>
      <c r="G89" s="54">
        <f>LN(M89)</f>
        <v>4.8485491745319163</v>
      </c>
      <c r="H89" s="53">
        <f xml:space="preserve"> P89 * 100</f>
        <v>28.280100000000001</v>
      </c>
      <c r="I89" s="53">
        <f xml:space="preserve"> Q89 * 100</f>
        <v>16.123359541033501</v>
      </c>
      <c r="J89" s="53">
        <f xml:space="preserve"> R89 * 100</f>
        <v>11.093384498118199</v>
      </c>
      <c r="K89" s="15"/>
      <c r="L89" s="55">
        <v>732.25126722597599</v>
      </c>
      <c r="M89" s="55">
        <v>127.555195210169</v>
      </c>
      <c r="N89" s="56">
        <v>0</v>
      </c>
      <c r="O89" s="56">
        <v>0.56121304304966002</v>
      </c>
      <c r="P89" s="56">
        <v>0.28280100000000002</v>
      </c>
      <c r="Q89" s="56">
        <v>0.161233595410335</v>
      </c>
      <c r="R89" s="56">
        <v>0.110933844981182</v>
      </c>
      <c r="S89" s="17"/>
    </row>
    <row r="90" spans="1:19" x14ac:dyDescent="0.2">
      <c r="A90" s="13" t="s">
        <v>232</v>
      </c>
      <c r="B90" s="13" t="s">
        <v>49</v>
      </c>
      <c r="C90" s="14" t="str">
        <f t="shared" ref="C90:C93" si="18">A90&amp;RIGHT(B90,2)</f>
        <v>SVH21</v>
      </c>
      <c r="D90" s="52">
        <f t="shared" ref="D90:D94" si="19">N90 * 100</f>
        <v>71.7153178355817</v>
      </c>
      <c r="E90" s="53">
        <f t="shared" ref="E90:E94" si="20">O90 * 100</f>
        <v>48.712616871096699</v>
      </c>
      <c r="F90" s="54">
        <f t="shared" ref="F90:F104" si="21">LN($L90*1000)</f>
        <v>15.252496499443453</v>
      </c>
      <c r="G90" s="54">
        <f t="shared" ref="G90:G94" si="22">LN(M90)</f>
        <v>5.6400217522768834</v>
      </c>
      <c r="H90" s="53">
        <f t="shared" ref="H90:H94" si="23" xml:space="preserve"> P90 * 100</f>
        <v>28.040690058430702</v>
      </c>
      <c r="I90" s="53">
        <f t="shared" ref="I90:I94" si="24" xml:space="preserve"> Q90 * 100</f>
        <v>15.578296074864401</v>
      </c>
      <c r="J90" s="53">
        <f t="shared" ref="J90:J94" si="25" xml:space="preserve"> R90 * 100</f>
        <v>11.715486355265901</v>
      </c>
      <c r="K90" s="15"/>
      <c r="L90" s="55">
        <v>4207.9935451171305</v>
      </c>
      <c r="M90" s="55">
        <v>281.468840996854</v>
      </c>
      <c r="N90" s="56">
        <v>0.71715317835581704</v>
      </c>
      <c r="O90" s="56">
        <v>0.48712616871096698</v>
      </c>
      <c r="P90" s="56">
        <v>0.28040690058430701</v>
      </c>
      <c r="Q90" s="56">
        <v>0.15578296074864401</v>
      </c>
      <c r="R90" s="56">
        <v>0.117154863552659</v>
      </c>
      <c r="S90" s="17"/>
    </row>
    <row r="91" spans="1:19" x14ac:dyDescent="0.2">
      <c r="A91" s="13" t="s">
        <v>232</v>
      </c>
      <c r="B91" s="13" t="s">
        <v>50</v>
      </c>
      <c r="C91" s="14" t="str">
        <f t="shared" si="18"/>
        <v>SVH22</v>
      </c>
      <c r="D91" s="52">
        <f t="shared" si="19"/>
        <v>71.7153178355817</v>
      </c>
      <c r="E91" s="53">
        <f t="shared" si="20"/>
        <v>51.471564080495305</v>
      </c>
      <c r="F91" s="54">
        <f t="shared" si="21"/>
        <v>15.258250473932488</v>
      </c>
      <c r="G91" s="54">
        <f t="shared" si="22"/>
        <v>5.6553269500531798</v>
      </c>
      <c r="H91" s="53">
        <f t="shared" si="23"/>
        <v>28.040690058430702</v>
      </c>
      <c r="I91" s="53">
        <f t="shared" si="24"/>
        <v>15.578296074864401</v>
      </c>
      <c r="J91" s="53">
        <f t="shared" si="25"/>
        <v>11.715486355265901</v>
      </c>
      <c r="K91" s="15"/>
      <c r="L91" s="55">
        <v>4232.2760260178002</v>
      </c>
      <c r="M91" s="55">
        <v>285.80991301842198</v>
      </c>
      <c r="N91" s="56">
        <v>0.71715317835581704</v>
      </c>
      <c r="O91" s="56">
        <v>0.51471564080495302</v>
      </c>
      <c r="P91" s="56">
        <v>0.28040690058430701</v>
      </c>
      <c r="Q91" s="56">
        <v>0.15578296074864401</v>
      </c>
      <c r="R91" s="56">
        <v>0.117154863552659</v>
      </c>
      <c r="S91" s="17"/>
    </row>
    <row r="92" spans="1:19" x14ac:dyDescent="0.2">
      <c r="A92" s="13" t="s">
        <v>232</v>
      </c>
      <c r="B92" s="13" t="s">
        <v>51</v>
      </c>
      <c r="C92" s="14" t="str">
        <f t="shared" si="18"/>
        <v>SVH23</v>
      </c>
      <c r="D92" s="52">
        <f t="shared" si="19"/>
        <v>71.7153178355817</v>
      </c>
      <c r="E92" s="53">
        <f t="shared" si="20"/>
        <v>54.2007667134869</v>
      </c>
      <c r="F92" s="54">
        <f t="shared" si="21"/>
        <v>15.264318194857312</v>
      </c>
      <c r="G92" s="54">
        <f t="shared" si="22"/>
        <v>5.6591951015622248</v>
      </c>
      <c r="H92" s="53">
        <f t="shared" si="23"/>
        <v>28.040690058430702</v>
      </c>
      <c r="I92" s="53">
        <f t="shared" si="24"/>
        <v>15.578296074864401</v>
      </c>
      <c r="J92" s="53">
        <f t="shared" si="25"/>
        <v>11.715486355265901</v>
      </c>
      <c r="K92" s="15"/>
      <c r="L92" s="55">
        <v>4258.0343639944804</v>
      </c>
      <c r="M92" s="55">
        <v>286.917610053575</v>
      </c>
      <c r="N92" s="56">
        <v>0.71715317835581704</v>
      </c>
      <c r="O92" s="56">
        <v>0.54200766713486903</v>
      </c>
      <c r="P92" s="56">
        <v>0.28040690058430701</v>
      </c>
      <c r="Q92" s="56">
        <v>0.15578296074864401</v>
      </c>
      <c r="R92" s="56">
        <v>0.117154863552659</v>
      </c>
      <c r="S92" s="17"/>
    </row>
    <row r="93" spans="1:19" x14ac:dyDescent="0.2">
      <c r="A93" s="13" t="s">
        <v>232</v>
      </c>
      <c r="B93" s="13" t="s">
        <v>52</v>
      </c>
      <c r="C93" s="14" t="str">
        <f t="shared" si="18"/>
        <v>SVH24</v>
      </c>
      <c r="D93" s="52">
        <f t="shared" si="19"/>
        <v>71.7153178355817</v>
      </c>
      <c r="E93" s="53">
        <f t="shared" si="20"/>
        <v>56.887648674220905</v>
      </c>
      <c r="F93" s="54">
        <f t="shared" si="21"/>
        <v>15.270450265838349</v>
      </c>
      <c r="G93" s="54">
        <f t="shared" si="22"/>
        <v>5.6543058613584734</v>
      </c>
      <c r="H93" s="53">
        <f t="shared" si="23"/>
        <v>28.040690058430702</v>
      </c>
      <c r="I93" s="53">
        <f t="shared" si="24"/>
        <v>15.578296074864401</v>
      </c>
      <c r="J93" s="53">
        <f t="shared" si="25"/>
        <v>11.715486355265901</v>
      </c>
      <c r="K93" s="15"/>
      <c r="L93" s="55">
        <v>4284.2251527726803</v>
      </c>
      <c r="M93" s="55">
        <v>285.51822469257303</v>
      </c>
      <c r="N93" s="56">
        <v>0.71715317835581704</v>
      </c>
      <c r="O93" s="56">
        <v>0.56887648674220903</v>
      </c>
      <c r="P93" s="56">
        <v>0.28040690058430701</v>
      </c>
      <c r="Q93" s="56">
        <v>0.15578296074864401</v>
      </c>
      <c r="R93" s="56">
        <v>0.117154863552659</v>
      </c>
      <c r="S93" s="17"/>
    </row>
    <row r="94" spans="1:19" x14ac:dyDescent="0.2">
      <c r="A94" s="13" t="s">
        <v>232</v>
      </c>
      <c r="B94" s="13" t="s">
        <v>53</v>
      </c>
      <c r="C94" s="14" t="str">
        <f>A94&amp;RIGHT(B94,2)</f>
        <v>SVH25</v>
      </c>
      <c r="D94" s="52">
        <f t="shared" si="19"/>
        <v>71.7153178355817</v>
      </c>
      <c r="E94" s="53">
        <f t="shared" si="20"/>
        <v>59.532495590665604</v>
      </c>
      <c r="F94" s="54">
        <f t="shared" si="21"/>
        <v>15.276645189772344</v>
      </c>
      <c r="G94" s="54">
        <f t="shared" si="22"/>
        <v>5.6365330664753435</v>
      </c>
      <c r="H94" s="53">
        <f t="shared" si="23"/>
        <v>28.040690058430702</v>
      </c>
      <c r="I94" s="53">
        <f t="shared" si="24"/>
        <v>15.578296074864401</v>
      </c>
      <c r="J94" s="53">
        <f t="shared" si="25"/>
        <v>11.715486355265901</v>
      </c>
      <c r="K94" s="15"/>
      <c r="L94" s="55">
        <v>4310.8479797621203</v>
      </c>
      <c r="M94" s="55">
        <v>280.48859552612799</v>
      </c>
      <c r="N94" s="56">
        <v>0.71715317835581704</v>
      </c>
      <c r="O94" s="56">
        <v>0.59532495590665602</v>
      </c>
      <c r="P94" s="56">
        <v>0.28040690058430701</v>
      </c>
      <c r="Q94" s="56">
        <v>0.15578296074864401</v>
      </c>
      <c r="R94" s="56">
        <v>0.117154863552659</v>
      </c>
      <c r="S94" s="17"/>
    </row>
    <row r="95" spans="1:19" x14ac:dyDescent="0.2">
      <c r="A95" s="13" t="s">
        <v>156</v>
      </c>
      <c r="B95" s="13" t="s">
        <v>49</v>
      </c>
      <c r="C95" s="14" t="str">
        <f>A95&amp;RIGHT(B95,2)</f>
        <v>SVE21</v>
      </c>
      <c r="D95" s="52">
        <f t="shared" ref="D95:D103" si="26">N95 * 100</f>
        <v>73.159528145539696</v>
      </c>
      <c r="E95" s="53">
        <f t="shared" ref="E95:E103" si="27">O95 * 100</f>
        <v>48.483917804856901</v>
      </c>
      <c r="F95" s="54">
        <f t="shared" si="21"/>
        <v>15.229655842642753</v>
      </c>
      <c r="G95" s="54">
        <f t="shared" ref="G95:G103" si="28">LN(M95)</f>
        <v>5.6482479045448573</v>
      </c>
      <c r="H95" s="174"/>
      <c r="I95" s="174"/>
      <c r="J95" s="174"/>
      <c r="K95" s="15"/>
      <c r="L95" s="55">
        <v>4112.9695451171301</v>
      </c>
      <c r="M95" s="55">
        <v>283.79379614841702</v>
      </c>
      <c r="N95" s="56">
        <v>0.73159528145539698</v>
      </c>
      <c r="O95" s="56">
        <v>0.48483917804856902</v>
      </c>
      <c r="P95" s="174"/>
      <c r="Q95" s="174"/>
      <c r="R95" s="174"/>
      <c r="S95" s="17"/>
    </row>
    <row r="96" spans="1:19" x14ac:dyDescent="0.2">
      <c r="A96" s="13" t="s">
        <v>156</v>
      </c>
      <c r="B96" s="13" t="s">
        <v>50</v>
      </c>
      <c r="C96" s="14" t="str">
        <f t="shared" ref="C96:C104" si="29">A96&amp;RIGHT(B96,2)</f>
        <v>SVE22</v>
      </c>
      <c r="D96" s="52">
        <f t="shared" si="26"/>
        <v>73.306304998925597</v>
      </c>
      <c r="E96" s="53">
        <f t="shared" si="27"/>
        <v>51.265857858662301</v>
      </c>
      <c r="F96" s="54">
        <f t="shared" si="21"/>
        <v>15.235426337813911</v>
      </c>
      <c r="G96" s="54">
        <f t="shared" si="28"/>
        <v>5.6637617334901593</v>
      </c>
      <c r="H96" s="174"/>
      <c r="I96" s="174"/>
      <c r="J96" s="174"/>
      <c r="K96" s="15"/>
      <c r="L96" s="55">
        <v>4136.7720260178003</v>
      </c>
      <c r="M96" s="55">
        <v>288.23085343970899</v>
      </c>
      <c r="N96" s="56">
        <v>0.73306304998925598</v>
      </c>
      <c r="O96" s="56">
        <v>0.512658578586623</v>
      </c>
      <c r="P96" s="174"/>
      <c r="Q96" s="174"/>
      <c r="R96" s="174"/>
      <c r="S96" s="17"/>
    </row>
    <row r="97" spans="1:19" x14ac:dyDescent="0.2">
      <c r="A97" s="13" t="s">
        <v>156</v>
      </c>
      <c r="B97" s="13" t="s">
        <v>51</v>
      </c>
      <c r="C97" s="14" t="str">
        <f t="shared" si="29"/>
        <v>SVE23</v>
      </c>
      <c r="D97" s="52">
        <f t="shared" si="26"/>
        <v>73.451880220882998</v>
      </c>
      <c r="E97" s="53">
        <f t="shared" si="27"/>
        <v>54.018367809652901</v>
      </c>
      <c r="F97" s="54">
        <f t="shared" si="21"/>
        <v>15.241515984109371</v>
      </c>
      <c r="G97" s="54">
        <f t="shared" si="28"/>
        <v>5.6676666219478458</v>
      </c>
      <c r="H97" s="174"/>
      <c r="I97" s="174"/>
      <c r="J97" s="174"/>
      <c r="K97" s="15"/>
      <c r="L97" s="55">
        <v>4162.0403639944798</v>
      </c>
      <c r="M97" s="55">
        <v>289.35856312977398</v>
      </c>
      <c r="N97" s="56">
        <v>0.73451880220883004</v>
      </c>
      <c r="O97" s="56">
        <v>0.54018367809652901</v>
      </c>
      <c r="P97" s="174"/>
      <c r="Q97" s="174"/>
      <c r="R97" s="174"/>
      <c r="S97" s="17"/>
    </row>
    <row r="98" spans="1:19" x14ac:dyDescent="0.2">
      <c r="A98" s="13" t="s">
        <v>156</v>
      </c>
      <c r="B98" s="13" t="s">
        <v>52</v>
      </c>
      <c r="C98" s="14" t="str">
        <f t="shared" si="29"/>
        <v>SVE24</v>
      </c>
      <c r="D98" s="52">
        <f t="shared" si="26"/>
        <v>73.595321894055701</v>
      </c>
      <c r="E98" s="53">
        <f t="shared" si="27"/>
        <v>56.728641253489599</v>
      </c>
      <c r="F98" s="54">
        <f t="shared" si="21"/>
        <v>15.247671325802214</v>
      </c>
      <c r="G98" s="54">
        <f t="shared" si="28"/>
        <v>5.6626858248908691</v>
      </c>
      <c r="H98" s="174"/>
      <c r="I98" s="174"/>
      <c r="J98" s="174"/>
      <c r="K98" s="15"/>
      <c r="L98" s="55">
        <v>4187.7381527726802</v>
      </c>
      <c r="M98" s="55">
        <v>287.92091015113601</v>
      </c>
      <c r="N98" s="56">
        <v>0.73595321894055699</v>
      </c>
      <c r="O98" s="56">
        <v>0.56728641253489598</v>
      </c>
      <c r="P98" s="174"/>
      <c r="Q98" s="174"/>
      <c r="R98" s="174"/>
      <c r="S98" s="17"/>
    </row>
    <row r="99" spans="1:19" x14ac:dyDescent="0.2">
      <c r="A99" s="13" t="s">
        <v>156</v>
      </c>
      <c r="B99" s="13" t="s">
        <v>53</v>
      </c>
      <c r="C99" s="14" t="str">
        <f t="shared" si="29"/>
        <v>SVE25</v>
      </c>
      <c r="D99" s="52">
        <f t="shared" si="26"/>
        <v>73.736644510629802</v>
      </c>
      <c r="E99" s="53">
        <f t="shared" si="27"/>
        <v>59.396871742724699</v>
      </c>
      <c r="F99" s="54">
        <f t="shared" si="21"/>
        <v>15.25389059464832</v>
      </c>
      <c r="G99" s="54">
        <f t="shared" si="28"/>
        <v>5.6446319254067658</v>
      </c>
      <c r="H99" s="174"/>
      <c r="I99" s="174"/>
      <c r="J99" s="174"/>
      <c r="K99" s="15"/>
      <c r="L99" s="55">
        <v>4213.8639797621199</v>
      </c>
      <c r="M99" s="55">
        <v>282.76945681298702</v>
      </c>
      <c r="N99" s="56">
        <v>0.73736644510629801</v>
      </c>
      <c r="O99" s="56">
        <v>0.59396871742724699</v>
      </c>
      <c r="P99" s="174"/>
      <c r="Q99" s="174"/>
      <c r="R99" s="174"/>
      <c r="S99" s="17"/>
    </row>
    <row r="100" spans="1:19" x14ac:dyDescent="0.2">
      <c r="A100" s="13" t="s">
        <v>157</v>
      </c>
      <c r="B100" s="13" t="s">
        <v>49</v>
      </c>
      <c r="C100" s="14" t="str">
        <f t="shared" si="29"/>
        <v>HDD21</v>
      </c>
      <c r="D100" s="52">
        <f t="shared" si="26"/>
        <v>17.665010944603498</v>
      </c>
      <c r="E100" s="53">
        <f t="shared" si="27"/>
        <v>58.611508671493496</v>
      </c>
      <c r="F100" s="54">
        <f t="shared" si="21"/>
        <v>11.461884770255642</v>
      </c>
      <c r="G100" s="54">
        <f t="shared" si="28"/>
        <v>5.1975943462269454</v>
      </c>
      <c r="H100" s="174"/>
      <c r="I100" s="174"/>
      <c r="J100" s="174"/>
      <c r="K100" s="15"/>
      <c r="L100" s="55">
        <v>95.024000000000001</v>
      </c>
      <c r="M100" s="55">
        <v>180.83668772882399</v>
      </c>
      <c r="N100" s="56">
        <v>0.17665010944603499</v>
      </c>
      <c r="O100" s="56">
        <v>0.58611508671493495</v>
      </c>
      <c r="P100" s="174"/>
      <c r="Q100" s="174"/>
      <c r="R100" s="174"/>
      <c r="S100" s="17"/>
    </row>
    <row r="101" spans="1:19" x14ac:dyDescent="0.2">
      <c r="A101" s="13" t="s">
        <v>157</v>
      </c>
      <c r="B101" s="13" t="s">
        <v>50</v>
      </c>
      <c r="C101" s="14" t="str">
        <f t="shared" si="29"/>
        <v>HDD22</v>
      </c>
      <c r="D101" s="52">
        <f t="shared" si="26"/>
        <v>17.7594655721226</v>
      </c>
      <c r="E101" s="53">
        <f t="shared" si="27"/>
        <v>60.381764114592094</v>
      </c>
      <c r="F101" s="54">
        <f t="shared" si="21"/>
        <v>11.46692341040843</v>
      </c>
      <c r="G101" s="54">
        <f t="shared" si="28"/>
        <v>5.1982012214491391</v>
      </c>
      <c r="H101" s="174"/>
      <c r="I101" s="174"/>
      <c r="J101" s="174"/>
      <c r="K101" s="15"/>
      <c r="L101" s="55">
        <v>95.504000000000005</v>
      </c>
      <c r="M101" s="55">
        <v>180.94646634146099</v>
      </c>
      <c r="N101" s="56">
        <v>0.17759465572122601</v>
      </c>
      <c r="O101" s="56">
        <v>0.60381764114592096</v>
      </c>
      <c r="P101" s="174"/>
      <c r="Q101" s="174"/>
      <c r="R101" s="174"/>
      <c r="S101" s="17"/>
    </row>
    <row r="102" spans="1:19" x14ac:dyDescent="0.2">
      <c r="A102" s="13" t="s">
        <v>157</v>
      </c>
      <c r="B102" s="13" t="s">
        <v>51</v>
      </c>
      <c r="C102" s="14" t="str">
        <f t="shared" si="29"/>
        <v>HDD23</v>
      </c>
      <c r="D102" s="52">
        <f t="shared" si="26"/>
        <v>17.860491280704998</v>
      </c>
      <c r="E102" s="53">
        <f t="shared" si="27"/>
        <v>62.109090151467804</v>
      </c>
      <c r="F102" s="54">
        <f t="shared" si="21"/>
        <v>11.472040968496767</v>
      </c>
      <c r="G102" s="54">
        <f t="shared" si="28"/>
        <v>5.1989636774697354</v>
      </c>
      <c r="H102" s="174"/>
      <c r="I102" s="174"/>
      <c r="J102" s="174"/>
      <c r="K102" s="15"/>
      <c r="L102" s="55">
        <v>95.994</v>
      </c>
      <c r="M102" s="55">
        <v>181.084482673134</v>
      </c>
      <c r="N102" s="56">
        <v>0.17860491280704999</v>
      </c>
      <c r="O102" s="56">
        <v>0.62109090151467805</v>
      </c>
      <c r="P102" s="174"/>
      <c r="Q102" s="174"/>
      <c r="R102" s="174"/>
      <c r="S102" s="17"/>
    </row>
    <row r="103" spans="1:19" x14ac:dyDescent="0.2">
      <c r="A103" s="13" t="s">
        <v>157</v>
      </c>
      <c r="B103" s="13" t="s">
        <v>52</v>
      </c>
      <c r="C103" s="14" t="str">
        <f t="shared" si="29"/>
        <v>HDD24</v>
      </c>
      <c r="D103" s="52">
        <f t="shared" si="26"/>
        <v>17.960968835179798</v>
      </c>
      <c r="E103" s="53">
        <f t="shared" si="27"/>
        <v>63.788904204711507</v>
      </c>
      <c r="F103" s="54">
        <f t="shared" si="21"/>
        <v>11.477163563226286</v>
      </c>
      <c r="G103" s="54">
        <f t="shared" si="28"/>
        <v>5.1998035634200708</v>
      </c>
      <c r="H103" s="174"/>
      <c r="I103" s="174"/>
      <c r="J103" s="174"/>
      <c r="K103" s="15"/>
      <c r="L103" s="55">
        <v>96.486999999999995</v>
      </c>
      <c r="M103" s="55">
        <v>181.23663687309801</v>
      </c>
      <c r="N103" s="56">
        <v>0.179609688351798</v>
      </c>
      <c r="O103" s="56">
        <v>0.63788904204711505</v>
      </c>
      <c r="P103" s="174"/>
      <c r="Q103" s="174"/>
      <c r="R103" s="174"/>
      <c r="S103" s="17"/>
    </row>
    <row r="104" spans="1:19" x14ac:dyDescent="0.2">
      <c r="A104" s="13" t="s">
        <v>157</v>
      </c>
      <c r="B104" s="13" t="s">
        <v>53</v>
      </c>
      <c r="C104" s="14" t="str">
        <f t="shared" si="29"/>
        <v>HDD25</v>
      </c>
      <c r="D104" s="52">
        <f t="shared" ref="D104" si="30">N104 * 100</f>
        <v>18.062773240946999</v>
      </c>
      <c r="E104" s="53">
        <f t="shared" ref="E104" si="31">O104 * 100</f>
        <v>65.425224779345001</v>
      </c>
      <c r="F104" s="54">
        <f t="shared" si="21"/>
        <v>11.482301295426419</v>
      </c>
      <c r="G104" s="54">
        <f t="shared" ref="G104" si="32">LN(M104)</f>
        <v>5.2006345711461748</v>
      </c>
      <c r="H104" s="174"/>
      <c r="I104" s="174"/>
      <c r="J104" s="174"/>
      <c r="K104" s="15"/>
      <c r="L104" s="55">
        <v>96.983999999999995</v>
      </c>
      <c r="M104" s="55">
        <v>181.387308514571</v>
      </c>
      <c r="N104" s="56">
        <v>0.18062773240947</v>
      </c>
      <c r="O104" s="56">
        <v>0.65425224779345004</v>
      </c>
      <c r="P104" s="174"/>
      <c r="Q104" s="174"/>
      <c r="R104" s="174"/>
      <c r="S104" s="17"/>
    </row>
    <row r="105" spans="1:19" x14ac:dyDescent="0.2">
      <c r="A105" s="15"/>
      <c r="B105" s="15"/>
      <c r="C105" s="15"/>
      <c r="D105" s="72"/>
      <c r="E105" s="73"/>
      <c r="F105" s="74"/>
      <c r="G105" s="74"/>
      <c r="H105" s="73"/>
      <c r="I105" s="73"/>
      <c r="J105" s="73"/>
      <c r="K105" s="15"/>
      <c r="L105" s="75"/>
      <c r="M105" s="75"/>
      <c r="N105" s="76"/>
      <c r="O105" s="76"/>
      <c r="P105" s="76"/>
      <c r="Q105" s="76"/>
      <c r="R105" s="76"/>
      <c r="S105" s="17"/>
    </row>
    <row r="106" spans="1:19" x14ac:dyDescent="0.2">
      <c r="C106" s="15"/>
      <c r="D106" s="72"/>
      <c r="E106" s="73"/>
      <c r="F106" s="74"/>
      <c r="G106" s="74"/>
      <c r="H106" s="73"/>
      <c r="I106" s="73"/>
      <c r="J106" s="73"/>
      <c r="K106" s="15"/>
      <c r="L106" s="175"/>
      <c r="M106" s="175"/>
      <c r="N106" s="175"/>
      <c r="O106" s="175"/>
      <c r="P106" s="175"/>
      <c r="Q106" s="175"/>
      <c r="R106" s="175"/>
    </row>
    <row r="107" spans="1:19" x14ac:dyDescent="0.2">
      <c r="A107" s="15"/>
      <c r="B107" s="15"/>
      <c r="C107" s="15"/>
      <c r="D107" s="72"/>
      <c r="E107" s="73"/>
      <c r="F107" s="74"/>
      <c r="G107" s="74"/>
      <c r="H107" s="73"/>
      <c r="I107" s="73"/>
      <c r="J107" s="73"/>
      <c r="K107" s="15"/>
      <c r="L107" s="75"/>
      <c r="M107" s="75"/>
      <c r="N107" s="76"/>
      <c r="O107" s="76"/>
      <c r="P107" s="76"/>
      <c r="Q107" s="76"/>
      <c r="R107" s="76"/>
    </row>
    <row r="108" spans="1:19" x14ac:dyDescent="0.2">
      <c r="L108" s="176"/>
      <c r="M108" s="176"/>
      <c r="N108" s="176"/>
      <c r="O108" s="176"/>
      <c r="P108" s="176"/>
      <c r="Q108" s="176"/>
      <c r="R108" s="176"/>
    </row>
    <row r="109" spans="1:19" hidden="1" x14ac:dyDescent="0.2"/>
    <row r="110" spans="1:19" hidden="1" x14ac:dyDescent="0.2"/>
    <row r="111" spans="1:19" hidden="1" x14ac:dyDescent="0.2"/>
    <row r="112" spans="1:19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x14ac:dyDescent="0.2"/>
  </sheetData>
  <conditionalFormatting sqref="L106:R106">
    <cfRule type="expression" dxfId="18" priority="3">
      <formula>L106="error"</formula>
    </cfRule>
    <cfRule type="expression" dxfId="17" priority="4">
      <formula>L106="OK"</formula>
    </cfRule>
  </conditionalFormatting>
  <conditionalFormatting sqref="B1">
    <cfRule type="expression" dxfId="16" priority="1">
      <formula>B1="error"</formula>
    </cfRule>
    <cfRule type="expression" dxfId="15" priority="2">
      <formula>B1="OK"</formula>
    </cfRule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1"/>
  </sheetPr>
  <dimension ref="A1"/>
  <sheetViews>
    <sheetView showGridLines="0" workbookViewId="0"/>
  </sheetViews>
  <sheetFormatPr defaultRowHeight="14.25" x14ac:dyDescent="0.2"/>
  <sheetData>
    <row r="1" spans="1:1" x14ac:dyDescent="0.2">
      <c r="A1" s="1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AJ111"/>
  <sheetViews>
    <sheetView showGridLines="0" zoomScale="85" zoomScaleNormal="85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ColWidth="8.625" defaultRowHeight="12.75" x14ac:dyDescent="0.2"/>
  <cols>
    <col min="1" max="1" width="6.875" style="17" customWidth="1"/>
    <col min="2" max="3" width="9.625" style="17" customWidth="1"/>
    <col min="4" max="4" width="10.875" style="17" customWidth="1"/>
    <col min="5" max="5" width="11.375" style="17" customWidth="1"/>
    <col min="6" max="6" width="10.875" style="17" customWidth="1"/>
    <col min="7" max="7" width="12" style="17" customWidth="1"/>
    <col min="8" max="8" width="10.625" style="17" bestFit="1" customWidth="1"/>
    <col min="9" max="9" width="11.625" style="17" customWidth="1"/>
    <col min="10" max="10" width="10.875" style="17" customWidth="1"/>
    <col min="11" max="11" width="2" style="17" customWidth="1"/>
    <col min="12" max="12" width="11.875" style="17" customWidth="1"/>
    <col min="13" max="13" width="12.5" style="17" customWidth="1"/>
    <col min="14" max="14" width="12.375" style="17" customWidth="1"/>
    <col min="15" max="15" width="11.125" style="17" customWidth="1"/>
    <col min="16" max="16" width="10.625" style="17" customWidth="1"/>
    <col min="17" max="17" width="11.125" style="17" customWidth="1"/>
    <col min="18" max="18" width="11.375" style="17" customWidth="1"/>
    <col min="19" max="19" width="2" style="17" customWidth="1"/>
    <col min="20" max="20" width="9.375" style="17" bestFit="1" customWidth="1"/>
    <col min="21" max="21" width="11.125" style="17" customWidth="1"/>
    <col min="22" max="22" width="10.375" style="17" customWidth="1"/>
    <col min="23" max="23" width="2" style="17" customWidth="1"/>
    <col min="24" max="25" width="11.125" style="17" customWidth="1"/>
    <col min="26" max="26" width="11" style="17" customWidth="1"/>
    <col min="27" max="27" width="2" style="17" customWidth="1"/>
    <col min="28" max="29" width="11" style="17" customWidth="1"/>
    <col min="30" max="30" width="10.5" style="17" bestFit="1" customWidth="1"/>
    <col min="31" max="31" width="4.625" style="17" customWidth="1"/>
    <col min="32" max="32" width="11.625" style="38" customWidth="1"/>
    <col min="33" max="33" width="8.625" style="17"/>
    <col min="34" max="34" width="8.125" style="17" customWidth="1"/>
    <col min="35" max="35" width="11.625" style="17" customWidth="1"/>
    <col min="36" max="36" width="12.625" style="17" customWidth="1"/>
    <col min="37" max="37" width="4.125" style="17" bestFit="1" customWidth="1"/>
    <col min="38" max="16384" width="8.625" style="17"/>
  </cols>
  <sheetData>
    <row r="1" spans="1:36" ht="15.75" x14ac:dyDescent="0.25">
      <c r="A1" s="108" t="s">
        <v>247</v>
      </c>
    </row>
    <row r="2" spans="1:36" x14ac:dyDescent="0.2">
      <c r="O2" s="143" t="s">
        <v>39</v>
      </c>
      <c r="Z2" s="57"/>
      <c r="AB2" s="57"/>
      <c r="AC2" s="57"/>
    </row>
    <row r="3" spans="1:36" x14ac:dyDescent="0.2">
      <c r="E3" s="58"/>
      <c r="F3" s="58"/>
      <c r="G3" s="58"/>
      <c r="H3" s="58"/>
      <c r="I3" s="58"/>
      <c r="L3" s="59">
        <f>Controls!$D$7</f>
        <v>0.5</v>
      </c>
      <c r="M3" s="59">
        <f>Controls!$D$8</f>
        <v>0.5</v>
      </c>
      <c r="N3" s="59">
        <f>Controls!$D$9</f>
        <v>0.5</v>
      </c>
      <c r="O3" s="59">
        <f>Controls!$D$10</f>
        <v>0.5</v>
      </c>
      <c r="P3" s="59">
        <f>Controls!$D$11</f>
        <v>0.33333333333333331</v>
      </c>
      <c r="Q3" s="59">
        <f>Controls!$D$12</f>
        <v>0.33333333333333331</v>
      </c>
      <c r="R3" s="59">
        <f>Controls!$D$13</f>
        <v>0.33333333333333331</v>
      </c>
      <c r="T3" s="38"/>
      <c r="U3" s="38"/>
      <c r="X3" s="59">
        <f>Controls!$H$7</f>
        <v>0.5</v>
      </c>
      <c r="Y3" s="59">
        <f>Controls!$H$8</f>
        <v>0.5</v>
      </c>
      <c r="Z3" s="57"/>
      <c r="AB3" s="57"/>
      <c r="AC3" s="57"/>
    </row>
    <row r="4" spans="1:36" ht="18" customHeight="1" x14ac:dyDescent="0.2">
      <c r="D4" s="32" t="s">
        <v>199</v>
      </c>
      <c r="E4" s="60"/>
      <c r="F4" s="60"/>
      <c r="G4" s="61"/>
      <c r="H4" s="60"/>
      <c r="I4" s="60"/>
      <c r="J4" s="60"/>
      <c r="L4" s="32" t="s">
        <v>145</v>
      </c>
      <c r="M4" s="60"/>
      <c r="N4" s="60"/>
      <c r="O4" s="60"/>
      <c r="P4" s="60"/>
      <c r="Q4" s="60"/>
      <c r="R4" s="60"/>
      <c r="T4" s="38"/>
      <c r="U4" s="38"/>
      <c r="V4" s="38"/>
      <c r="X4" s="69"/>
      <c r="Y4" s="69"/>
      <c r="Z4" s="57"/>
      <c r="AB4" s="57"/>
      <c r="AC4" s="57"/>
    </row>
    <row r="5" spans="1:36" ht="38.25" x14ac:dyDescent="0.2">
      <c r="A5" s="82" t="s">
        <v>230</v>
      </c>
      <c r="B5" s="180">
        <f>COUNTA(A7:A96)</f>
        <v>90</v>
      </c>
      <c r="C5" s="19"/>
      <c r="D5" s="109" t="s">
        <v>200</v>
      </c>
      <c r="E5" s="62" t="s">
        <v>201</v>
      </c>
      <c r="F5" s="63" t="s">
        <v>202</v>
      </c>
      <c r="G5" s="63" t="s">
        <v>203</v>
      </c>
      <c r="H5" s="64" t="s">
        <v>204</v>
      </c>
      <c r="I5" s="64" t="s">
        <v>205</v>
      </c>
      <c r="J5" s="64" t="s">
        <v>206</v>
      </c>
      <c r="L5" s="62" t="s">
        <v>187</v>
      </c>
      <c r="M5" s="62" t="s">
        <v>188</v>
      </c>
      <c r="N5" s="63" t="s">
        <v>189</v>
      </c>
      <c r="O5" s="63" t="s">
        <v>190</v>
      </c>
      <c r="P5" s="64" t="s">
        <v>191</v>
      </c>
      <c r="Q5" s="64" t="s">
        <v>192</v>
      </c>
      <c r="R5" s="64" t="s">
        <v>193</v>
      </c>
      <c r="T5" s="62" t="s">
        <v>194</v>
      </c>
      <c r="U5" s="63" t="s">
        <v>195</v>
      </c>
      <c r="V5" s="64" t="s">
        <v>196</v>
      </c>
      <c r="X5" s="65" t="s">
        <v>198</v>
      </c>
      <c r="Y5" s="65" t="s">
        <v>197</v>
      </c>
      <c r="Z5" s="162" t="s">
        <v>234</v>
      </c>
      <c r="AB5" s="48" t="s">
        <v>248</v>
      </c>
      <c r="AC5" s="48" t="s">
        <v>144</v>
      </c>
      <c r="AD5" s="161" t="s">
        <v>248</v>
      </c>
      <c r="AG5" s="29" t="s">
        <v>235</v>
      </c>
    </row>
    <row r="6" spans="1:36" ht="51" x14ac:dyDescent="0.2">
      <c r="A6" s="19" t="s">
        <v>10</v>
      </c>
      <c r="B6" s="19" t="s">
        <v>229</v>
      </c>
      <c r="C6" s="19" t="s">
        <v>231</v>
      </c>
      <c r="D6" s="110" t="s">
        <v>260</v>
      </c>
      <c r="E6" s="110" t="s">
        <v>260</v>
      </c>
      <c r="F6" s="110" t="s">
        <v>260</v>
      </c>
      <c r="G6" s="110" t="s">
        <v>260</v>
      </c>
      <c r="H6" s="110" t="s">
        <v>260</v>
      </c>
      <c r="I6" s="110" t="s">
        <v>260</v>
      </c>
      <c r="J6" s="110" t="s">
        <v>260</v>
      </c>
      <c r="L6" s="48" t="s">
        <v>15</v>
      </c>
      <c r="M6" s="48" t="s">
        <v>15</v>
      </c>
      <c r="N6" s="48" t="s">
        <v>15</v>
      </c>
      <c r="O6" s="48" t="s">
        <v>15</v>
      </c>
      <c r="P6" s="48" t="s">
        <v>15</v>
      </c>
      <c r="Q6" s="48" t="s">
        <v>15</v>
      </c>
      <c r="R6" s="48" t="s">
        <v>15</v>
      </c>
      <c r="T6" s="48" t="s">
        <v>15</v>
      </c>
      <c r="U6" s="48" t="s">
        <v>15</v>
      </c>
      <c r="V6" s="48" t="s">
        <v>15</v>
      </c>
      <c r="X6" s="48" t="s">
        <v>15</v>
      </c>
      <c r="Y6" s="48" t="s">
        <v>15</v>
      </c>
      <c r="Z6" s="48" t="s">
        <v>15</v>
      </c>
      <c r="AB6" s="48" t="s">
        <v>296</v>
      </c>
      <c r="AC6" s="48" t="s">
        <v>296</v>
      </c>
      <c r="AD6" s="48" t="s">
        <v>296</v>
      </c>
      <c r="AG6" s="84" t="s">
        <v>38</v>
      </c>
      <c r="AH6" s="84" t="s">
        <v>293</v>
      </c>
      <c r="AI6" s="84" t="s">
        <v>304</v>
      </c>
      <c r="AJ6" s="85" t="s">
        <v>245</v>
      </c>
    </row>
    <row r="7" spans="1:36" x14ac:dyDescent="0.2">
      <c r="A7" s="13" t="s">
        <v>58</v>
      </c>
      <c r="B7" s="13" t="str">
        <f t="shared" ref="B7:B38" si="0">LEFT(A7,3)</f>
        <v>ANH</v>
      </c>
      <c r="C7" s="13">
        <v>2021</v>
      </c>
      <c r="D7" s="111">
        <f>EXP(Coeffs!$D$13+(Coeffs!$D$6*Drivers!D5)+(Coeffs!$D$7*Drivers!E5))</f>
        <v>20.221959037220927</v>
      </c>
      <c r="E7" s="66">
        <f>EXP(Coeffs!$E$13+(Coeffs!$E$6*Drivers!D5)+(Coeffs!$E$7*Drivers!E5)+(Coeffs!$E$8*Drivers!F5))</f>
        <v>19.514531604495005</v>
      </c>
      <c r="F7" s="66">
        <f>EXP(Coeffs!$F$13+(Coeffs!$F$9*Drivers!G5)+(Coeffs!$F$10*Drivers!H5))</f>
        <v>12.848957081640849</v>
      </c>
      <c r="G7" s="66">
        <f>EXP(Coeffs!$G$13+(Coeffs!$G$9*Drivers!G5)+(Coeffs!$G$11*Drivers!I5)+(Coeffs!$G$12*Drivers!J5))</f>
        <v>12.413147039211182</v>
      </c>
      <c r="H7" s="66">
        <f>EXP(Coeffs!$H$13+(Coeffs!$H$7*Drivers!E5)+(Coeffs!$H$9*Drivers!G5)+(Coeffs!$H$10*Drivers!H5))</f>
        <v>33.216956347001293</v>
      </c>
      <c r="I7" s="66">
        <f>EXP(Coeffs!$I$13+(Coeffs!$I$7*Drivers!E5)+(Coeffs!$I$8*Drivers!F5)+(Coeffs!$I$9*Drivers!G5)+(Coeffs!$I$10*Drivers!H5))</f>
        <v>32.09729023967062</v>
      </c>
      <c r="J7" s="66">
        <f>EXP(Coeffs!$J$13+(Coeffs!$J$7*Drivers!E5)+(Coeffs!$J$8*Drivers!F5)+(Coeffs!$J$9*Drivers!G5)+(Coeffs!$J$11*Drivers!I5)+(Coeffs!$J$12*Drivers!J5))</f>
        <v>28.525058924383103</v>
      </c>
      <c r="K7" s="38"/>
      <c r="L7" s="66">
        <f xml:space="preserve"> (D7 *Drivers!$L5 * 1000 / 1000000)</f>
        <v>58.993015550308684</v>
      </c>
      <c r="M7" s="66">
        <f xml:space="preserve"> (E7 *Drivers!$L5 * 1000 / 1000000)</f>
        <v>56.92925518650317</v>
      </c>
      <c r="N7" s="66">
        <f xml:space="preserve"> (F7 *Drivers!$L5 * 1000 / 1000000)</f>
        <v>37.483941270343806</v>
      </c>
      <c r="O7" s="66">
        <f xml:space="preserve"> (G7 *Drivers!$L5 * 1000 / 1000000)</f>
        <v>36.212563528814805</v>
      </c>
      <c r="P7" s="66">
        <f xml:space="preserve"> (H7 *Drivers!$L5 * 1000 / 1000000)</f>
        <v>96.902996327198196</v>
      </c>
      <c r="Q7" s="66">
        <f xml:space="preserve"> (I7 *Drivers!$L5 * 1000 / 1000000)</f>
        <v>93.636622383935105</v>
      </c>
      <c r="R7" s="66">
        <f xml:space="preserve"> (J7 *Drivers!$L5 * 1000 / 1000000)</f>
        <v>83.215441273629722</v>
      </c>
      <c r="S7" s="38"/>
      <c r="T7" s="66">
        <f t="shared" ref="T7:T38" si="1">$L$3*L7+$M$3*M7</f>
        <v>57.961135368405927</v>
      </c>
      <c r="U7" s="66">
        <f>$N$3*N7+$O$3*O7</f>
        <v>36.848252399579309</v>
      </c>
      <c r="V7" s="53">
        <f>$P$3*P7+$Q$3*Q7+$R$3*R7</f>
        <v>91.251686661587669</v>
      </c>
      <c r="W7" s="38"/>
      <c r="X7" s="53">
        <f>SUM(T7:U7)</f>
        <v>94.809387767985243</v>
      </c>
      <c r="Y7" s="53">
        <f>V7</f>
        <v>91.251686661587669</v>
      </c>
      <c r="Z7" s="53">
        <f>$X$3*X7+$Y$3*Y7</f>
        <v>93.030537214786449</v>
      </c>
      <c r="AA7" s="38"/>
      <c r="AB7" s="53">
        <f>Controls!$F$17*Z7</f>
        <v>77.725007536789036</v>
      </c>
      <c r="AC7" s="53">
        <f>-(INDEX(Controls!$G$19:$G$23,MATCH($C7,Controls!$C$19:$C$23,0),0))*$Z7</f>
        <v>0</v>
      </c>
      <c r="AD7" s="67">
        <f>AB7+AC7</f>
        <v>77.725007536789036</v>
      </c>
      <c r="AE7" s="38"/>
      <c r="AG7" s="98" t="s">
        <v>20</v>
      </c>
      <c r="AH7" s="99">
        <f>SUMIF('BP costs'!$B$7:$B$96,$AG7,'BP costs'!D$7:D$96)</f>
        <v>407.58126334956711</v>
      </c>
      <c r="AI7" s="99">
        <f>SUMIF($B$7:$B$106,$AG7,Z$7:Z$106)</f>
        <v>479.2090898074668</v>
      </c>
      <c r="AJ7" s="16">
        <f>AH7/AI7</f>
        <v>0.85052907388155385</v>
      </c>
    </row>
    <row r="8" spans="1:36" x14ac:dyDescent="0.2">
      <c r="A8" s="13" t="s">
        <v>59</v>
      </c>
      <c r="B8" s="13" t="str">
        <f t="shared" si="0"/>
        <v>ANH</v>
      </c>
      <c r="C8" s="13">
        <v>2022</v>
      </c>
      <c r="D8" s="111">
        <f>EXP(Coeffs!$D$13+(Coeffs!$D$6*Drivers!D6)+(Coeffs!$D$7*Drivers!E6))</f>
        <v>20.324995702060139</v>
      </c>
      <c r="E8" s="66">
        <f>EXP(Coeffs!$E$13+(Coeffs!$E$6*Drivers!D6)+(Coeffs!$E$7*Drivers!E6)+(Coeffs!$E$8*Drivers!F6))</f>
        <v>19.596949389256977</v>
      </c>
      <c r="F8" s="66">
        <f>EXP(Coeffs!$F$13+(Coeffs!$F$9*Drivers!G6)+(Coeffs!$F$10*Drivers!H6))</f>
        <v>12.689969684748538</v>
      </c>
      <c r="G8" s="66">
        <f>EXP(Coeffs!$G$13+(Coeffs!$G$9*Drivers!G6)+(Coeffs!$G$11*Drivers!I6)+(Coeffs!$G$12*Drivers!J6))</f>
        <v>12.261257924662148</v>
      </c>
      <c r="H8" s="66">
        <f>EXP(Coeffs!$H$13+(Coeffs!$H$7*Drivers!E6)+(Coeffs!$H$9*Drivers!G6)+(Coeffs!$H$10*Drivers!H6))</f>
        <v>33.124399602538475</v>
      </c>
      <c r="I8" s="66">
        <f>EXP(Coeffs!$I$13+(Coeffs!$I$7*Drivers!E6)+(Coeffs!$I$8*Drivers!F6)+(Coeffs!$I$9*Drivers!G6)+(Coeffs!$I$10*Drivers!H6))</f>
        <v>31.984038489466759</v>
      </c>
      <c r="J8" s="66">
        <f>EXP(Coeffs!$J$13+(Coeffs!$J$7*Drivers!E6)+(Coeffs!$J$8*Drivers!F6)+(Coeffs!$J$9*Drivers!G6)+(Coeffs!$J$11*Drivers!I6)+(Coeffs!$J$12*Drivers!J6))</f>
        <v>28.358789347911415</v>
      </c>
      <c r="K8" s="38"/>
      <c r="L8" s="66">
        <f xml:space="preserve"> (D8 *Drivers!$L6 * 1000 / 1000000)</f>
        <v>60.201519394738519</v>
      </c>
      <c r="M8" s="66">
        <f xml:space="preserve"> (E8 *Drivers!$L6 * 1000 / 1000000)</f>
        <v>58.045086258762765</v>
      </c>
      <c r="N8" s="66">
        <f xml:space="preserve"> (F8 *Drivers!$L6 * 1000 / 1000000)</f>
        <v>37.586992257892511</v>
      </c>
      <c r="O8" s="66">
        <f xml:space="preserve"> (G8 *Drivers!$L6 * 1000 / 1000000)</f>
        <v>36.317171603663432</v>
      </c>
      <c r="P8" s="66">
        <f xml:space="preserve"> (H8 *Drivers!$L6 * 1000 / 1000000)</f>
        <v>98.112649780740824</v>
      </c>
      <c r="Q8" s="66">
        <f xml:space="preserve"> (I8 *Drivers!$L6 * 1000 / 1000000)</f>
        <v>94.734962883683622</v>
      </c>
      <c r="R8" s="66">
        <f xml:space="preserve"> (J8 *Drivers!$L6 * 1000 / 1000000)</f>
        <v>83.9971743150995</v>
      </c>
      <c r="S8" s="38"/>
      <c r="T8" s="66">
        <f t="shared" si="1"/>
        <v>59.123302826750646</v>
      </c>
      <c r="U8" s="66">
        <f t="shared" ref="U8:U71" si="2">$N$3*N8+$O$3*O8</f>
        <v>36.952081930777972</v>
      </c>
      <c r="V8" s="53">
        <f t="shared" ref="V8:V71" si="3">$P$3*P8+$Q$3*Q8+$R$3*R8</f>
        <v>92.281595659841315</v>
      </c>
      <c r="W8" s="38"/>
      <c r="X8" s="53">
        <f t="shared" ref="X8:X38" si="4">SUM(T8:U8)</f>
        <v>96.07538475752861</v>
      </c>
      <c r="Y8" s="53">
        <f t="shared" ref="Y8:Y38" si="5">V8</f>
        <v>92.281595659841315</v>
      </c>
      <c r="Z8" s="53">
        <f t="shared" ref="Z8:Z38" si="6">$X$3*X8+$Y$3*Y8</f>
        <v>94.178490208684963</v>
      </c>
      <c r="AA8" s="38"/>
      <c r="AB8" s="53">
        <f>Controls!$F$17*Z8</f>
        <v>78.684097506318523</v>
      </c>
      <c r="AC8" s="53">
        <f>-(INDEX(Controls!$G$19:$G$23,MATCH($C8,Controls!$C$19:$C$23,0),0))*$Z8</f>
        <v>0</v>
      </c>
      <c r="AD8" s="67">
        <f t="shared" ref="AD8:AD38" si="7">AB8+AC8</f>
        <v>78.684097506318523</v>
      </c>
      <c r="AE8" s="38"/>
      <c r="AG8" s="98" t="s">
        <v>157</v>
      </c>
      <c r="AH8" s="99">
        <f>SUMIF('BP costs'!$B$7:$B$96,$AG8,'BP costs'!D$7:D$96)</f>
        <v>13.53031192583718</v>
      </c>
      <c r="AI8" s="99">
        <f>SUMIF($B$7:$B$106,$AG8,Z$7:Z$106)</f>
        <v>17.155493941264574</v>
      </c>
      <c r="AJ8" s="16">
        <f>AH8/AI8</f>
        <v>0.78868681788825412</v>
      </c>
    </row>
    <row r="9" spans="1:36" x14ac:dyDescent="0.2">
      <c r="A9" s="13" t="s">
        <v>60</v>
      </c>
      <c r="B9" s="13" t="str">
        <f t="shared" si="0"/>
        <v>ANH</v>
      </c>
      <c r="C9" s="13">
        <v>2023</v>
      </c>
      <c r="D9" s="111">
        <f>EXP(Coeffs!$D$13+(Coeffs!$D$6*Drivers!D7)+(Coeffs!$D$7*Drivers!E7))</f>
        <v>20.424889324979443</v>
      </c>
      <c r="E9" s="66">
        <f>EXP(Coeffs!$E$13+(Coeffs!$E$6*Drivers!D7)+(Coeffs!$E$7*Drivers!E7)+(Coeffs!$E$8*Drivers!F7))</f>
        <v>19.677719137897085</v>
      </c>
      <c r="F9" s="66">
        <f>EXP(Coeffs!$F$13+(Coeffs!$F$9*Drivers!G7)+(Coeffs!$F$10*Drivers!H7))</f>
        <v>12.735087049008113</v>
      </c>
      <c r="G9" s="66">
        <f>EXP(Coeffs!$G$13+(Coeffs!$G$9*Drivers!G7)+(Coeffs!$G$11*Drivers!I7)+(Coeffs!$G$12*Drivers!J7))</f>
        <v>12.304363091353192</v>
      </c>
      <c r="H9" s="66">
        <f>EXP(Coeffs!$H$13+(Coeffs!$H$7*Drivers!E7)+(Coeffs!$H$9*Drivers!G7)+(Coeffs!$H$10*Drivers!H7))</f>
        <v>33.246158859247032</v>
      </c>
      <c r="I9" s="66">
        <f>EXP(Coeffs!$I$13+(Coeffs!$I$7*Drivers!E7)+(Coeffs!$I$8*Drivers!F7)+(Coeffs!$I$9*Drivers!G7)+(Coeffs!$I$10*Drivers!H7))</f>
        <v>32.105174468715035</v>
      </c>
      <c r="J9" s="66">
        <f>EXP(Coeffs!$J$13+(Coeffs!$J$7*Drivers!E7)+(Coeffs!$J$8*Drivers!F7)+(Coeffs!$J$9*Drivers!G7)+(Coeffs!$J$11*Drivers!I7)+(Coeffs!$J$12*Drivers!J7))</f>
        <v>28.433377699736237</v>
      </c>
      <c r="K9" s="38"/>
      <c r="L9" s="66">
        <f xml:space="preserve"> (D9 *Drivers!$L7 * 1000 / 1000000)</f>
        <v>61.329039030321418</v>
      </c>
      <c r="M9" s="66">
        <f xml:space="preserve"> (E9 *Drivers!$L7 * 1000 / 1000000)</f>
        <v>59.085539502036333</v>
      </c>
      <c r="N9" s="66">
        <f xml:space="preserve"> (F9 *Drivers!$L7 * 1000 / 1000000)</f>
        <v>38.239161948748794</v>
      </c>
      <c r="O9" s="66">
        <f xml:space="preserve"> (G9 *Drivers!$L7 * 1000 / 1000000)</f>
        <v>36.945843488608752</v>
      </c>
      <c r="P9" s="66">
        <f xml:space="preserve"> (H9 *Drivers!$L7 * 1000 / 1000000)</f>
        <v>99.826977852624395</v>
      </c>
      <c r="Q9" s="66">
        <f xml:space="preserve"> (I9 *Drivers!$L7 * 1000 / 1000000)</f>
        <v>96.400987380580816</v>
      </c>
      <c r="R9" s="66">
        <f xml:space="preserve"> (J9 *Drivers!$L7 * 1000 / 1000000)</f>
        <v>85.375822750645398</v>
      </c>
      <c r="S9" s="38"/>
      <c r="T9" s="66">
        <f t="shared" si="1"/>
        <v>60.207289266178876</v>
      </c>
      <c r="U9" s="66">
        <f t="shared" si="2"/>
        <v>37.592502718678773</v>
      </c>
      <c r="V9" s="53">
        <f t="shared" si="3"/>
        <v>93.867929327950208</v>
      </c>
      <c r="W9" s="38"/>
      <c r="X9" s="53">
        <f t="shared" si="4"/>
        <v>97.799791984857649</v>
      </c>
      <c r="Y9" s="53">
        <f t="shared" si="5"/>
        <v>93.867929327950208</v>
      </c>
      <c r="Z9" s="53">
        <f t="shared" si="6"/>
        <v>95.833860656403928</v>
      </c>
      <c r="AA9" s="38"/>
      <c r="AB9" s="53">
        <f>Controls!$F$17*Z9</f>
        <v>80.067123815497823</v>
      </c>
      <c r="AC9" s="53">
        <f>-(INDEX(Controls!$G$19:$G$23,MATCH($C9,Controls!$C$19:$C$23,0),0))*$Z9</f>
        <v>0</v>
      </c>
      <c r="AD9" s="67">
        <f t="shared" si="7"/>
        <v>80.067123815497823</v>
      </c>
      <c r="AE9" s="38"/>
      <c r="AG9" s="98" t="s">
        <v>21</v>
      </c>
      <c r="AH9" s="99">
        <f>SUMIF('BP costs'!$B$7:$B$96,$AG9,'BP costs'!D$7:D$96)</f>
        <v>279.59399999999999</v>
      </c>
      <c r="AI9" s="99">
        <f t="shared" ref="AI9:AI23" si="8">SUMIF($B$7:$B$106,$AG9,Z$7:Z$106)</f>
        <v>301.05794307088206</v>
      </c>
      <c r="AJ9" s="16">
        <f t="shared" ref="AJ9:AJ23" si="9">AH9/AI9</f>
        <v>0.92870494346721644</v>
      </c>
    </row>
    <row r="10" spans="1:36" x14ac:dyDescent="0.2">
      <c r="A10" s="13" t="s">
        <v>61</v>
      </c>
      <c r="B10" s="13" t="str">
        <f t="shared" si="0"/>
        <v>ANH</v>
      </c>
      <c r="C10" s="13">
        <v>2024</v>
      </c>
      <c r="D10" s="111">
        <f>EXP(Coeffs!$D$13+(Coeffs!$D$6*Drivers!D8)+(Coeffs!$D$7*Drivers!E8))</f>
        <v>20.519206166764256</v>
      </c>
      <c r="E10" s="66">
        <f>EXP(Coeffs!$E$13+(Coeffs!$E$6*Drivers!D8)+(Coeffs!$E$7*Drivers!E8)+(Coeffs!$E$8*Drivers!F8))</f>
        <v>19.75390557235497</v>
      </c>
      <c r="F10" s="66">
        <f>EXP(Coeffs!$F$13+(Coeffs!$F$9*Drivers!G8)+(Coeffs!$F$10*Drivers!H8))</f>
        <v>12.785812764245003</v>
      </c>
      <c r="G10" s="66">
        <f>EXP(Coeffs!$G$13+(Coeffs!$G$9*Drivers!G8)+(Coeffs!$G$11*Drivers!I8)+(Coeffs!$G$12*Drivers!J8))</f>
        <v>12.352824443698404</v>
      </c>
      <c r="H10" s="66">
        <f>EXP(Coeffs!$H$13+(Coeffs!$H$7*Drivers!E8)+(Coeffs!$H$9*Drivers!G8)+(Coeffs!$H$10*Drivers!H8))</f>
        <v>33.36971541280159</v>
      </c>
      <c r="I10" s="66">
        <f>EXP(Coeffs!$I$13+(Coeffs!$I$7*Drivers!E8)+(Coeffs!$I$8*Drivers!F8)+(Coeffs!$I$9*Drivers!G8)+(Coeffs!$I$10*Drivers!H8))</f>
        <v>32.228840264754936</v>
      </c>
      <c r="J10" s="66">
        <f>EXP(Coeffs!$J$13+(Coeffs!$J$7*Drivers!E8)+(Coeffs!$J$8*Drivers!F8)+(Coeffs!$J$9*Drivers!G8)+(Coeffs!$J$11*Drivers!I8)+(Coeffs!$J$12*Drivers!J8))</f>
        <v>28.513134988199074</v>
      </c>
      <c r="K10" s="38"/>
      <c r="L10" s="66">
        <f xml:space="preserve"> (D10 *Drivers!$L8 * 1000 / 1000000)</f>
        <v>62.408857768120988</v>
      </c>
      <c r="M10" s="66">
        <f xml:space="preserve"> (E10 *Drivers!$L8 * 1000 / 1000000)</f>
        <v>60.081207489734055</v>
      </c>
      <c r="N10" s="66">
        <f xml:space="preserve"> (F10 *Drivers!$L8 * 1000 / 1000000)</f>
        <v>38.887857735259715</v>
      </c>
      <c r="O10" s="66">
        <f xml:space="preserve"> (G10 *Drivers!$L8 * 1000 / 1000000)</f>
        <v>37.570930253142038</v>
      </c>
      <c r="P10" s="66">
        <f xml:space="preserve"> (H10 *Drivers!$L8 * 1000 / 1000000)</f>
        <v>101.49348888230485</v>
      </c>
      <c r="Q10" s="66">
        <f xml:space="preserve"> (I10 *Drivers!$L8 * 1000 / 1000000)</f>
        <v>98.023534232648174</v>
      </c>
      <c r="R10" s="66">
        <f xml:space="preserve"> (J10 *Drivers!$L8 * 1000 / 1000000)</f>
        <v>86.722272369582655</v>
      </c>
      <c r="S10" s="38"/>
      <c r="T10" s="66">
        <f t="shared" si="1"/>
        <v>61.245032628927518</v>
      </c>
      <c r="U10" s="66">
        <f t="shared" si="2"/>
        <v>38.229393994200876</v>
      </c>
      <c r="V10" s="53">
        <f t="shared" si="3"/>
        <v>95.413098494845215</v>
      </c>
      <c r="W10" s="38"/>
      <c r="X10" s="53">
        <f t="shared" si="4"/>
        <v>99.474426623128394</v>
      </c>
      <c r="Y10" s="53">
        <f t="shared" si="5"/>
        <v>95.413098494845215</v>
      </c>
      <c r="Z10" s="53">
        <f t="shared" si="6"/>
        <v>97.443762558986805</v>
      </c>
      <c r="AA10" s="38"/>
      <c r="AB10" s="53">
        <f>Controls!$F$17*Z10</f>
        <v>81.412162135795271</v>
      </c>
      <c r="AC10" s="53">
        <f>-(INDEX(Controls!$G$19:$G$23,MATCH($C10,Controls!$C$19:$C$23,0),0))*$Z10</f>
        <v>0</v>
      </c>
      <c r="AD10" s="67">
        <f t="shared" si="7"/>
        <v>81.412162135795271</v>
      </c>
      <c r="AE10" s="38"/>
      <c r="AG10" s="98" t="s">
        <v>22</v>
      </c>
      <c r="AH10" s="99">
        <f>SUMIF('BP costs'!$B$7:$B$96,$AG10,'BP costs'!D$7:D$96)</f>
        <v>507.75826237987803</v>
      </c>
      <c r="AI10" s="99">
        <f t="shared" si="8"/>
        <v>570.69531466528178</v>
      </c>
      <c r="AJ10" s="16">
        <f>AH10/AI10</f>
        <v>0.88971864553975366</v>
      </c>
    </row>
    <row r="11" spans="1:36" x14ac:dyDescent="0.2">
      <c r="A11" s="13" t="s">
        <v>62</v>
      </c>
      <c r="B11" s="13" t="str">
        <f t="shared" si="0"/>
        <v>ANH</v>
      </c>
      <c r="C11" s="13">
        <v>2025</v>
      </c>
      <c r="D11" s="111">
        <f>EXP(Coeffs!$D$13+(Coeffs!$D$6*Drivers!D9)+(Coeffs!$D$7*Drivers!E9))</f>
        <v>20.60598470163114</v>
      </c>
      <c r="E11" s="66">
        <f>EXP(Coeffs!$E$13+(Coeffs!$E$6*Drivers!D9)+(Coeffs!$E$7*Drivers!E9)+(Coeffs!$E$8*Drivers!F9))</f>
        <v>19.823704371037884</v>
      </c>
      <c r="F11" s="66">
        <f>EXP(Coeffs!$F$13+(Coeffs!$F$9*Drivers!G9)+(Coeffs!$F$10*Drivers!H9))</f>
        <v>12.756918597923532</v>
      </c>
      <c r="G11" s="66">
        <f>EXP(Coeffs!$G$13+(Coeffs!$G$9*Drivers!G9)+(Coeffs!$G$11*Drivers!I9)+(Coeffs!$G$12*Drivers!J9))</f>
        <v>12.325220358034075</v>
      </c>
      <c r="H11" s="66">
        <f>EXP(Coeffs!$H$13+(Coeffs!$H$7*Drivers!E9)+(Coeffs!$H$9*Drivers!G9)+(Coeffs!$H$10*Drivers!H9))</f>
        <v>33.40258594586075</v>
      </c>
      <c r="I11" s="66">
        <f>EXP(Coeffs!$I$13+(Coeffs!$I$7*Drivers!E9)+(Coeffs!$I$8*Drivers!F9)+(Coeffs!$I$9*Drivers!G9)+(Coeffs!$I$10*Drivers!H9))</f>
        <v>32.254657631828323</v>
      </c>
      <c r="J11" s="66">
        <f>EXP(Coeffs!$J$13+(Coeffs!$J$7*Drivers!E9)+(Coeffs!$J$8*Drivers!F9)+(Coeffs!$J$9*Drivers!G9)+(Coeffs!$J$11*Drivers!I9)+(Coeffs!$J$12*Drivers!J9))</f>
        <v>28.497286567914898</v>
      </c>
      <c r="K11" s="38"/>
      <c r="L11" s="66">
        <f xml:space="preserve"> (D11 *Drivers!$L9 * 1000 / 1000000)</f>
        <v>63.431526342939357</v>
      </c>
      <c r="M11" s="66">
        <f xml:space="preserve"> (E11 *Drivers!$L9 * 1000 / 1000000)</f>
        <v>61.023428107592146</v>
      </c>
      <c r="N11" s="66">
        <f xml:space="preserve"> (F11 *Drivers!$L9 * 1000 / 1000000)</f>
        <v>39.269699061499594</v>
      </c>
      <c r="O11" s="66">
        <f xml:space="preserve"> (G11 *Drivers!$L9 * 1000 / 1000000)</f>
        <v>37.940799779458438</v>
      </c>
      <c r="P11" s="66">
        <f xml:space="preserve"> (H11 *Drivers!$L9 * 1000 / 1000000)</f>
        <v>102.82338073265883</v>
      </c>
      <c r="Q11" s="66">
        <f xml:space="preserve"> (I11 *Drivers!$L9 * 1000 / 1000000)</f>
        <v>99.289706116002918</v>
      </c>
      <c r="R11" s="66">
        <f xml:space="preserve"> (J11 *Drivers!$L9 * 1000 / 1000000)</f>
        <v>87.723368225731846</v>
      </c>
      <c r="S11" s="38"/>
      <c r="T11" s="66">
        <f t="shared" si="1"/>
        <v>62.227477225265751</v>
      </c>
      <c r="U11" s="66">
        <f t="shared" si="2"/>
        <v>38.605249420479012</v>
      </c>
      <c r="V11" s="53">
        <f t="shared" si="3"/>
        <v>96.612151691464533</v>
      </c>
      <c r="W11" s="38"/>
      <c r="X11" s="53">
        <f t="shared" si="4"/>
        <v>100.83272664574477</v>
      </c>
      <c r="Y11" s="53">
        <f t="shared" si="5"/>
        <v>96.612151691464533</v>
      </c>
      <c r="Z11" s="53">
        <f t="shared" si="6"/>
        <v>98.722439168604652</v>
      </c>
      <c r="AA11" s="38"/>
      <c r="AB11" s="53">
        <f>Controls!$F$17*Z11</f>
        <v>82.480468867059272</v>
      </c>
      <c r="AC11" s="53">
        <f>-(INDEX(Controls!$G$19:$G$23,MATCH($C11,Controls!$C$19:$C$23,0),0))*$Z11</f>
        <v>0</v>
      </c>
      <c r="AD11" s="67">
        <f t="shared" si="7"/>
        <v>82.480468867059272</v>
      </c>
      <c r="AE11" s="38"/>
      <c r="AG11" s="98" t="s">
        <v>23</v>
      </c>
      <c r="AH11" s="99">
        <f>SUMIF('BP costs'!$B$7:$B$96,$AG11,'BP costs'!D$7:D$96)</f>
        <v>235.04000000000002</v>
      </c>
      <c r="AI11" s="99">
        <f t="shared" si="8"/>
        <v>308.38268744572474</v>
      </c>
      <c r="AJ11" s="16">
        <f t="shared" si="9"/>
        <v>0.76216989334515406</v>
      </c>
    </row>
    <row r="12" spans="1:36" x14ac:dyDescent="0.2">
      <c r="A12" s="13" t="s">
        <v>63</v>
      </c>
      <c r="B12" s="13" t="str">
        <f t="shared" si="0"/>
        <v>NES</v>
      </c>
      <c r="C12" s="13">
        <v>2021</v>
      </c>
      <c r="D12" s="111">
        <f>EXP(Coeffs!$D$13+(Coeffs!$D$6*Drivers!D10)+(Coeffs!$D$7*Drivers!E10))</f>
        <v>17.16070347962107</v>
      </c>
      <c r="E12" s="66">
        <f>EXP(Coeffs!$E$13+(Coeffs!$E$6*Drivers!D10)+(Coeffs!$E$7*Drivers!E10)+(Coeffs!$E$8*Drivers!F10))</f>
        <v>16.872814528665025</v>
      </c>
      <c r="F12" s="66">
        <f>EXP(Coeffs!$F$13+(Coeffs!$F$9*Drivers!G10)+(Coeffs!$F$10*Drivers!H10))</f>
        <v>13.254252077898771</v>
      </c>
      <c r="G12" s="66">
        <f>EXP(Coeffs!$G$13+(Coeffs!$G$9*Drivers!G10)+(Coeffs!$G$11*Drivers!I10)+(Coeffs!$G$12*Drivers!J10))</f>
        <v>12.606229212461768</v>
      </c>
      <c r="H12" s="66">
        <f>EXP(Coeffs!$H$13+(Coeffs!$H$7*Drivers!E10)+(Coeffs!$H$9*Drivers!G10)+(Coeffs!$H$10*Drivers!H10))</f>
        <v>30.621062928606538</v>
      </c>
      <c r="I12" s="66">
        <f>EXP(Coeffs!$I$13+(Coeffs!$I$7*Drivers!E10)+(Coeffs!$I$8*Drivers!F10)+(Coeffs!$I$9*Drivers!G10)+(Coeffs!$I$10*Drivers!H10))</f>
        <v>30.555642931090425</v>
      </c>
      <c r="J12" s="66">
        <f>EXP(Coeffs!$J$13+(Coeffs!$J$7*Drivers!E10)+(Coeffs!$J$8*Drivers!F10)+(Coeffs!$J$9*Drivers!G10)+(Coeffs!$J$11*Drivers!I10)+(Coeffs!$J$12*Drivers!J10))</f>
        <v>30.151258241223513</v>
      </c>
      <c r="K12" s="38"/>
      <c r="L12" s="66">
        <f xml:space="preserve"> (D12 *Drivers!$L10 * 1000 / 1000000)</f>
        <v>33.534571543998034</v>
      </c>
      <c r="M12" s="66">
        <f xml:space="preserve"> (E12 *Drivers!$L10 * 1000 / 1000000)</f>
        <v>32.971993638376226</v>
      </c>
      <c r="N12" s="66">
        <f xml:space="preserve"> (F12 *Drivers!$L10 * 1000 / 1000000)</f>
        <v>25.900783443773808</v>
      </c>
      <c r="O12" s="66">
        <f xml:space="preserve"> (G12 *Drivers!$L10 * 1000 / 1000000)</f>
        <v>24.634450209302951</v>
      </c>
      <c r="P12" s="66">
        <f xml:space="preserve"> (H12 *Drivers!$L10 * 1000 / 1000000)</f>
        <v>59.838119500873532</v>
      </c>
      <c r="Q12" s="66">
        <f xml:space="preserve"> (I12 *Drivers!$L10 * 1000 / 1000000)</f>
        <v>59.710279078147416</v>
      </c>
      <c r="R12" s="66">
        <f xml:space="preserve"> (J12 *Drivers!$L10 * 1000 / 1000000)</f>
        <v>58.920051140828683</v>
      </c>
      <c r="S12" s="38"/>
      <c r="T12" s="66">
        <f t="shared" si="1"/>
        <v>33.25328259118713</v>
      </c>
      <c r="U12" s="66">
        <f t="shared" si="2"/>
        <v>25.267616826538379</v>
      </c>
      <c r="V12" s="53">
        <f t="shared" si="3"/>
        <v>59.489483239949877</v>
      </c>
      <c r="W12" s="38"/>
      <c r="X12" s="53">
        <f t="shared" si="4"/>
        <v>58.520899417725509</v>
      </c>
      <c r="Y12" s="53">
        <f t="shared" si="5"/>
        <v>59.489483239949877</v>
      </c>
      <c r="Z12" s="53">
        <f t="shared" si="6"/>
        <v>59.005191328837697</v>
      </c>
      <c r="AA12" s="38"/>
      <c r="AB12" s="53">
        <f>Controls!$F$17*Z12</f>
        <v>49.297564843199176</v>
      </c>
      <c r="AC12" s="53">
        <f>-(INDEX(Controls!$G$19:$G$23,MATCH($C12,Controls!$C$19:$C$23,0),0))*$Z12</f>
        <v>0</v>
      </c>
      <c r="AD12" s="67">
        <f t="shared" si="7"/>
        <v>49.297564843199176</v>
      </c>
      <c r="AE12" s="38"/>
      <c r="AG12" s="98" t="s">
        <v>156</v>
      </c>
      <c r="AH12" s="99">
        <f>SUMIF('BP costs'!$B$7:$B$96,$AG12,'BP costs'!D$7:D$96)</f>
        <v>461.97117466078453</v>
      </c>
      <c r="AI12" s="99">
        <f t="shared" si="8"/>
        <v>584.85517408893008</v>
      </c>
      <c r="AJ12" s="16">
        <f t="shared" si="9"/>
        <v>0.78988986526524185</v>
      </c>
    </row>
    <row r="13" spans="1:36" x14ac:dyDescent="0.2">
      <c r="A13" s="13" t="s">
        <v>64</v>
      </c>
      <c r="B13" s="13" t="str">
        <f t="shared" si="0"/>
        <v>NES</v>
      </c>
      <c r="C13" s="13">
        <v>2022</v>
      </c>
      <c r="D13" s="111">
        <f>EXP(Coeffs!$D$13+(Coeffs!$D$6*Drivers!D11)+(Coeffs!$D$7*Drivers!E11))</f>
        <v>17.336941095427395</v>
      </c>
      <c r="E13" s="66">
        <f>EXP(Coeffs!$E$13+(Coeffs!$E$6*Drivers!D11)+(Coeffs!$E$7*Drivers!E11)+(Coeffs!$E$8*Drivers!F11))</f>
        <v>17.033195304795107</v>
      </c>
      <c r="F13" s="66">
        <f>EXP(Coeffs!$F$13+(Coeffs!$F$9*Drivers!G11)+(Coeffs!$F$10*Drivers!H11))</f>
        <v>13.123879321287488</v>
      </c>
      <c r="G13" s="66">
        <f>EXP(Coeffs!$G$13+(Coeffs!$G$9*Drivers!G11)+(Coeffs!$G$11*Drivers!I11)+(Coeffs!$G$12*Drivers!J11))</f>
        <v>12.48360942770562</v>
      </c>
      <c r="H13" s="66">
        <f>EXP(Coeffs!$H$13+(Coeffs!$H$7*Drivers!E11)+(Coeffs!$H$9*Drivers!G11)+(Coeffs!$H$10*Drivers!H11))</f>
        <v>30.63888689356175</v>
      </c>
      <c r="I13" s="66">
        <f>EXP(Coeffs!$I$13+(Coeffs!$I$7*Drivers!E11)+(Coeffs!$I$8*Drivers!F11)+(Coeffs!$I$9*Drivers!G11)+(Coeffs!$I$10*Drivers!H11))</f>
        <v>30.589999859645193</v>
      </c>
      <c r="J13" s="66">
        <f>EXP(Coeffs!$J$13+(Coeffs!$J$7*Drivers!E11)+(Coeffs!$J$8*Drivers!F11)+(Coeffs!$J$9*Drivers!G11)+(Coeffs!$J$11*Drivers!I11)+(Coeffs!$J$12*Drivers!J11))</f>
        <v>30.114663057515298</v>
      </c>
      <c r="K13" s="38"/>
      <c r="L13" s="66">
        <f xml:space="preserve"> (D13 *Drivers!$L11 * 1000 / 1000000)</f>
        <v>34.206374237275504</v>
      </c>
      <c r="M13" s="66">
        <f xml:space="preserve"> (E13 *Drivers!$L11 * 1000 / 1000000)</f>
        <v>33.607073465001115</v>
      </c>
      <c r="N13" s="66">
        <f xml:space="preserve"> (F13 *Drivers!$L11 * 1000 / 1000000)</f>
        <v>25.893860112797139</v>
      </c>
      <c r="O13" s="66">
        <f xml:space="preserve"> (G13 *Drivers!$L11 * 1000 / 1000000)</f>
        <v>24.630585843583734</v>
      </c>
      <c r="P13" s="66">
        <f xml:space="preserve"> (H13 *Drivers!$L11 * 1000 / 1000000)</f>
        <v>60.451565563151718</v>
      </c>
      <c r="Q13" s="66">
        <f xml:space="preserve"> (I13 *Drivers!$L11 * 1000 / 1000000)</f>
        <v>60.3551097830752</v>
      </c>
      <c r="R13" s="66">
        <f xml:space="preserve"> (J13 *Drivers!$L11 * 1000 / 1000000)</f>
        <v>59.417254111021641</v>
      </c>
      <c r="S13" s="38"/>
      <c r="T13" s="66">
        <f t="shared" si="1"/>
        <v>33.90672385113831</v>
      </c>
      <c r="U13" s="66">
        <f t="shared" si="2"/>
        <v>25.262222978190437</v>
      </c>
      <c r="V13" s="53">
        <f t="shared" si="3"/>
        <v>60.074643152416179</v>
      </c>
      <c r="W13" s="38"/>
      <c r="X13" s="53">
        <f t="shared" si="4"/>
        <v>59.168946829328746</v>
      </c>
      <c r="Y13" s="53">
        <f t="shared" si="5"/>
        <v>60.074643152416179</v>
      </c>
      <c r="Z13" s="53">
        <f t="shared" si="6"/>
        <v>59.621794990872459</v>
      </c>
      <c r="AA13" s="38"/>
      <c r="AB13" s="53">
        <f>Controls!$F$17*Z13</f>
        <v>49.812723905091019</v>
      </c>
      <c r="AC13" s="53">
        <f>-(INDEX(Controls!$G$19:$G$23,MATCH($C13,Controls!$C$19:$C$23,0),0))*$Z13</f>
        <v>0</v>
      </c>
      <c r="AD13" s="67">
        <f t="shared" si="7"/>
        <v>49.812723905091019</v>
      </c>
      <c r="AE13" s="38"/>
      <c r="AG13" s="98" t="s">
        <v>35</v>
      </c>
      <c r="AH13" s="99">
        <f>SUMIF('BP costs'!$B$7:$B$96,$AG13,'BP costs'!D$7:D$96)</f>
        <v>159.76399999999998</v>
      </c>
      <c r="AI13" s="99">
        <f t="shared" si="8"/>
        <v>168.16886741964186</v>
      </c>
      <c r="AJ13" s="16">
        <f t="shared" si="9"/>
        <v>0.95002126405080256</v>
      </c>
    </row>
    <row r="14" spans="1:36" x14ac:dyDescent="0.2">
      <c r="A14" s="13" t="s">
        <v>65</v>
      </c>
      <c r="B14" s="13" t="str">
        <f t="shared" si="0"/>
        <v>NES</v>
      </c>
      <c r="C14" s="13">
        <v>2023</v>
      </c>
      <c r="D14" s="111">
        <f>EXP(Coeffs!$D$13+(Coeffs!$D$6*Drivers!D12)+(Coeffs!$D$7*Drivers!E12))</f>
        <v>17.508793587983156</v>
      </c>
      <c r="E14" s="66">
        <f>EXP(Coeffs!$E$13+(Coeffs!$E$6*Drivers!D12)+(Coeffs!$E$7*Drivers!E12)+(Coeffs!$E$8*Drivers!F12))</f>
        <v>17.189503927209817</v>
      </c>
      <c r="F14" s="66">
        <f>EXP(Coeffs!$F$13+(Coeffs!$F$9*Drivers!G12)+(Coeffs!$F$10*Drivers!H12))</f>
        <v>13.004402712727719</v>
      </c>
      <c r="G14" s="66">
        <f>EXP(Coeffs!$G$13+(Coeffs!$G$9*Drivers!G12)+(Coeffs!$G$11*Drivers!I12)+(Coeffs!$G$12*Drivers!J12))</f>
        <v>12.37122587178562</v>
      </c>
      <c r="H14" s="66">
        <f>EXP(Coeffs!$H$13+(Coeffs!$H$7*Drivers!E12)+(Coeffs!$H$9*Drivers!G12)+(Coeffs!$H$10*Drivers!H12))</f>
        <v>30.661082866109037</v>
      </c>
      <c r="I14" s="66">
        <f>EXP(Coeffs!$I$13+(Coeffs!$I$7*Drivers!E12)+(Coeffs!$I$8*Drivers!F12)+(Coeffs!$I$9*Drivers!G12)+(Coeffs!$I$10*Drivers!H12))</f>
        <v>30.62885862664546</v>
      </c>
      <c r="J14" s="66">
        <f>EXP(Coeffs!$J$13+(Coeffs!$J$7*Drivers!E12)+(Coeffs!$J$8*Drivers!F12)+(Coeffs!$J$9*Drivers!G12)+(Coeffs!$J$11*Drivers!I12)+(Coeffs!$J$12*Drivers!J12))</f>
        <v>30.085790587859634</v>
      </c>
      <c r="K14" s="38"/>
      <c r="L14" s="66">
        <f xml:space="preserve"> (D14 *Drivers!$L12 * 1000 / 1000000)</f>
        <v>34.866188637811021</v>
      </c>
      <c r="M14" s="66">
        <f xml:space="preserve"> (E14 *Drivers!$L12 * 1000 / 1000000)</f>
        <v>34.230370213961059</v>
      </c>
      <c r="N14" s="66">
        <f xml:space="preserve"> (F14 *Drivers!$L12 * 1000 / 1000000)</f>
        <v>25.896356355198485</v>
      </c>
      <c r="O14" s="66">
        <f xml:space="preserve"> (G14 *Drivers!$L12 * 1000 / 1000000)</f>
        <v>24.635477753457913</v>
      </c>
      <c r="P14" s="66">
        <f xml:space="preserve"> (H14 *Drivers!$L12 * 1000 / 1000000)</f>
        <v>61.057039348674827</v>
      </c>
      <c r="Q14" s="66">
        <f xml:space="preserve"> (I14 *Drivers!$L12 * 1000 / 1000000)</f>
        <v>60.992869512746317</v>
      </c>
      <c r="R14" s="66">
        <f xml:space="preserve"> (J14 *Drivers!$L12 * 1000 / 1000000)</f>
        <v>59.911429344506047</v>
      </c>
      <c r="S14" s="38"/>
      <c r="T14" s="66">
        <f t="shared" si="1"/>
        <v>34.548279425886037</v>
      </c>
      <c r="U14" s="66">
        <f t="shared" si="2"/>
        <v>25.265917054328199</v>
      </c>
      <c r="V14" s="53">
        <f t="shared" si="3"/>
        <v>60.653779401975726</v>
      </c>
      <c r="W14" s="38"/>
      <c r="X14" s="53">
        <f t="shared" si="4"/>
        <v>59.814196480214235</v>
      </c>
      <c r="Y14" s="53">
        <f t="shared" si="5"/>
        <v>60.653779401975726</v>
      </c>
      <c r="Z14" s="53">
        <f t="shared" si="6"/>
        <v>60.233987941094981</v>
      </c>
      <c r="AA14" s="38"/>
      <c r="AB14" s="53">
        <f>Controls!$F$17*Z14</f>
        <v>50.3241979123856</v>
      </c>
      <c r="AC14" s="53">
        <f>-(INDEX(Controls!$G$19:$G$23,MATCH($C14,Controls!$C$19:$C$23,0),0))*$Z14</f>
        <v>0</v>
      </c>
      <c r="AD14" s="67">
        <f t="shared" si="7"/>
        <v>50.3241979123856</v>
      </c>
      <c r="AE14" s="38"/>
      <c r="AG14" s="98" t="s">
        <v>25</v>
      </c>
      <c r="AH14" s="99">
        <f>SUMIF('BP costs'!$B$7:$B$96,$AG14,'BP costs'!D$7:D$96)</f>
        <v>876.89803570368497</v>
      </c>
      <c r="AI14" s="99">
        <f t="shared" si="8"/>
        <v>901.87124541513276</v>
      </c>
      <c r="AJ14" s="16">
        <f t="shared" si="9"/>
        <v>0.97230956210389807</v>
      </c>
    </row>
    <row r="15" spans="1:36" x14ac:dyDescent="0.2">
      <c r="A15" s="13" t="s">
        <v>66</v>
      </c>
      <c r="B15" s="13" t="str">
        <f t="shared" si="0"/>
        <v>NES</v>
      </c>
      <c r="C15" s="13">
        <v>2024</v>
      </c>
      <c r="D15" s="111">
        <f>EXP(Coeffs!$D$13+(Coeffs!$D$6*Drivers!D13)+(Coeffs!$D$7*Drivers!E13))</f>
        <v>17.676561452727523</v>
      </c>
      <c r="E15" s="66">
        <f>EXP(Coeffs!$E$13+(Coeffs!$E$6*Drivers!D13)+(Coeffs!$E$7*Drivers!E13)+(Coeffs!$E$8*Drivers!F13))</f>
        <v>17.342067319670583</v>
      </c>
      <c r="F15" s="66">
        <f>EXP(Coeffs!$F$13+(Coeffs!$F$9*Drivers!G13)+(Coeffs!$F$10*Drivers!H13))</f>
        <v>12.8823770425848</v>
      </c>
      <c r="G15" s="66">
        <f>EXP(Coeffs!$G$13+(Coeffs!$G$9*Drivers!G13)+(Coeffs!$G$11*Drivers!I13)+(Coeffs!$G$12*Drivers!J13))</f>
        <v>12.256432675283728</v>
      </c>
      <c r="H15" s="66">
        <f>EXP(Coeffs!$H$13+(Coeffs!$H$7*Drivers!E13)+(Coeffs!$H$9*Drivers!G13)+(Coeffs!$H$10*Drivers!H13))</f>
        <v>30.675210455243214</v>
      </c>
      <c r="I15" s="66">
        <f>EXP(Coeffs!$I$13+(Coeffs!$I$7*Drivers!E13)+(Coeffs!$I$8*Drivers!F13)+(Coeffs!$I$9*Drivers!G13)+(Coeffs!$I$10*Drivers!H13))</f>
        <v>30.658429286820244</v>
      </c>
      <c r="J15" s="66">
        <f>EXP(Coeffs!$J$13+(Coeffs!$J$7*Drivers!E13)+(Coeffs!$J$8*Drivers!F13)+(Coeffs!$J$9*Drivers!G13)+(Coeffs!$J$11*Drivers!I13)+(Coeffs!$J$12*Drivers!J13))</f>
        <v>30.049055609348102</v>
      </c>
      <c r="K15" s="38"/>
      <c r="L15" s="66">
        <f xml:space="preserve"> (D15 *Drivers!$L13 * 1000 / 1000000)</f>
        <v>35.512759931934625</v>
      </c>
      <c r="M15" s="66">
        <f xml:space="preserve"> (E15 *Drivers!$L13 * 1000 / 1000000)</f>
        <v>34.840750849305117</v>
      </c>
      <c r="N15" s="66">
        <f xml:space="preserve"> (F15 *Drivers!$L13 * 1000 / 1000000)</f>
        <v>25.881094832241182</v>
      </c>
      <c r="O15" s="66">
        <f xml:space="preserve"> (G15 *Drivers!$L13 * 1000 / 1000000)</f>
        <v>24.623553194057941</v>
      </c>
      <c r="P15" s="66">
        <f xml:space="preserve"> (H15 *Drivers!$L13 * 1000 / 1000000)</f>
        <v>61.627448736107731</v>
      </c>
      <c r="Q15" s="66">
        <f xml:space="preserve"> (I15 *Drivers!$L13 * 1000 / 1000000)</f>
        <v>61.593734848529763</v>
      </c>
      <c r="R15" s="66">
        <f xml:space="preserve"> (J15 *Drivers!$L13 * 1000 / 1000000)</f>
        <v>60.369484239904224</v>
      </c>
      <c r="S15" s="38"/>
      <c r="T15" s="66">
        <f t="shared" si="1"/>
        <v>35.176755390619874</v>
      </c>
      <c r="U15" s="66">
        <f t="shared" si="2"/>
        <v>25.252324013149561</v>
      </c>
      <c r="V15" s="53">
        <f t="shared" si="3"/>
        <v>61.196889274847237</v>
      </c>
      <c r="W15" s="38"/>
      <c r="X15" s="53">
        <f t="shared" si="4"/>
        <v>60.429079403769435</v>
      </c>
      <c r="Y15" s="53">
        <f t="shared" si="5"/>
        <v>61.196889274847237</v>
      </c>
      <c r="Z15" s="53">
        <f t="shared" si="6"/>
        <v>60.812984339308336</v>
      </c>
      <c r="AA15" s="38"/>
      <c r="AB15" s="53">
        <f>Controls!$F$17*Z15</f>
        <v>50.807936916396791</v>
      </c>
      <c r="AC15" s="53">
        <f>-(INDEX(Controls!$G$19:$G$23,MATCH($C15,Controls!$C$19:$C$23,0),0))*$Z15</f>
        <v>0</v>
      </c>
      <c r="AD15" s="67">
        <f t="shared" si="7"/>
        <v>50.807936916396791</v>
      </c>
      <c r="AE15" s="38"/>
      <c r="AG15" s="98" t="s">
        <v>41</v>
      </c>
      <c r="AH15" s="99">
        <f>SUMIF('BP costs'!$B$7:$B$96,$AG15,'BP costs'!D$7:D$96)</f>
        <v>268.10599999999999</v>
      </c>
      <c r="AI15" s="99">
        <f t="shared" si="8"/>
        <v>247.71008234616841</v>
      </c>
      <c r="AJ15" s="16">
        <f t="shared" si="9"/>
        <v>1.0823378582763088</v>
      </c>
    </row>
    <row r="16" spans="1:36" x14ac:dyDescent="0.2">
      <c r="A16" s="13" t="s">
        <v>67</v>
      </c>
      <c r="B16" s="13" t="str">
        <f t="shared" si="0"/>
        <v>NES</v>
      </c>
      <c r="C16" s="13">
        <v>2025</v>
      </c>
      <c r="D16" s="111">
        <f>EXP(Coeffs!$D$13+(Coeffs!$D$6*Drivers!D14)+(Coeffs!$D$7*Drivers!E14))</f>
        <v>17.840833278493694</v>
      </c>
      <c r="E16" s="66">
        <f>EXP(Coeffs!$E$13+(Coeffs!$E$6*Drivers!D14)+(Coeffs!$E$7*Drivers!E14)+(Coeffs!$E$8*Drivers!F14))</f>
        <v>17.491214853560713</v>
      </c>
      <c r="F16" s="66">
        <f>EXP(Coeffs!$F$13+(Coeffs!$F$9*Drivers!G14)+(Coeffs!$F$10*Drivers!H14))</f>
        <v>12.761294606773225</v>
      </c>
      <c r="G16" s="66">
        <f>EXP(Coeffs!$G$13+(Coeffs!$G$9*Drivers!G14)+(Coeffs!$G$11*Drivers!I14)+(Coeffs!$G$12*Drivers!J14))</f>
        <v>12.142514797177272</v>
      </c>
      <c r="H16" s="66">
        <f>EXP(Coeffs!$H$13+(Coeffs!$H$7*Drivers!E14)+(Coeffs!$H$9*Drivers!G14)+(Coeffs!$H$10*Drivers!H14))</f>
        <v>30.685174989148745</v>
      </c>
      <c r="I16" s="66">
        <f>EXP(Coeffs!$I$13+(Coeffs!$I$7*Drivers!E14)+(Coeffs!$I$8*Drivers!F14)+(Coeffs!$I$9*Drivers!G14)+(Coeffs!$I$10*Drivers!H14))</f>
        <v>30.682636667991346</v>
      </c>
      <c r="J16" s="66">
        <f>EXP(Coeffs!$J$13+(Coeffs!$J$7*Drivers!E14)+(Coeffs!$J$8*Drivers!F14)+(Coeffs!$J$9*Drivers!G14)+(Coeffs!$J$11*Drivers!I14)+(Coeffs!$J$12*Drivers!J14))</f>
        <v>30.008170235746107</v>
      </c>
      <c r="K16" s="38"/>
      <c r="L16" s="66">
        <f xml:space="preserve"> (D16 *Drivers!$L14 * 1000 / 1000000)</f>
        <v>36.15724964969219</v>
      </c>
      <c r="M16" s="66">
        <f xml:space="preserve"> (E16 *Drivers!$L14 * 1000 / 1000000)</f>
        <v>35.448693021472792</v>
      </c>
      <c r="N16" s="66">
        <f xml:space="preserve"> (F16 *Drivers!$L14 * 1000 / 1000000)</f>
        <v>25.862767043879199</v>
      </c>
      <c r="O16" s="66">
        <f xml:space="preserve"> (G16 *Drivers!$L14 * 1000 / 1000000)</f>
        <v>24.608712611302899</v>
      </c>
      <c r="P16" s="66">
        <f xml:space="preserve"> (H16 *Drivers!$L14 * 1000 / 1000000)</f>
        <v>62.188324687983233</v>
      </c>
      <c r="Q16" s="66">
        <f xml:space="preserve"> (I16 *Drivers!$L14 * 1000 / 1000000)</f>
        <v>62.183180381641336</v>
      </c>
      <c r="R16" s="66">
        <f xml:space="preserve"> (J16 *Drivers!$L14 * 1000 / 1000000)</f>
        <v>60.816268265466498</v>
      </c>
      <c r="S16" s="38"/>
      <c r="T16" s="66">
        <f t="shared" si="1"/>
        <v>35.802971335582491</v>
      </c>
      <c r="U16" s="66">
        <f t="shared" si="2"/>
        <v>25.235739827591047</v>
      </c>
      <c r="V16" s="53">
        <f t="shared" si="3"/>
        <v>61.729257778363682</v>
      </c>
      <c r="W16" s="38"/>
      <c r="X16" s="53">
        <f t="shared" si="4"/>
        <v>61.038711163173538</v>
      </c>
      <c r="Y16" s="53">
        <f t="shared" si="5"/>
        <v>61.729257778363682</v>
      </c>
      <c r="Z16" s="53">
        <f t="shared" si="6"/>
        <v>61.38398447076861</v>
      </c>
      <c r="AA16" s="38"/>
      <c r="AB16" s="53">
        <f>Controls!$F$17*Z16</f>
        <v>51.284995211984096</v>
      </c>
      <c r="AC16" s="53">
        <f>-(INDEX(Controls!$G$19:$G$23,MATCH($C16,Controls!$C$19:$C$23,0),0))*$Z16</f>
        <v>0</v>
      </c>
      <c r="AD16" s="67">
        <f t="shared" si="7"/>
        <v>51.284995211984096</v>
      </c>
      <c r="AE16" s="38"/>
      <c r="AG16" s="98" t="s">
        <v>26</v>
      </c>
      <c r="AH16" s="99">
        <f>SUMIF('BP costs'!$B$7:$B$96,$AG16,'BP costs'!D$7:D$96)</f>
        <v>164.131</v>
      </c>
      <c r="AI16" s="99">
        <f t="shared" si="8"/>
        <v>171.31533437870112</v>
      </c>
      <c r="AJ16" s="16">
        <f t="shared" si="9"/>
        <v>0.9580636817786562</v>
      </c>
    </row>
    <row r="17" spans="1:36" x14ac:dyDescent="0.2">
      <c r="A17" s="13" t="s">
        <v>68</v>
      </c>
      <c r="B17" s="13" t="str">
        <f t="shared" si="0"/>
        <v>NWT</v>
      </c>
      <c r="C17" s="13">
        <v>2021</v>
      </c>
      <c r="D17" s="111">
        <f>EXP(Coeffs!$D$13+(Coeffs!$D$6*Drivers!D15)+(Coeffs!$D$7*Drivers!E15))</f>
        <v>17.820420438694253</v>
      </c>
      <c r="E17" s="66">
        <f>EXP(Coeffs!$E$13+(Coeffs!$E$6*Drivers!D15)+(Coeffs!$E$7*Drivers!E15)+(Coeffs!$E$8*Drivers!F15))</f>
        <v>17.788794837570645</v>
      </c>
      <c r="F17" s="66">
        <f>EXP(Coeffs!$F$13+(Coeffs!$F$9*Drivers!G15)+(Coeffs!$F$10*Drivers!H15))</f>
        <v>20.465081251066227</v>
      </c>
      <c r="G17" s="66">
        <f>EXP(Coeffs!$G$13+(Coeffs!$G$9*Drivers!G15)+(Coeffs!$G$11*Drivers!I15)+(Coeffs!$G$12*Drivers!J15))</f>
        <v>19.390819502259411</v>
      </c>
      <c r="H17" s="66">
        <f>EXP(Coeffs!$H$13+(Coeffs!$H$7*Drivers!E15)+(Coeffs!$H$9*Drivers!G15)+(Coeffs!$H$10*Drivers!H15))</f>
        <v>35.998611299682686</v>
      </c>
      <c r="I17" s="66">
        <f>EXP(Coeffs!$I$13+(Coeffs!$I$7*Drivers!E15)+(Coeffs!$I$8*Drivers!F15)+(Coeffs!$I$9*Drivers!G15)+(Coeffs!$I$10*Drivers!H15))</f>
        <v>35.770228351608964</v>
      </c>
      <c r="J17" s="66">
        <f>EXP(Coeffs!$J$13+(Coeffs!$J$7*Drivers!E15)+(Coeffs!$J$8*Drivers!F15)+(Coeffs!$J$9*Drivers!G15)+(Coeffs!$J$11*Drivers!I15)+(Coeffs!$J$12*Drivers!J15))</f>
        <v>37.037891416619559</v>
      </c>
      <c r="K17" s="38"/>
      <c r="L17" s="66">
        <f xml:space="preserve"> (D17 *Drivers!$L15 * 1000 / 1000000)</f>
        <v>54.214852211809678</v>
      </c>
      <c r="M17" s="66">
        <f xml:space="preserve"> (E17 *Drivers!$L15 * 1000 / 1000000)</f>
        <v>54.118638023321566</v>
      </c>
      <c r="N17" s="66">
        <f xml:space="preserve"> (F17 *Drivers!$L15 * 1000 / 1000000)</f>
        <v>62.26067220726749</v>
      </c>
      <c r="O17" s="66">
        <f xml:space="preserve"> (G17 *Drivers!$L15 * 1000 / 1000000)</f>
        <v>58.992458522370313</v>
      </c>
      <c r="P17" s="66">
        <f xml:space="preserve"> (H17 *Drivers!$L15 * 1000 / 1000000)</f>
        <v>109.51814510531727</v>
      </c>
      <c r="Q17" s="66">
        <f xml:space="preserve"> (I17 *Drivers!$L15 * 1000 / 1000000)</f>
        <v>108.8233383907333</v>
      </c>
      <c r="R17" s="66">
        <f xml:space="preserve"> (J17 *Drivers!$L15 * 1000 / 1000000)</f>
        <v>112.67993458947905</v>
      </c>
      <c r="S17" s="38"/>
      <c r="T17" s="66">
        <f t="shared" si="1"/>
        <v>54.166745117565625</v>
      </c>
      <c r="U17" s="66">
        <f t="shared" si="2"/>
        <v>60.626565364818902</v>
      </c>
      <c r="V17" s="53">
        <f t="shared" si="3"/>
        <v>110.34047269517652</v>
      </c>
      <c r="W17" s="38"/>
      <c r="X17" s="53">
        <f t="shared" si="4"/>
        <v>114.79331048238453</v>
      </c>
      <c r="Y17" s="53">
        <f t="shared" si="5"/>
        <v>110.34047269517652</v>
      </c>
      <c r="Z17" s="53">
        <f t="shared" si="6"/>
        <v>112.56689158878052</v>
      </c>
      <c r="AA17" s="38"/>
      <c r="AB17" s="53">
        <f>Controls!$F$17*Z17</f>
        <v>94.047210293226769</v>
      </c>
      <c r="AC17" s="53">
        <f>-(INDEX(Controls!$G$19:$G$23,MATCH($C17,Controls!$C$19:$C$23,0),0))*$Z17</f>
        <v>0</v>
      </c>
      <c r="AD17" s="67">
        <f t="shared" si="7"/>
        <v>94.047210293226769</v>
      </c>
      <c r="AE17" s="38"/>
      <c r="AG17" s="98" t="s">
        <v>27</v>
      </c>
      <c r="AH17" s="99">
        <f>SUMIF('BP costs'!$B$7:$B$96,$AG17,'BP costs'!D$7:D$96)</f>
        <v>273.18634639456525</v>
      </c>
      <c r="AI17" s="99">
        <f t="shared" si="8"/>
        <v>388.71036261037375</v>
      </c>
      <c r="AJ17" s="16">
        <f t="shared" si="9"/>
        <v>0.7028018099645964</v>
      </c>
    </row>
    <row r="18" spans="1:36" x14ac:dyDescent="0.2">
      <c r="A18" s="13" t="s">
        <v>69</v>
      </c>
      <c r="B18" s="13" t="str">
        <f t="shared" si="0"/>
        <v>NWT</v>
      </c>
      <c r="C18" s="13">
        <v>2022</v>
      </c>
      <c r="D18" s="111">
        <f>EXP(Coeffs!$D$13+(Coeffs!$D$6*Drivers!D16)+(Coeffs!$D$7*Drivers!E16))</f>
        <v>17.972689498493004</v>
      </c>
      <c r="E18" s="66">
        <f>EXP(Coeffs!$E$13+(Coeffs!$E$6*Drivers!D16)+(Coeffs!$E$7*Drivers!E16)+(Coeffs!$E$8*Drivers!F16))</f>
        <v>17.929959093820443</v>
      </c>
      <c r="F18" s="66">
        <f>EXP(Coeffs!$F$13+(Coeffs!$F$9*Drivers!G16)+(Coeffs!$F$10*Drivers!H16))</f>
        <v>20.35109039112206</v>
      </c>
      <c r="G18" s="66">
        <f>EXP(Coeffs!$G$13+(Coeffs!$G$9*Drivers!G16)+(Coeffs!$G$11*Drivers!I16)+(Coeffs!$G$12*Drivers!J16))</f>
        <v>19.284015865105406</v>
      </c>
      <c r="H18" s="66">
        <f>EXP(Coeffs!$H$13+(Coeffs!$H$7*Drivers!E16)+(Coeffs!$H$9*Drivers!G16)+(Coeffs!$H$10*Drivers!H16))</f>
        <v>36.055036650502338</v>
      </c>
      <c r="I18" s="66">
        <f>EXP(Coeffs!$I$13+(Coeffs!$I$7*Drivers!E16)+(Coeffs!$I$8*Drivers!F16)+(Coeffs!$I$9*Drivers!G16)+(Coeffs!$I$10*Drivers!H16))</f>
        <v>35.848375610394569</v>
      </c>
      <c r="J18" s="66">
        <f>EXP(Coeffs!$J$13+(Coeffs!$J$7*Drivers!E16)+(Coeffs!$J$8*Drivers!F16)+(Coeffs!$J$9*Drivers!G16)+(Coeffs!$J$11*Drivers!I16)+(Coeffs!$J$12*Drivers!J16))</f>
        <v>37.054290994051925</v>
      </c>
      <c r="K18" s="38"/>
      <c r="L18" s="66">
        <f xml:space="preserve"> (D18 *Drivers!$L16 * 1000 / 1000000)</f>
        <v>55.08699806633502</v>
      </c>
      <c r="M18" s="66">
        <f xml:space="preserve"> (E18 *Drivers!$L16 * 1000 / 1000000)</f>
        <v>54.956027700449141</v>
      </c>
      <c r="N18" s="66">
        <f xml:space="preserve"> (F18 *Drivers!$L16 * 1000 / 1000000)</f>
        <v>62.376890065204314</v>
      </c>
      <c r="O18" s="66">
        <f xml:space="preserve"> (G18 *Drivers!$L16 * 1000 / 1000000)</f>
        <v>59.106264800341002</v>
      </c>
      <c r="P18" s="66">
        <f xml:space="preserve"> (H18 *Drivers!$L16 * 1000 / 1000000)</f>
        <v>110.51010114064448</v>
      </c>
      <c r="Q18" s="66">
        <f xml:space="preserve"> (I18 *Drivers!$L16 * 1000 / 1000000)</f>
        <v>109.87667694902541</v>
      </c>
      <c r="R18" s="66">
        <f xml:space="preserve"> (J18 *Drivers!$L16 * 1000 / 1000000)</f>
        <v>113.5728548868497</v>
      </c>
      <c r="S18" s="38"/>
      <c r="T18" s="66">
        <f t="shared" si="1"/>
        <v>55.021512883392077</v>
      </c>
      <c r="U18" s="66">
        <f t="shared" si="2"/>
        <v>60.741577432772658</v>
      </c>
      <c r="V18" s="53">
        <f t="shared" si="3"/>
        <v>111.31987765883986</v>
      </c>
      <c r="W18" s="38"/>
      <c r="X18" s="53">
        <f t="shared" si="4"/>
        <v>115.76309031616474</v>
      </c>
      <c r="Y18" s="53">
        <f t="shared" si="5"/>
        <v>111.31987765883986</v>
      </c>
      <c r="Z18" s="53">
        <f t="shared" si="6"/>
        <v>113.54148398750229</v>
      </c>
      <c r="AA18" s="38"/>
      <c r="AB18" s="53">
        <f>Controls!$F$17*Z18</f>
        <v>94.861461224198564</v>
      </c>
      <c r="AC18" s="53">
        <f>-(INDEX(Controls!$G$19:$G$23,MATCH($C18,Controls!$C$19:$C$23,0),0))*$Z18</f>
        <v>0</v>
      </c>
      <c r="AD18" s="67">
        <f t="shared" si="7"/>
        <v>94.861461224198564</v>
      </c>
      <c r="AE18" s="38"/>
      <c r="AG18" s="98" t="s">
        <v>28</v>
      </c>
      <c r="AH18" s="99">
        <f>SUMIF('BP costs'!$B$7:$B$96,$AG18,'BP costs'!D$7:D$96)</f>
        <v>145.45700000000002</v>
      </c>
      <c r="AI18" s="99">
        <f t="shared" si="8"/>
        <v>167.0764154427136</v>
      </c>
      <c r="AJ18" s="16">
        <f t="shared" si="9"/>
        <v>0.87060163228049181</v>
      </c>
    </row>
    <row r="19" spans="1:36" x14ac:dyDescent="0.2">
      <c r="A19" s="13" t="s">
        <v>70</v>
      </c>
      <c r="B19" s="13" t="str">
        <f t="shared" si="0"/>
        <v>NWT</v>
      </c>
      <c r="C19" s="13">
        <v>2023</v>
      </c>
      <c r="D19" s="111">
        <f>EXP(Coeffs!$D$13+(Coeffs!$D$6*Drivers!D17)+(Coeffs!$D$7*Drivers!E17))</f>
        <v>18.1243304810308</v>
      </c>
      <c r="E19" s="66">
        <f>EXP(Coeffs!$E$13+(Coeffs!$E$6*Drivers!D17)+(Coeffs!$E$7*Drivers!E17)+(Coeffs!$E$8*Drivers!F17))</f>
        <v>18.07013996170242</v>
      </c>
      <c r="F19" s="66">
        <f>EXP(Coeffs!$F$13+(Coeffs!$F$9*Drivers!G17)+(Coeffs!$F$10*Drivers!H17))</f>
        <v>20.0122083313851</v>
      </c>
      <c r="G19" s="66">
        <f>EXP(Coeffs!$G$13+(Coeffs!$G$9*Drivers!G17)+(Coeffs!$G$11*Drivers!I17)+(Coeffs!$G$12*Drivers!J17))</f>
        <v>18.966460987370951</v>
      </c>
      <c r="H19" s="66">
        <f>EXP(Coeffs!$H$13+(Coeffs!$H$7*Drivers!E17)+(Coeffs!$H$9*Drivers!G17)+(Coeffs!$H$10*Drivers!H17))</f>
        <v>35.944766329770708</v>
      </c>
      <c r="I19" s="66">
        <f>EXP(Coeffs!$I$13+(Coeffs!$I$7*Drivers!E17)+(Coeffs!$I$8*Drivers!F17)+(Coeffs!$I$9*Drivers!G17)+(Coeffs!$I$10*Drivers!H17))</f>
        <v>35.739794369535282</v>
      </c>
      <c r="J19" s="66">
        <f>EXP(Coeffs!$J$13+(Coeffs!$J$7*Drivers!E17)+(Coeffs!$J$8*Drivers!F17)+(Coeffs!$J$9*Drivers!G17)+(Coeffs!$J$11*Drivers!I17)+(Coeffs!$J$12*Drivers!J17))</f>
        <v>36.850733058264744</v>
      </c>
      <c r="K19" s="38"/>
      <c r="L19" s="66">
        <f xml:space="preserve"> (D19 *Drivers!$L17 * 1000 / 1000000)</f>
        <v>55.982795909375881</v>
      </c>
      <c r="M19" s="66">
        <f xml:space="preserve"> (E19 *Drivers!$L17 * 1000 / 1000000)</f>
        <v>55.815411145179546</v>
      </c>
      <c r="N19" s="66">
        <f xml:space="preserve"> (F19 *Drivers!$L17 * 1000 / 1000000)</f>
        <v>61.814110920367952</v>
      </c>
      <c r="O19" s="66">
        <f xml:space="preserve"> (G19 *Drivers!$L17 * 1000 / 1000000)</f>
        <v>58.58398552655057</v>
      </c>
      <c r="P19" s="66">
        <f xml:space="preserve"> (H19 *Drivers!$L17 * 1000 / 1000000)</f>
        <v>111.02691597661227</v>
      </c>
      <c r="Q19" s="66">
        <f xml:space="preserve"> (I19 *Drivers!$L17 * 1000 / 1000000)</f>
        <v>110.39379447019225</v>
      </c>
      <c r="R19" s="66">
        <f xml:space="preserve"> (J19 *Drivers!$L17 * 1000 / 1000000)</f>
        <v>113.82528419854739</v>
      </c>
      <c r="S19" s="38"/>
      <c r="T19" s="66">
        <f t="shared" si="1"/>
        <v>55.899103527277717</v>
      </c>
      <c r="U19" s="66">
        <f t="shared" si="2"/>
        <v>60.199048223459258</v>
      </c>
      <c r="V19" s="53">
        <f t="shared" si="3"/>
        <v>111.74866488178397</v>
      </c>
      <c r="W19" s="38"/>
      <c r="X19" s="53">
        <f t="shared" si="4"/>
        <v>116.09815175073697</v>
      </c>
      <c r="Y19" s="53">
        <f t="shared" si="5"/>
        <v>111.74866488178397</v>
      </c>
      <c r="Z19" s="53">
        <f t="shared" si="6"/>
        <v>113.92340831626046</v>
      </c>
      <c r="AA19" s="38"/>
      <c r="AB19" s="53">
        <f>Controls!$F$17*Z19</f>
        <v>95.180550764256537</v>
      </c>
      <c r="AC19" s="53">
        <f>-(INDEX(Controls!$G$19:$G$23,MATCH($C19,Controls!$C$19:$C$23,0),0))*$Z19</f>
        <v>0</v>
      </c>
      <c r="AD19" s="67">
        <f t="shared" si="7"/>
        <v>95.180550764256537</v>
      </c>
      <c r="AE19" s="38"/>
      <c r="AG19" s="98" t="s">
        <v>29</v>
      </c>
      <c r="AH19" s="99">
        <f>SUMIF('BP costs'!$B$7:$B$96,$AG19,'BP costs'!D$7:D$96)</f>
        <v>49.988</v>
      </c>
      <c r="AI19" s="99">
        <f t="shared" si="8"/>
        <v>60.222293272847338</v>
      </c>
      <c r="AJ19" s="16">
        <f t="shared" si="9"/>
        <v>0.83005806128173942</v>
      </c>
    </row>
    <row r="20" spans="1:36" x14ac:dyDescent="0.2">
      <c r="A20" s="13" t="s">
        <v>71</v>
      </c>
      <c r="B20" s="13" t="str">
        <f t="shared" si="0"/>
        <v>NWT</v>
      </c>
      <c r="C20" s="13">
        <v>2024</v>
      </c>
      <c r="D20" s="111">
        <f>EXP(Coeffs!$D$13+(Coeffs!$D$6*Drivers!D18)+(Coeffs!$D$7*Drivers!E18))</f>
        <v>18.274914001422871</v>
      </c>
      <c r="E20" s="66">
        <f>EXP(Coeffs!$E$13+(Coeffs!$E$6*Drivers!D18)+(Coeffs!$E$7*Drivers!E18)+(Coeffs!$E$8*Drivers!F18))</f>
        <v>18.20892447826774</v>
      </c>
      <c r="F20" s="66">
        <f>EXP(Coeffs!$F$13+(Coeffs!$F$9*Drivers!G18)+(Coeffs!$F$10*Drivers!H18))</f>
        <v>19.811475274827899</v>
      </c>
      <c r="G20" s="66">
        <f>EXP(Coeffs!$G$13+(Coeffs!$G$9*Drivers!G18)+(Coeffs!$G$11*Drivers!I18)+(Coeffs!$G$12*Drivers!J18))</f>
        <v>18.778332576724317</v>
      </c>
      <c r="H20" s="66">
        <f>EXP(Coeffs!$H$13+(Coeffs!$H$7*Drivers!E18)+(Coeffs!$H$9*Drivers!G18)+(Coeffs!$H$10*Drivers!H18))</f>
        <v>35.931196894507778</v>
      </c>
      <c r="I20" s="66">
        <f>EXP(Coeffs!$I$13+(Coeffs!$I$7*Drivers!E18)+(Coeffs!$I$8*Drivers!F18)+(Coeffs!$I$9*Drivers!G18)+(Coeffs!$I$10*Drivers!H18))</f>
        <v>35.737857192013699</v>
      </c>
      <c r="J20" s="66">
        <f>EXP(Coeffs!$J$13+(Coeffs!$J$7*Drivers!E18)+(Coeffs!$J$8*Drivers!F18)+(Coeffs!$J$9*Drivers!G18)+(Coeffs!$J$11*Drivers!I18)+(Coeffs!$J$12*Drivers!J18))</f>
        <v>36.773568132120921</v>
      </c>
      <c r="K20" s="38"/>
      <c r="L20" s="66">
        <f xml:space="preserve"> (D20 *Drivers!$L18 * 1000 / 1000000)</f>
        <v>56.901313374287916</v>
      </c>
      <c r="M20" s="66">
        <f xml:space="preserve"> (E20 *Drivers!$L18 * 1000 / 1000000)</f>
        <v>56.695846440972801</v>
      </c>
      <c r="N20" s="66">
        <f xml:space="preserve"> (F20 *Drivers!$L18 * 1000 / 1000000)</f>
        <v>61.685596054360012</v>
      </c>
      <c r="O20" s="66">
        <f xml:space="preserve"> (G20 *Drivers!$L18 * 1000 / 1000000)</f>
        <v>58.468772357100903</v>
      </c>
      <c r="P20" s="66">
        <f xml:space="preserve"> (H20 *Drivers!$L18 * 1000 / 1000000)</f>
        <v>111.87643861133584</v>
      </c>
      <c r="Q20" s="66">
        <f xml:space="preserve"> (I20 *Drivers!$L18 * 1000 / 1000000)</f>
        <v>111.274450388658</v>
      </c>
      <c r="R20" s="66">
        <f xml:space="preserve"> (J20 *Drivers!$L18 * 1000 / 1000000)</f>
        <v>114.49927064026799</v>
      </c>
      <c r="S20" s="38"/>
      <c r="T20" s="66">
        <f t="shared" si="1"/>
        <v>56.798579907630355</v>
      </c>
      <c r="U20" s="66">
        <f t="shared" si="2"/>
        <v>60.077184205730461</v>
      </c>
      <c r="V20" s="53">
        <f t="shared" si="3"/>
        <v>112.5500532134206</v>
      </c>
      <c r="W20" s="38"/>
      <c r="X20" s="53">
        <f t="shared" si="4"/>
        <v>116.87576411336082</v>
      </c>
      <c r="Y20" s="53">
        <f t="shared" si="5"/>
        <v>112.5500532134206</v>
      </c>
      <c r="Z20" s="53">
        <f t="shared" si="6"/>
        <v>114.71290866339071</v>
      </c>
      <c r="AA20" s="38"/>
      <c r="AB20" s="53">
        <f>Controls!$F$17*Z20</f>
        <v>95.840161277837908</v>
      </c>
      <c r="AC20" s="53">
        <f>-(INDEX(Controls!$G$19:$G$23,MATCH($C20,Controls!$C$19:$C$23,0),0))*$Z20</f>
        <v>0</v>
      </c>
      <c r="AD20" s="67">
        <f t="shared" si="7"/>
        <v>95.840161277837908</v>
      </c>
      <c r="AE20" s="38"/>
      <c r="AG20" s="98" t="s">
        <v>31</v>
      </c>
      <c r="AH20" s="99">
        <f>SUMIF('BP costs'!$B$7:$B$96,$AG20,'BP costs'!D$7:D$96)</f>
        <v>23.463000000000001</v>
      </c>
      <c r="AI20" s="99">
        <f t="shared" si="8"/>
        <v>26.231955527567699</v>
      </c>
      <c r="AJ20" s="16">
        <f t="shared" si="9"/>
        <v>0.89444341941424288</v>
      </c>
    </row>
    <row r="21" spans="1:36" x14ac:dyDescent="0.2">
      <c r="A21" s="13" t="s">
        <v>72</v>
      </c>
      <c r="B21" s="13" t="str">
        <f t="shared" si="0"/>
        <v>NWT</v>
      </c>
      <c r="C21" s="13">
        <v>2025</v>
      </c>
      <c r="D21" s="111">
        <f>EXP(Coeffs!$D$13+(Coeffs!$D$6*Drivers!D19)+(Coeffs!$D$7*Drivers!E19))</f>
        <v>18.424157251417245</v>
      </c>
      <c r="E21" s="66">
        <f>EXP(Coeffs!$E$13+(Coeffs!$E$6*Drivers!D19)+(Coeffs!$E$7*Drivers!E19)+(Coeffs!$E$8*Drivers!F19))</f>
        <v>18.346042815226223</v>
      </c>
      <c r="F21" s="66">
        <f>EXP(Coeffs!$F$13+(Coeffs!$F$9*Drivers!G19)+(Coeffs!$F$10*Drivers!H19))</f>
        <v>19.758550024588793</v>
      </c>
      <c r="G21" s="66">
        <f>EXP(Coeffs!$G$13+(Coeffs!$G$9*Drivers!G19)+(Coeffs!$G$11*Drivers!I19)+(Coeffs!$G$12*Drivers!J19))</f>
        <v>18.728727126096416</v>
      </c>
      <c r="H21" s="66">
        <f>EXP(Coeffs!$H$13+(Coeffs!$H$7*Drivers!E19)+(Coeffs!$H$9*Drivers!G19)+(Coeffs!$H$10*Drivers!H19))</f>
        <v>36.024249256025229</v>
      </c>
      <c r="I21" s="66">
        <f>EXP(Coeffs!$I$13+(Coeffs!$I$7*Drivers!E19)+(Coeffs!$I$8*Drivers!F19)+(Coeffs!$I$9*Drivers!G19)+(Coeffs!$I$10*Drivers!H19))</f>
        <v>35.853702036422654</v>
      </c>
      <c r="J21" s="66">
        <f>EXP(Coeffs!$J$13+(Coeffs!$J$7*Drivers!E19)+(Coeffs!$J$8*Drivers!F19)+(Coeffs!$J$9*Drivers!G19)+(Coeffs!$J$11*Drivers!I19)+(Coeffs!$J$12*Drivers!J19))</f>
        <v>36.835198766807054</v>
      </c>
      <c r="K21" s="38"/>
      <c r="L21" s="66">
        <f xml:space="preserve"> (D21 *Drivers!$L19 * 1000 / 1000000)</f>
        <v>57.842020078212599</v>
      </c>
      <c r="M21" s="66">
        <f xml:space="preserve"> (E21 *Drivers!$L19 * 1000 / 1000000)</f>
        <v>57.596782441293719</v>
      </c>
      <c r="N21" s="66">
        <f xml:space="preserve"> (F21 *Drivers!$L19 * 1000 / 1000000)</f>
        <v>62.031301168509046</v>
      </c>
      <c r="O21" s="66">
        <f xml:space="preserve"> (G21 *Drivers!$L19 * 1000 / 1000000)</f>
        <v>58.798206923885346</v>
      </c>
      <c r="P21" s="66">
        <f xml:space="preserve"> (H21 *Drivers!$L19 * 1000 / 1000000)</f>
        <v>113.09691511720355</v>
      </c>
      <c r="Q21" s="66">
        <f xml:space="preserve"> (I21 *Drivers!$L19 * 1000 / 1000000)</f>
        <v>112.56148787535363</v>
      </c>
      <c r="R21" s="66">
        <f xml:space="preserve"> (J21 *Drivers!$L19 * 1000 / 1000000)</f>
        <v>115.64286374567885</v>
      </c>
      <c r="S21" s="38"/>
      <c r="T21" s="66">
        <f t="shared" si="1"/>
        <v>57.719401259753155</v>
      </c>
      <c r="U21" s="66">
        <f t="shared" si="2"/>
        <v>60.414754046197196</v>
      </c>
      <c r="V21" s="53">
        <f t="shared" si="3"/>
        <v>113.76708891274532</v>
      </c>
      <c r="W21" s="38"/>
      <c r="X21" s="53">
        <f t="shared" si="4"/>
        <v>118.13415530595034</v>
      </c>
      <c r="Y21" s="53">
        <f t="shared" si="5"/>
        <v>113.76708891274532</v>
      </c>
      <c r="Z21" s="53">
        <f t="shared" si="6"/>
        <v>115.95062210934783</v>
      </c>
      <c r="AA21" s="38"/>
      <c r="AB21" s="53">
        <f>Controls!$F$17*Z21</f>
        <v>96.874244169279194</v>
      </c>
      <c r="AC21" s="53">
        <f>-(INDEX(Controls!$G$19:$G$23,MATCH($C21,Controls!$C$19:$C$23,0),0))*$Z21</f>
        <v>0</v>
      </c>
      <c r="AD21" s="67">
        <f t="shared" si="7"/>
        <v>96.874244169279194</v>
      </c>
      <c r="AE21" s="38"/>
      <c r="AG21" s="98" t="s">
        <v>32</v>
      </c>
      <c r="AH21" s="99">
        <f>SUMIF('BP costs'!$B$7:$B$96,$AG21,'BP costs'!D$7:D$96)</f>
        <v>37.415564717900722</v>
      </c>
      <c r="AI21" s="99">
        <f t="shared" si="8"/>
        <v>32.005965849597466</v>
      </c>
      <c r="AJ21" s="16">
        <f t="shared" si="9"/>
        <v>1.1690184540508497</v>
      </c>
    </row>
    <row r="22" spans="1:36" x14ac:dyDescent="0.2">
      <c r="A22" s="13" t="s">
        <v>73</v>
      </c>
      <c r="B22" s="13" t="str">
        <f t="shared" si="0"/>
        <v>SRN</v>
      </c>
      <c r="C22" s="13">
        <v>2021</v>
      </c>
      <c r="D22" s="111">
        <f>EXP(Coeffs!$D$13+(Coeffs!$D$6*Drivers!D20)+(Coeffs!$D$7*Drivers!E20))</f>
        <v>19.646810340087022</v>
      </c>
      <c r="E22" s="66">
        <f>EXP(Coeffs!$E$13+(Coeffs!$E$6*Drivers!D20)+(Coeffs!$E$7*Drivers!E20)+(Coeffs!$E$8*Drivers!F20))</f>
        <v>19.078355497399649</v>
      </c>
      <c r="F22" s="66">
        <f>EXP(Coeffs!$F$13+(Coeffs!$F$9*Drivers!G20)+(Coeffs!$F$10*Drivers!H20))</f>
        <v>10.873854492354479</v>
      </c>
      <c r="G22" s="66">
        <f>EXP(Coeffs!$G$13+(Coeffs!$G$9*Drivers!G20)+(Coeffs!$G$11*Drivers!I20)+(Coeffs!$G$12*Drivers!J20))</f>
        <v>11.418781652761707</v>
      </c>
      <c r="H22" s="66">
        <f>EXP(Coeffs!$H$13+(Coeffs!$H$7*Drivers!E20)+(Coeffs!$H$9*Drivers!G20)+(Coeffs!$H$10*Drivers!H20))</f>
        <v>31.065505207082637</v>
      </c>
      <c r="I22" s="66">
        <f>EXP(Coeffs!$I$13+(Coeffs!$I$7*Drivers!E20)+(Coeffs!$I$8*Drivers!F20)+(Coeffs!$I$9*Drivers!G20)+(Coeffs!$I$10*Drivers!H20))</f>
        <v>30.299619247951796</v>
      </c>
      <c r="J22" s="66">
        <f>EXP(Coeffs!$J$13+(Coeffs!$J$7*Drivers!E20)+(Coeffs!$J$8*Drivers!F20)+(Coeffs!$J$9*Drivers!G20)+(Coeffs!$J$11*Drivers!I20)+(Coeffs!$J$12*Drivers!J20))</f>
        <v>29.387096397211771</v>
      </c>
      <c r="K22" s="38"/>
      <c r="L22" s="66">
        <f xml:space="preserve"> (D22 *Drivers!$L20 * 1000 / 1000000)</f>
        <v>38.743058114013792</v>
      </c>
      <c r="M22" s="66">
        <f xml:space="preserve"> (E22 *Drivers!$L20 * 1000 / 1000000)</f>
        <v>37.622078238695671</v>
      </c>
      <c r="N22" s="66">
        <f xml:space="preserve"> (F22 *Drivers!$L20 * 1000 / 1000000)</f>
        <v>21.442990960269707</v>
      </c>
      <c r="O22" s="66">
        <f xml:space="preserve"> (G22 *Drivers!$L20 * 1000 / 1000000)</f>
        <v>22.517574787268071</v>
      </c>
      <c r="P22" s="66">
        <f xml:space="preserve"> (H22 *Drivers!$L20 * 1000 / 1000000)</f>
        <v>61.260461761747202</v>
      </c>
      <c r="Q22" s="66">
        <f xml:space="preserve"> (I22 *Drivers!$L20 * 1000 / 1000000)</f>
        <v>59.750152265718242</v>
      </c>
      <c r="R22" s="66">
        <f xml:space="preserve"> (J22 *Drivers!$L20 * 1000 / 1000000)</f>
        <v>57.950678192084482</v>
      </c>
      <c r="S22" s="38"/>
      <c r="T22" s="66">
        <f t="shared" si="1"/>
        <v>38.182568176354735</v>
      </c>
      <c r="U22" s="66">
        <f t="shared" si="2"/>
        <v>21.980282873768889</v>
      </c>
      <c r="V22" s="53">
        <f t="shared" si="3"/>
        <v>59.653764073183304</v>
      </c>
      <c r="W22" s="38"/>
      <c r="X22" s="53">
        <f t="shared" si="4"/>
        <v>60.162851050123621</v>
      </c>
      <c r="Y22" s="53">
        <f t="shared" si="5"/>
        <v>59.653764073183304</v>
      </c>
      <c r="Z22" s="53">
        <f t="shared" si="6"/>
        <v>59.908307561653459</v>
      </c>
      <c r="AA22" s="38"/>
      <c r="AB22" s="53">
        <f>Controls!$F$17*Z22</f>
        <v>50.052098979018879</v>
      </c>
      <c r="AC22" s="53">
        <f>-(INDEX(Controls!$G$19:$G$23,MATCH($C22,Controls!$C$19:$C$23,0),0))*$Z22</f>
        <v>0</v>
      </c>
      <c r="AD22" s="67">
        <f t="shared" si="7"/>
        <v>50.052098979018879</v>
      </c>
      <c r="AE22" s="38"/>
      <c r="AG22" s="98" t="s">
        <v>33</v>
      </c>
      <c r="AH22" s="99">
        <f>SUMIF('BP costs'!$B$7:$B$96,$AG22,'BP costs'!D$7:D$96)</f>
        <v>81.468999999999994</v>
      </c>
      <c r="AI22" s="99">
        <f t="shared" si="8"/>
        <v>104.37329990555439</v>
      </c>
      <c r="AJ22" s="16">
        <f t="shared" si="9"/>
        <v>0.7805540312869278</v>
      </c>
    </row>
    <row r="23" spans="1:36" x14ac:dyDescent="0.2">
      <c r="A23" s="13" t="s">
        <v>74</v>
      </c>
      <c r="B23" s="13" t="str">
        <f t="shared" si="0"/>
        <v>SRN</v>
      </c>
      <c r="C23" s="13">
        <v>2022</v>
      </c>
      <c r="D23" s="111">
        <f>EXP(Coeffs!$D$13+(Coeffs!$D$6*Drivers!D21)+(Coeffs!$D$7*Drivers!E21))</f>
        <v>19.750303315135671</v>
      </c>
      <c r="E23" s="66">
        <f>EXP(Coeffs!$E$13+(Coeffs!$E$6*Drivers!D21)+(Coeffs!$E$7*Drivers!E21)+(Coeffs!$E$8*Drivers!F21))</f>
        <v>19.164145081064078</v>
      </c>
      <c r="F23" s="66">
        <f>EXP(Coeffs!$F$13+(Coeffs!$F$9*Drivers!G21)+(Coeffs!$F$10*Drivers!H21))</f>
        <v>10.873639927113118</v>
      </c>
      <c r="G23" s="66">
        <f>EXP(Coeffs!$G$13+(Coeffs!$G$9*Drivers!G21)+(Coeffs!$G$11*Drivers!I21)+(Coeffs!$G$12*Drivers!J21))</f>
        <v>11.418558852626402</v>
      </c>
      <c r="H23" s="66">
        <f>EXP(Coeffs!$H$13+(Coeffs!$H$7*Drivers!E21)+(Coeffs!$H$9*Drivers!G21)+(Coeffs!$H$10*Drivers!H21))</f>
        <v>31.13918715001423</v>
      </c>
      <c r="I23" s="66">
        <f>EXP(Coeffs!$I$13+(Coeffs!$I$7*Drivers!E21)+(Coeffs!$I$8*Drivers!F21)+(Coeffs!$I$9*Drivers!G21)+(Coeffs!$I$10*Drivers!H21))</f>
        <v>30.372516856120956</v>
      </c>
      <c r="J23" s="66">
        <f>EXP(Coeffs!$J$13+(Coeffs!$J$7*Drivers!E21)+(Coeffs!$J$8*Drivers!F21)+(Coeffs!$J$9*Drivers!G21)+(Coeffs!$J$11*Drivers!I21)+(Coeffs!$J$12*Drivers!J21))</f>
        <v>29.417202609694392</v>
      </c>
      <c r="K23" s="38"/>
      <c r="L23" s="66">
        <f xml:space="preserve"> (D23 *Drivers!$L21 * 1000 / 1000000)</f>
        <v>39.455022930220011</v>
      </c>
      <c r="M23" s="66">
        <f xml:space="preserve"> (E23 *Drivers!$L21 * 1000 / 1000000)</f>
        <v>38.284059315281063</v>
      </c>
      <c r="N23" s="66">
        <f xml:space="preserve"> (F23 *Drivers!$L21 * 1000 / 1000000)</f>
        <v>21.722183493274457</v>
      </c>
      <c r="O23" s="66">
        <f xml:space="preserve"> (G23 *Drivers!$L21 * 1000 / 1000000)</f>
        <v>22.810763671420943</v>
      </c>
      <c r="P23" s="66">
        <f xml:space="preserve"> (H23 *Drivers!$L21 * 1000 / 1000000)</f>
        <v>62.206505056086229</v>
      </c>
      <c r="Q23" s="66">
        <f xml:space="preserve"> (I23 *Drivers!$L21 * 1000 / 1000000)</f>
        <v>60.674933943337983</v>
      </c>
      <c r="R23" s="66">
        <f xml:space="preserve"> (J23 *Drivers!$L21 * 1000 / 1000000)</f>
        <v>58.766510315765615</v>
      </c>
      <c r="S23" s="38"/>
      <c r="T23" s="66">
        <f t="shared" si="1"/>
        <v>38.869541122750533</v>
      </c>
      <c r="U23" s="66">
        <f t="shared" si="2"/>
        <v>22.2664735823477</v>
      </c>
      <c r="V23" s="53">
        <f t="shared" si="3"/>
        <v>60.549316438396602</v>
      </c>
      <c r="W23" s="38"/>
      <c r="X23" s="53">
        <f t="shared" si="4"/>
        <v>61.136014705098233</v>
      </c>
      <c r="Y23" s="53">
        <f t="shared" si="5"/>
        <v>60.549316438396602</v>
      </c>
      <c r="Z23" s="53">
        <f t="shared" si="6"/>
        <v>60.842665571747418</v>
      </c>
      <c r="AA23" s="38"/>
      <c r="AB23" s="53">
        <f>Controls!$F$17*Z23</f>
        <v>50.83273494599112</v>
      </c>
      <c r="AC23" s="53">
        <f>-(INDEX(Controls!$G$19:$G$23,MATCH($C23,Controls!$C$19:$C$23,0),0))*$Z23</f>
        <v>0</v>
      </c>
      <c r="AD23" s="67">
        <f t="shared" si="7"/>
        <v>50.83273494599112</v>
      </c>
      <c r="AE23" s="38"/>
      <c r="AG23" s="98" t="s">
        <v>34</v>
      </c>
      <c r="AH23" s="99">
        <f>SUMIF('BP costs'!$B$7:$B$96,$AG23,'BP costs'!D$7:D$96)</f>
        <v>59.494005573527389</v>
      </c>
      <c r="AI23" s="99">
        <f t="shared" si="8"/>
        <v>74.62269538136843</v>
      </c>
      <c r="AJ23" s="88">
        <f t="shared" si="9"/>
        <v>0.7972642273168502</v>
      </c>
    </row>
    <row r="24" spans="1:36" x14ac:dyDescent="0.2">
      <c r="A24" s="13" t="s">
        <v>75</v>
      </c>
      <c r="B24" s="13" t="str">
        <f t="shared" si="0"/>
        <v>SRN</v>
      </c>
      <c r="C24" s="13">
        <v>2023</v>
      </c>
      <c r="D24" s="111">
        <f>EXP(Coeffs!$D$13+(Coeffs!$D$6*Drivers!D22)+(Coeffs!$D$7*Drivers!E22))</f>
        <v>19.851294891069852</v>
      </c>
      <c r="E24" s="66">
        <f>EXP(Coeffs!$E$13+(Coeffs!$E$6*Drivers!D22)+(Coeffs!$E$7*Drivers!E22)+(Coeffs!$E$8*Drivers!F22))</f>
        <v>19.248483923097407</v>
      </c>
      <c r="F24" s="66">
        <f>EXP(Coeffs!$F$13+(Coeffs!$F$9*Drivers!G22)+(Coeffs!$F$10*Drivers!H22))</f>
        <v>10.869654241049242</v>
      </c>
      <c r="G24" s="66">
        <f>EXP(Coeffs!$G$13+(Coeffs!$G$9*Drivers!G22)+(Coeffs!$G$11*Drivers!I22)+(Coeffs!$G$12*Drivers!J22))</f>
        <v>11.414420189227847</v>
      </c>
      <c r="H24" s="66">
        <f>EXP(Coeffs!$H$13+(Coeffs!$H$7*Drivers!E22)+(Coeffs!$H$9*Drivers!G22)+(Coeffs!$H$10*Drivers!H22))</f>
        <v>31.206451280841467</v>
      </c>
      <c r="I24" s="66">
        <f>EXP(Coeffs!$I$13+(Coeffs!$I$7*Drivers!E22)+(Coeffs!$I$8*Drivers!F22)+(Coeffs!$I$9*Drivers!G22)+(Coeffs!$I$10*Drivers!H22))</f>
        <v>30.440026541856891</v>
      </c>
      <c r="J24" s="66">
        <f>EXP(Coeffs!$J$13+(Coeffs!$J$7*Drivers!E22)+(Coeffs!$J$8*Drivers!F22)+(Coeffs!$J$9*Drivers!G22)+(Coeffs!$J$11*Drivers!I22)+(Coeffs!$J$12*Drivers!J22))</f>
        <v>29.443884578541706</v>
      </c>
      <c r="K24" s="38"/>
      <c r="L24" s="66">
        <f xml:space="preserve"> (D24 *Drivers!$L22 * 1000 / 1000000)</f>
        <v>40.128380206258257</v>
      </c>
      <c r="M24" s="66">
        <f xml:space="preserve"> (E24 *Drivers!$L22 * 1000 / 1000000)</f>
        <v>38.909828577861333</v>
      </c>
      <c r="N24" s="66">
        <f xml:space="preserve"> (F24 *Drivers!$L22 * 1000 / 1000000)</f>
        <v>21.972451695914749</v>
      </c>
      <c r="O24" s="66">
        <f xml:space="preserve"> (G24 *Drivers!$L22 * 1000 / 1000000)</f>
        <v>23.073668277094441</v>
      </c>
      <c r="P24" s="66">
        <f xml:space="preserve"> (H24 *Drivers!$L22 * 1000 / 1000000)</f>
        <v>63.0822497352057</v>
      </c>
      <c r="Q24" s="66">
        <f xml:space="preserve"> (I24 *Drivers!$L22 * 1000 / 1000000)</f>
        <v>61.532961213010076</v>
      </c>
      <c r="R24" s="66">
        <f xml:space="preserve"> (J24 *Drivers!$L22 * 1000 / 1000000)</f>
        <v>59.519311037408556</v>
      </c>
      <c r="S24" s="38"/>
      <c r="T24" s="66">
        <f t="shared" si="1"/>
        <v>39.519104392059795</v>
      </c>
      <c r="U24" s="66">
        <f t="shared" si="2"/>
        <v>22.523059986504595</v>
      </c>
      <c r="V24" s="53">
        <f t="shared" si="3"/>
        <v>61.378173995208101</v>
      </c>
      <c r="W24" s="38"/>
      <c r="X24" s="53">
        <f t="shared" si="4"/>
        <v>62.042164378564394</v>
      </c>
      <c r="Y24" s="53">
        <f t="shared" si="5"/>
        <v>61.378173995208101</v>
      </c>
      <c r="Z24" s="53">
        <f t="shared" si="6"/>
        <v>61.710169186886247</v>
      </c>
      <c r="AA24" s="38"/>
      <c r="AB24" s="53">
        <f>Controls!$F$17*Z24</f>
        <v>51.557515507767135</v>
      </c>
      <c r="AC24" s="53">
        <f>-(INDEX(Controls!$G$19:$G$23,MATCH($C24,Controls!$C$19:$C$23,0),0))*$Z24</f>
        <v>0</v>
      </c>
      <c r="AD24" s="67">
        <f t="shared" si="7"/>
        <v>51.557515507767135</v>
      </c>
      <c r="AE24" s="38"/>
      <c r="AG24" s="145" t="s">
        <v>143</v>
      </c>
      <c r="AH24" s="96">
        <f>SUM(AH7:AH23)</f>
        <v>4044.846964705745</v>
      </c>
      <c r="AI24" s="96">
        <f>SUM(AI7:AI23)</f>
        <v>4603.6642205692169</v>
      </c>
      <c r="AJ24" s="146">
        <f>AH24/AI24</f>
        <v>0.87861467972258467</v>
      </c>
    </row>
    <row r="25" spans="1:36" x14ac:dyDescent="0.2">
      <c r="A25" s="13" t="s">
        <v>76</v>
      </c>
      <c r="B25" s="13" t="str">
        <f t="shared" si="0"/>
        <v>SRN</v>
      </c>
      <c r="C25" s="13">
        <v>2024</v>
      </c>
      <c r="D25" s="111">
        <f>EXP(Coeffs!$D$13+(Coeffs!$D$6*Drivers!D23)+(Coeffs!$D$7*Drivers!E23))</f>
        <v>19.950678652734169</v>
      </c>
      <c r="E25" s="66">
        <f>EXP(Coeffs!$E$13+(Coeffs!$E$6*Drivers!D23)+(Coeffs!$E$7*Drivers!E23)+(Coeffs!$E$8*Drivers!F23))</f>
        <v>19.331683597998772</v>
      </c>
      <c r="F25" s="66">
        <f>EXP(Coeffs!$F$13+(Coeffs!$F$9*Drivers!G23)+(Coeffs!$F$10*Drivers!H23))</f>
        <v>10.866567814966318</v>
      </c>
      <c r="G25" s="66">
        <f>EXP(Coeffs!$G$13+(Coeffs!$G$9*Drivers!G23)+(Coeffs!$G$11*Drivers!I23)+(Coeffs!$G$12*Drivers!J23))</f>
        <v>11.411215289270883</v>
      </c>
      <c r="H25" s="66">
        <f>EXP(Coeffs!$H$13+(Coeffs!$H$7*Drivers!E23)+(Coeffs!$H$9*Drivers!G23)+(Coeffs!$H$10*Drivers!H23))</f>
        <v>31.273410526892558</v>
      </c>
      <c r="I25" s="66">
        <f>EXP(Coeffs!$I$13+(Coeffs!$I$7*Drivers!E23)+(Coeffs!$I$8*Drivers!F23)+(Coeffs!$I$9*Drivers!G23)+(Coeffs!$I$10*Drivers!H23))</f>
        <v>30.507860301167714</v>
      </c>
      <c r="J25" s="66">
        <f>EXP(Coeffs!$J$13+(Coeffs!$J$7*Drivers!E23)+(Coeffs!$J$8*Drivers!F23)+(Coeffs!$J$9*Drivers!G23)+(Coeffs!$J$11*Drivers!I23)+(Coeffs!$J$12*Drivers!J23))</f>
        <v>29.472245283764273</v>
      </c>
      <c r="K25" s="38"/>
      <c r="L25" s="66">
        <f xml:space="preserve"> (D25 *Drivers!$L23 * 1000 / 1000000)</f>
        <v>40.787107585613775</v>
      </c>
      <c r="M25" s="66">
        <f xml:space="preserve"> (E25 *Drivers!$L23 * 1000 / 1000000)</f>
        <v>39.521635952697892</v>
      </c>
      <c r="N25" s="66">
        <f xml:space="preserve"> (F25 *Drivers!$L23 * 1000 / 1000000)</f>
        <v>22.215578641213696</v>
      </c>
      <c r="O25" s="66">
        <f xml:space="preserve"> (G25 *Drivers!$L23 * 1000 / 1000000)</f>
        <v>23.329054303739525</v>
      </c>
      <c r="P25" s="66">
        <f xml:space="preserve"> (H25 *Drivers!$L23 * 1000 / 1000000)</f>
        <v>63.935266660947562</v>
      </c>
      <c r="Q25" s="66">
        <f xml:space="preserve"> (I25 *Drivers!$L23 * 1000 / 1000000)</f>
        <v>62.370178076126365</v>
      </c>
      <c r="R25" s="66">
        <f xml:space="preserve"> (J25 *Drivers!$L23 * 1000 / 1000000)</f>
        <v>60.252969841391831</v>
      </c>
      <c r="S25" s="38"/>
      <c r="T25" s="66">
        <f t="shared" si="1"/>
        <v>40.15437176915583</v>
      </c>
      <c r="U25" s="66">
        <f t="shared" si="2"/>
        <v>22.772316472476611</v>
      </c>
      <c r="V25" s="53">
        <f t="shared" si="3"/>
        <v>62.186138192821915</v>
      </c>
      <c r="W25" s="38"/>
      <c r="X25" s="53">
        <f t="shared" si="4"/>
        <v>62.926688241632441</v>
      </c>
      <c r="Y25" s="53">
        <f t="shared" si="5"/>
        <v>62.186138192821915</v>
      </c>
      <c r="Z25" s="53">
        <f t="shared" si="6"/>
        <v>62.556413217227174</v>
      </c>
      <c r="AA25" s="38"/>
      <c r="AB25" s="53">
        <f>Controls!$F$17*Z25</f>
        <v>52.264534144930899</v>
      </c>
      <c r="AC25" s="53">
        <f>-(INDEX(Controls!$G$19:$G$23,MATCH($C25,Controls!$C$19:$C$23,0),0))*$Z25</f>
        <v>0</v>
      </c>
      <c r="AD25" s="67">
        <f t="shared" si="7"/>
        <v>52.264534144930899</v>
      </c>
      <c r="AE25" s="38"/>
    </row>
    <row r="26" spans="1:36" x14ac:dyDescent="0.2">
      <c r="A26" s="13" t="s">
        <v>77</v>
      </c>
      <c r="B26" s="13" t="str">
        <f t="shared" si="0"/>
        <v>SRN</v>
      </c>
      <c r="C26" s="13">
        <v>2025</v>
      </c>
      <c r="D26" s="111">
        <f>EXP(Coeffs!$D$13+(Coeffs!$D$6*Drivers!D24)+(Coeffs!$D$7*Drivers!E24))</f>
        <v>20.048711935851099</v>
      </c>
      <c r="E26" s="66">
        <f>EXP(Coeffs!$E$13+(Coeffs!$E$6*Drivers!D24)+(Coeffs!$E$7*Drivers!E24)+(Coeffs!$E$8*Drivers!F24))</f>
        <v>19.414199884178171</v>
      </c>
      <c r="F26" s="66">
        <f>EXP(Coeffs!$F$13+(Coeffs!$F$9*Drivers!G24)+(Coeffs!$F$10*Drivers!H24))</f>
        <v>10.863566006268409</v>
      </c>
      <c r="G26" s="66">
        <f>EXP(Coeffs!$G$13+(Coeffs!$G$9*Drivers!G24)+(Coeffs!$G$11*Drivers!I24)+(Coeffs!$G$12*Drivers!J24))</f>
        <v>11.408098245018639</v>
      </c>
      <c r="H26" s="66">
        <f>EXP(Coeffs!$H$13+(Coeffs!$H$7*Drivers!E24)+(Coeffs!$H$9*Drivers!G24)+(Coeffs!$H$10*Drivers!H24))</f>
        <v>31.339305226191314</v>
      </c>
      <c r="I26" s="66">
        <f>EXP(Coeffs!$I$13+(Coeffs!$I$7*Drivers!E24)+(Coeffs!$I$8*Drivers!F24)+(Coeffs!$I$9*Drivers!G24)+(Coeffs!$I$10*Drivers!H24))</f>
        <v>30.575658562752476</v>
      </c>
      <c r="J26" s="66">
        <f>EXP(Coeffs!$J$13+(Coeffs!$J$7*Drivers!E24)+(Coeffs!$J$8*Drivers!F24)+(Coeffs!$J$9*Drivers!G24)+(Coeffs!$J$11*Drivers!I24)+(Coeffs!$J$12*Drivers!J24))</f>
        <v>29.502168556360498</v>
      </c>
      <c r="K26" s="38"/>
      <c r="L26" s="66">
        <f xml:space="preserve"> (D26 *Drivers!$L24 * 1000 / 1000000)</f>
        <v>41.421460856657745</v>
      </c>
      <c r="M26" s="66">
        <f xml:space="preserve"> (E26 *Drivers!$L24 * 1000 / 1000000)</f>
        <v>40.110532942907355</v>
      </c>
      <c r="N26" s="66">
        <f xml:space="preserve"> (F26 *Drivers!$L24 * 1000 / 1000000)</f>
        <v>22.444572775156789</v>
      </c>
      <c r="O26" s="66">
        <f xml:space="preserve"> (G26 *Drivers!$L24 * 1000 / 1000000)</f>
        <v>23.569598706236555</v>
      </c>
      <c r="P26" s="66">
        <f xml:space="preserve"> (H26 *Drivers!$L24 * 1000 / 1000000)</f>
        <v>64.748289508825536</v>
      </c>
      <c r="Q26" s="66">
        <f xml:space="preserve"> (I26 *Drivers!$L24 * 1000 / 1000000)</f>
        <v>63.170564192647696</v>
      </c>
      <c r="R26" s="66">
        <f xml:space="preserve"> (J26 *Drivers!$L24 * 1000 / 1000000)</f>
        <v>60.952689826351609</v>
      </c>
      <c r="S26" s="38"/>
      <c r="T26" s="66">
        <f t="shared" si="1"/>
        <v>40.76599689978255</v>
      </c>
      <c r="U26" s="66">
        <f t="shared" si="2"/>
        <v>23.007085740696674</v>
      </c>
      <c r="V26" s="53">
        <f t="shared" si="3"/>
        <v>62.957181175941614</v>
      </c>
      <c r="W26" s="38"/>
      <c r="X26" s="53">
        <f t="shared" si="4"/>
        <v>63.773082640479224</v>
      </c>
      <c r="Y26" s="53">
        <f t="shared" si="5"/>
        <v>62.957181175941614</v>
      </c>
      <c r="Z26" s="53">
        <f t="shared" si="6"/>
        <v>63.365131908210415</v>
      </c>
      <c r="AA26" s="38"/>
      <c r="AB26" s="53">
        <f>Controls!$F$17*Z26</f>
        <v>52.940201170336657</v>
      </c>
      <c r="AC26" s="53">
        <f>-(INDEX(Controls!$G$19:$G$23,MATCH($C26,Controls!$C$19:$C$23,0),0))*$Z26</f>
        <v>0</v>
      </c>
      <c r="AD26" s="67">
        <f t="shared" si="7"/>
        <v>52.940201170336657</v>
      </c>
      <c r="AE26" s="38"/>
    </row>
    <row r="27" spans="1:36" x14ac:dyDescent="0.2">
      <c r="A27" s="13" t="s">
        <v>78</v>
      </c>
      <c r="B27" s="13" t="str">
        <f t="shared" si="0"/>
        <v>SVT</v>
      </c>
      <c r="C27" s="13">
        <v>2021</v>
      </c>
      <c r="D27" s="111">
        <f>EXP(Coeffs!$D$13+(Coeffs!$D$6*Drivers!D25)+(Coeffs!$D$7*Drivers!E25))</f>
        <v>17.614879128970941</v>
      </c>
      <c r="E27" s="66">
        <f>EXP(Coeffs!$E$13+(Coeffs!$E$6*Drivers!D25)+(Coeffs!$E$7*Drivers!E25)+(Coeffs!$E$8*Drivers!F25))</f>
        <v>16.975176956599725</v>
      </c>
      <c r="F27" s="66">
        <f>EXP(Coeffs!$F$13+(Coeffs!$F$9*Drivers!G25)+(Coeffs!$F$10*Drivers!H25))</f>
        <v>10.98668096972956</v>
      </c>
      <c r="G27" s="66">
        <f>EXP(Coeffs!$G$13+(Coeffs!$G$9*Drivers!G25)+(Coeffs!$G$11*Drivers!I25)+(Coeffs!$G$12*Drivers!J25))</f>
        <v>11.421602689189818</v>
      </c>
      <c r="H27" s="66">
        <f>EXP(Coeffs!$H$13+(Coeffs!$H$7*Drivers!E25)+(Coeffs!$H$9*Drivers!G25)+(Coeffs!$H$10*Drivers!H25))</f>
        <v>28.67021953229775</v>
      </c>
      <c r="I27" s="66">
        <f>EXP(Coeffs!$I$13+(Coeffs!$I$7*Drivers!E25)+(Coeffs!$I$8*Drivers!F25)+(Coeffs!$I$9*Drivers!G25)+(Coeffs!$I$10*Drivers!H25))</f>
        <v>26.645950077632282</v>
      </c>
      <c r="J27" s="66">
        <f>EXP(Coeffs!$J$13+(Coeffs!$J$7*Drivers!E25)+(Coeffs!$J$8*Drivers!F25)+(Coeffs!$J$9*Drivers!G25)+(Coeffs!$J$11*Drivers!I25)+(Coeffs!$J$12*Drivers!J25))</f>
        <v>26.262622599233168</v>
      </c>
      <c r="K27" s="38"/>
      <c r="L27" s="66">
        <f xml:space="preserve"> (D27 *Drivers!$L25 * 1000 / 1000000)</f>
        <v>73.283319036315007</v>
      </c>
      <c r="M27" s="66">
        <f xml:space="preserve"> (E27 *Drivers!$L25 * 1000 / 1000000)</f>
        <v>70.6219610989221</v>
      </c>
      <c r="N27" s="66">
        <f xml:space="preserve"> (F27 *Drivers!$L25 * 1000 / 1000000)</f>
        <v>45.707974534477451</v>
      </c>
      <c r="O27" s="66">
        <f xml:space="preserve"> (G27 *Drivers!$L25 * 1000 / 1000000)</f>
        <v>47.517382756337369</v>
      </c>
      <c r="P27" s="66">
        <f xml:space="preserve"> (H27 *Drivers!$L25 * 1000 / 1000000)</f>
        <v>119.27693794793066</v>
      </c>
      <c r="Q27" s="66">
        <f xml:space="preserve"> (I27 *Drivers!$L25 * 1000 / 1000000)</f>
        <v>110.85535394638417</v>
      </c>
      <c r="R27" s="66">
        <f xml:space="preserve"> (J27 *Drivers!$L25 * 1000 / 1000000)</f>
        <v>109.260593648046</v>
      </c>
      <c r="S27" s="38"/>
      <c r="T27" s="66">
        <f t="shared" si="1"/>
        <v>71.952640067618546</v>
      </c>
      <c r="U27" s="66">
        <f t="shared" si="2"/>
        <v>46.612678645407414</v>
      </c>
      <c r="V27" s="53">
        <f t="shared" si="3"/>
        <v>113.13096184745362</v>
      </c>
      <c r="W27" s="38"/>
      <c r="X27" s="53">
        <f t="shared" si="4"/>
        <v>118.56531871302596</v>
      </c>
      <c r="Y27" s="53">
        <f t="shared" si="5"/>
        <v>113.13096184745362</v>
      </c>
      <c r="Z27" s="53">
        <f t="shared" si="6"/>
        <v>115.84814028023979</v>
      </c>
      <c r="AA27" s="38"/>
      <c r="AB27" s="53">
        <f>Controls!$F$17*Z27</f>
        <v>96.788622811193122</v>
      </c>
      <c r="AC27" s="53">
        <f>-(INDEX(Controls!$G$19:$G$23,MATCH($C27,Controls!$C$19:$C$23,0),0))*$Z27</f>
        <v>0</v>
      </c>
      <c r="AD27" s="67">
        <f t="shared" si="7"/>
        <v>96.788622811193122</v>
      </c>
      <c r="AE27" s="38"/>
      <c r="AH27" s="100" t="s">
        <v>246</v>
      </c>
      <c r="AI27" s="71"/>
      <c r="AJ27" s="101">
        <f>PERCENTILE($AJ$7:$AJ$23,0.25)</f>
        <v>0.78988986526524185</v>
      </c>
    </row>
    <row r="28" spans="1:36" x14ac:dyDescent="0.2">
      <c r="A28" s="13" t="s">
        <v>79</v>
      </c>
      <c r="B28" s="13" t="str">
        <f t="shared" si="0"/>
        <v>SVT</v>
      </c>
      <c r="C28" s="13">
        <v>2022</v>
      </c>
      <c r="D28" s="111">
        <f>EXP(Coeffs!$D$13+(Coeffs!$D$6*Drivers!D26)+(Coeffs!$D$7*Drivers!E26))</f>
        <v>17.952245171286982</v>
      </c>
      <c r="E28" s="66">
        <f>EXP(Coeffs!$E$13+(Coeffs!$E$6*Drivers!D26)+(Coeffs!$E$7*Drivers!E26)+(Coeffs!$E$8*Drivers!F26))</f>
        <v>17.281673146263291</v>
      </c>
      <c r="F28" s="66">
        <f>EXP(Coeffs!$F$13+(Coeffs!$F$9*Drivers!G26)+(Coeffs!$F$10*Drivers!H26))</f>
        <v>10.66448685804848</v>
      </c>
      <c r="G28" s="66">
        <f>EXP(Coeffs!$G$13+(Coeffs!$G$9*Drivers!G26)+(Coeffs!$G$11*Drivers!I26)+(Coeffs!$G$12*Drivers!J26))</f>
        <v>11.090342091209083</v>
      </c>
      <c r="H28" s="66">
        <f>EXP(Coeffs!$H$13+(Coeffs!$H$7*Drivers!E26)+(Coeffs!$H$9*Drivers!G26)+(Coeffs!$H$10*Drivers!H26))</f>
        <v>28.567646074147845</v>
      </c>
      <c r="I28" s="66">
        <f>EXP(Coeffs!$I$13+(Coeffs!$I$7*Drivers!E26)+(Coeffs!$I$8*Drivers!F26)+(Coeffs!$I$9*Drivers!G26)+(Coeffs!$I$10*Drivers!H26))</f>
        <v>26.573827476095666</v>
      </c>
      <c r="J28" s="66">
        <f>EXP(Coeffs!$J$13+(Coeffs!$J$7*Drivers!E26)+(Coeffs!$J$8*Drivers!F26)+(Coeffs!$J$9*Drivers!G26)+(Coeffs!$J$11*Drivers!I26)+(Coeffs!$J$12*Drivers!J26))</f>
        <v>26.07020037437772</v>
      </c>
      <c r="K28" s="38"/>
      <c r="L28" s="66">
        <f xml:space="preserve"> (D28 *Drivers!$L26 * 1000 / 1000000)</f>
        <v>75.504313916594057</v>
      </c>
      <c r="M28" s="66">
        <f xml:space="preserve"> (E28 *Drivers!$L26 * 1000 / 1000000)</f>
        <v>72.683993661495535</v>
      </c>
      <c r="N28" s="66">
        <f xml:space="preserve"> (F28 *Drivers!$L26 * 1000 / 1000000)</f>
        <v>44.853151001823072</v>
      </c>
      <c r="O28" s="66">
        <f xml:space="preserve"> (G28 *Drivers!$L26 * 1000 / 1000000)</f>
        <v>46.644230997711823</v>
      </c>
      <c r="P28" s="66">
        <f xml:space="preserve"> (H28 *Drivers!$L26 * 1000 / 1000000)</f>
        <v>120.15101712684454</v>
      </c>
      <c r="Q28" s="66">
        <f xml:space="preserve"> (I28 *Drivers!$L26 * 1000 / 1000000)</f>
        <v>111.76533032924813</v>
      </c>
      <c r="R28" s="66">
        <f xml:space="preserve"> (J28 *Drivers!$L26 * 1000 / 1000000)</f>
        <v>109.64715411105368</v>
      </c>
      <c r="S28" s="38"/>
      <c r="T28" s="66">
        <f t="shared" si="1"/>
        <v>74.094153789044796</v>
      </c>
      <c r="U28" s="66">
        <f t="shared" si="2"/>
        <v>45.748690999767447</v>
      </c>
      <c r="V28" s="53">
        <f t="shared" si="3"/>
        <v>113.85450052238211</v>
      </c>
      <c r="W28" s="38"/>
      <c r="X28" s="53">
        <f t="shared" si="4"/>
        <v>119.84284478881224</v>
      </c>
      <c r="Y28" s="53">
        <f t="shared" si="5"/>
        <v>113.85450052238211</v>
      </c>
      <c r="Z28" s="53">
        <f t="shared" si="6"/>
        <v>116.84867265559717</v>
      </c>
      <c r="AA28" s="38"/>
      <c r="AB28" s="53">
        <f>Controls!$F$17*Z28</f>
        <v>97.624546033219772</v>
      </c>
      <c r="AC28" s="53">
        <f>-(INDEX(Controls!$G$19:$G$23,MATCH($C28,Controls!$C$19:$C$23,0),0))*$Z28</f>
        <v>0</v>
      </c>
      <c r="AD28" s="67">
        <f t="shared" si="7"/>
        <v>97.624546033219772</v>
      </c>
      <c r="AE28" s="38"/>
    </row>
    <row r="29" spans="1:36" x14ac:dyDescent="0.2">
      <c r="A29" s="13" t="s">
        <v>80</v>
      </c>
      <c r="B29" s="13" t="str">
        <f t="shared" si="0"/>
        <v>SVT</v>
      </c>
      <c r="C29" s="13">
        <v>2023</v>
      </c>
      <c r="D29" s="111">
        <f>EXP(Coeffs!$D$13+(Coeffs!$D$6*Drivers!D27)+(Coeffs!$D$7*Drivers!E27))</f>
        <v>18.284073369810198</v>
      </c>
      <c r="E29" s="66">
        <f>EXP(Coeffs!$E$13+(Coeffs!$E$6*Drivers!D27)+(Coeffs!$E$7*Drivers!E27)+(Coeffs!$E$8*Drivers!F27))</f>
        <v>17.582604395313535</v>
      </c>
      <c r="F29" s="66">
        <f>EXP(Coeffs!$F$13+(Coeffs!$F$9*Drivers!G27)+(Coeffs!$F$10*Drivers!H27))</f>
        <v>10.343465782740463</v>
      </c>
      <c r="G29" s="66">
        <f>EXP(Coeffs!$G$13+(Coeffs!$G$9*Drivers!G27)+(Coeffs!$G$11*Drivers!I27)+(Coeffs!$G$12*Drivers!J27))</f>
        <v>10.760176285415199</v>
      </c>
      <c r="H29" s="66">
        <f>EXP(Coeffs!$H$13+(Coeffs!$H$7*Drivers!E27)+(Coeffs!$H$9*Drivers!G27)+(Coeffs!$H$10*Drivers!H27))</f>
        <v>28.447689390776553</v>
      </c>
      <c r="I29" s="66">
        <f>EXP(Coeffs!$I$13+(Coeffs!$I$7*Drivers!E27)+(Coeffs!$I$8*Drivers!F27)+(Coeffs!$I$9*Drivers!G27)+(Coeffs!$I$10*Drivers!H27))</f>
        <v>26.481762485948746</v>
      </c>
      <c r="J29" s="66">
        <f>EXP(Coeffs!$J$13+(Coeffs!$J$7*Drivers!E27)+(Coeffs!$J$8*Drivers!F27)+(Coeffs!$J$9*Drivers!G27)+(Coeffs!$J$11*Drivers!I27)+(Coeffs!$J$12*Drivers!J27))</f>
        <v>25.860174485077245</v>
      </c>
      <c r="K29" s="38"/>
      <c r="L29" s="66">
        <f xml:space="preserve"> (D29 *Drivers!$L27 * 1000 / 1000000)</f>
        <v>77.732488990723567</v>
      </c>
      <c r="M29" s="66">
        <f xml:space="preserve"> (E29 *Drivers!$L27 * 1000 / 1000000)</f>
        <v>74.750279926334855</v>
      </c>
      <c r="N29" s="66">
        <f xml:space="preserve"> (F29 *Drivers!$L27 * 1000 / 1000000)</f>
        <v>43.973972529029794</v>
      </c>
      <c r="O29" s="66">
        <f xml:space="preserve"> (G29 *Drivers!$L27 * 1000 / 1000000)</f>
        <v>45.745565975759611</v>
      </c>
      <c r="P29" s="66">
        <f xml:space="preserve"> (H29 *Drivers!$L27 * 1000 / 1000000)</f>
        <v>120.94185237909143</v>
      </c>
      <c r="Q29" s="66">
        <f xml:space="preserve"> (I29 *Drivers!$L27 * 1000 / 1000000)</f>
        <v>112.58395595222531</v>
      </c>
      <c r="R29" s="66">
        <f xml:space="preserve"> (J29 *Drivers!$L27 * 1000 / 1000000)</f>
        <v>109.94135102184423</v>
      </c>
      <c r="S29" s="38"/>
      <c r="T29" s="66">
        <f t="shared" si="1"/>
        <v>76.241384458529211</v>
      </c>
      <c r="U29" s="66">
        <f t="shared" si="2"/>
        <v>44.859769252394699</v>
      </c>
      <c r="V29" s="53">
        <f t="shared" si="3"/>
        <v>114.48905311772032</v>
      </c>
      <c r="W29" s="38"/>
      <c r="X29" s="53">
        <f t="shared" si="4"/>
        <v>121.10115371092391</v>
      </c>
      <c r="Y29" s="53">
        <f t="shared" si="5"/>
        <v>114.48905311772032</v>
      </c>
      <c r="Z29" s="53">
        <f t="shared" si="6"/>
        <v>117.79510341432211</v>
      </c>
      <c r="AA29" s="38"/>
      <c r="AB29" s="53">
        <f>Controls!$F$17*Z29</f>
        <v>98.415268521311063</v>
      </c>
      <c r="AC29" s="53">
        <f>-(INDEX(Controls!$G$19:$G$23,MATCH($C29,Controls!$C$19:$C$23,0),0))*$Z29</f>
        <v>0</v>
      </c>
      <c r="AD29" s="67">
        <f t="shared" si="7"/>
        <v>98.415268521311063</v>
      </c>
      <c r="AE29" s="38"/>
    </row>
    <row r="30" spans="1:36" x14ac:dyDescent="0.2">
      <c r="A30" s="13" t="s">
        <v>81</v>
      </c>
      <c r="B30" s="13" t="str">
        <f t="shared" si="0"/>
        <v>SVT</v>
      </c>
      <c r="C30" s="13">
        <v>2024</v>
      </c>
      <c r="D30" s="111">
        <f>EXP(Coeffs!$D$13+(Coeffs!$D$6*Drivers!D28)+(Coeffs!$D$7*Drivers!E28))</f>
        <v>18.611204031946276</v>
      </c>
      <c r="E30" s="66">
        <f>EXP(Coeffs!$E$13+(Coeffs!$E$6*Drivers!D28)+(Coeffs!$E$7*Drivers!E28)+(Coeffs!$E$8*Drivers!F28))</f>
        <v>17.878776852887494</v>
      </c>
      <c r="F30" s="66">
        <f>EXP(Coeffs!$F$13+(Coeffs!$F$9*Drivers!G28)+(Coeffs!$F$10*Drivers!H28))</f>
        <v>10.023645248740468</v>
      </c>
      <c r="G30" s="66">
        <f>EXP(Coeffs!$G$13+(Coeffs!$G$9*Drivers!G28)+(Coeffs!$G$11*Drivers!I28)+(Coeffs!$G$12*Drivers!J28))</f>
        <v>10.431131324966348</v>
      </c>
      <c r="H30" s="66">
        <f>EXP(Coeffs!$H$13+(Coeffs!$H$7*Drivers!E28)+(Coeffs!$H$9*Drivers!G28)+(Coeffs!$H$10*Drivers!H28))</f>
        <v>28.311011746281356</v>
      </c>
      <c r="I30" s="66">
        <f>EXP(Coeffs!$I$13+(Coeffs!$I$7*Drivers!E28)+(Coeffs!$I$8*Drivers!F28)+(Coeffs!$I$9*Drivers!G28)+(Coeffs!$I$10*Drivers!H28))</f>
        <v>26.370623174212092</v>
      </c>
      <c r="J30" s="66">
        <f>EXP(Coeffs!$J$13+(Coeffs!$J$7*Drivers!E28)+(Coeffs!$J$8*Drivers!F28)+(Coeffs!$J$9*Drivers!G28)+(Coeffs!$J$11*Drivers!I28)+(Coeffs!$J$12*Drivers!J28))</f>
        <v>25.633354742484652</v>
      </c>
      <c r="K30" s="38"/>
      <c r="L30" s="66">
        <f xml:space="preserve"> (D30 *Drivers!$L28 * 1000 / 1000000)</f>
        <v>79.970698494836711</v>
      </c>
      <c r="M30" s="66">
        <f xml:space="preserve"> (E30 *Drivers!$L28 * 1000 / 1000000)</f>
        <v>76.823523652983752</v>
      </c>
      <c r="N30" s="66">
        <f xml:space="preserve"> (F30 *Drivers!$L28 * 1000 / 1000000)</f>
        <v>43.070717543597802</v>
      </c>
      <c r="O30" s="66">
        <f xml:space="preserve"> (G30 *Drivers!$L28 * 1000 / 1000000)</f>
        <v>44.821649191371272</v>
      </c>
      <c r="P30" s="66">
        <f xml:space="preserve"> (H30 *Drivers!$L28 * 1000 / 1000000)</f>
        <v>121.64991478033261</v>
      </c>
      <c r="Q30" s="66">
        <f xml:space="preserve"> (I30 *Drivers!$L28 * 1000 / 1000000)</f>
        <v>113.31223661650074</v>
      </c>
      <c r="R30" s="66">
        <f xml:space="preserve"> (J30 *Drivers!$L28 * 1000 / 1000000)</f>
        <v>110.14425933989729</v>
      </c>
      <c r="S30" s="38"/>
      <c r="T30" s="66">
        <f t="shared" si="1"/>
        <v>78.397111073910224</v>
      </c>
      <c r="U30" s="66">
        <f t="shared" si="2"/>
        <v>43.946183367484537</v>
      </c>
      <c r="V30" s="53">
        <f t="shared" si="3"/>
        <v>115.03547024557687</v>
      </c>
      <c r="W30" s="38"/>
      <c r="X30" s="53">
        <f t="shared" si="4"/>
        <v>122.34329444139476</v>
      </c>
      <c r="Y30" s="53">
        <f t="shared" si="5"/>
        <v>115.03547024557687</v>
      </c>
      <c r="Z30" s="53">
        <f t="shared" si="6"/>
        <v>118.68938234348582</v>
      </c>
      <c r="AA30" s="38"/>
      <c r="AB30" s="53">
        <f>Controls!$F$17*Z30</f>
        <v>99.162419280515664</v>
      </c>
      <c r="AC30" s="53">
        <f>-(INDEX(Controls!$G$19:$G$23,MATCH($C30,Controls!$C$19:$C$23,0),0))*$Z30</f>
        <v>0</v>
      </c>
      <c r="AD30" s="67">
        <f t="shared" si="7"/>
        <v>99.162419280515664</v>
      </c>
      <c r="AE30" s="38"/>
    </row>
    <row r="31" spans="1:36" x14ac:dyDescent="0.2">
      <c r="A31" s="13" t="s">
        <v>82</v>
      </c>
      <c r="B31" s="13" t="str">
        <f t="shared" si="0"/>
        <v>SVT</v>
      </c>
      <c r="C31" s="13">
        <v>2025</v>
      </c>
      <c r="D31" s="111">
        <f>EXP(Coeffs!$D$13+(Coeffs!$D$6*Drivers!D29)+(Coeffs!$D$7*Drivers!E29))</f>
        <v>18.936237868849144</v>
      </c>
      <c r="E31" s="66">
        <f>EXP(Coeffs!$E$13+(Coeffs!$E$6*Drivers!D29)+(Coeffs!$E$7*Drivers!E29)+(Coeffs!$E$8*Drivers!F29))</f>
        <v>18.172631939569978</v>
      </c>
      <c r="F31" s="66">
        <f>EXP(Coeffs!$F$13+(Coeffs!$F$9*Drivers!G29)+(Coeffs!$F$10*Drivers!H29))</f>
        <v>9.7050541928329608</v>
      </c>
      <c r="G31" s="66">
        <f>EXP(Coeffs!$G$13+(Coeffs!$G$9*Drivers!G29)+(Coeffs!$G$11*Drivers!I29)+(Coeffs!$G$12*Drivers!J29))</f>
        <v>10.103234628792388</v>
      </c>
      <c r="H31" s="66">
        <f>EXP(Coeffs!$H$13+(Coeffs!$H$7*Drivers!E29)+(Coeffs!$H$9*Drivers!G29)+(Coeffs!$H$10*Drivers!H29))</f>
        <v>28.159372329449948</v>
      </c>
      <c r="I31" s="66">
        <f>EXP(Coeffs!$I$13+(Coeffs!$I$7*Drivers!E29)+(Coeffs!$I$8*Drivers!F29)+(Coeffs!$I$9*Drivers!G29)+(Coeffs!$I$10*Drivers!H29))</f>
        <v>26.242672097548059</v>
      </c>
      <c r="J31" s="66">
        <f>EXP(Coeffs!$J$13+(Coeffs!$J$7*Drivers!E29)+(Coeffs!$J$8*Drivers!F29)+(Coeffs!$J$9*Drivers!G29)+(Coeffs!$J$11*Drivers!I29)+(Coeffs!$J$12*Drivers!J29))</f>
        <v>25.391647015505725</v>
      </c>
      <c r="K31" s="38"/>
      <c r="L31" s="66">
        <f xml:space="preserve"> (D31 *Drivers!$L29 * 1000 / 1000000)</f>
        <v>82.229594175880038</v>
      </c>
      <c r="M31" s="66">
        <f xml:space="preserve"> (E31 *Drivers!$L29 * 1000 / 1000000)</f>
        <v>78.913676509984271</v>
      </c>
      <c r="N31" s="66">
        <f xml:space="preserve"> (F31 *Drivers!$L29 * 1000 / 1000000)</f>
        <v>42.14367570046155</v>
      </c>
      <c r="O31" s="66">
        <f xml:space="preserve"> (G31 *Drivers!$L29 * 1000 / 1000000)</f>
        <v>43.872752821507909</v>
      </c>
      <c r="P31" s="66">
        <f xml:space="preserve"> (H31 *Drivers!$L29 * 1000 / 1000000)</f>
        <v>122.28055936640506</v>
      </c>
      <c r="Q31" s="66">
        <f xml:space="preserve"> (I31 *Drivers!$L29 * 1000 / 1000000)</f>
        <v>113.95739172784359</v>
      </c>
      <c r="R31" s="66">
        <f xml:space="preserve"> (J31 *Drivers!$L29 * 1000 / 1000000)</f>
        <v>110.26186109422417</v>
      </c>
      <c r="S31" s="38"/>
      <c r="T31" s="66">
        <f t="shared" si="1"/>
        <v>80.571635342932154</v>
      </c>
      <c r="U31" s="66">
        <f t="shared" si="2"/>
        <v>43.00821426098473</v>
      </c>
      <c r="V31" s="53">
        <f t="shared" si="3"/>
        <v>115.49993739615761</v>
      </c>
      <c r="W31" s="38"/>
      <c r="X31" s="53">
        <f t="shared" si="4"/>
        <v>123.57984960391688</v>
      </c>
      <c r="Y31" s="53">
        <f t="shared" si="5"/>
        <v>115.49993739615761</v>
      </c>
      <c r="Z31" s="53">
        <f t="shared" si="6"/>
        <v>119.53989350003724</v>
      </c>
      <c r="AA31" s="38"/>
      <c r="AB31" s="53">
        <f>Controls!$F$17*Z31</f>
        <v>99.873003009603011</v>
      </c>
      <c r="AC31" s="53">
        <f>-(INDEX(Controls!$G$19:$G$23,MATCH($C31,Controls!$C$19:$C$23,0),0))*$Z31</f>
        <v>0</v>
      </c>
      <c r="AD31" s="67">
        <f t="shared" si="7"/>
        <v>99.873003009603011</v>
      </c>
      <c r="AE31" s="38"/>
      <c r="AG31" s="81"/>
    </row>
    <row r="32" spans="1:36" x14ac:dyDescent="0.2">
      <c r="A32" s="13" t="s">
        <v>83</v>
      </c>
      <c r="B32" s="13" t="str">
        <f t="shared" si="0"/>
        <v>SWB</v>
      </c>
      <c r="C32" s="13">
        <v>2021</v>
      </c>
      <c r="D32" s="111">
        <f>EXP(Coeffs!$D$13+(Coeffs!$D$6*Drivers!D30)+(Coeffs!$D$7*Drivers!E30))</f>
        <v>20.641674025154355</v>
      </c>
      <c r="E32" s="66">
        <f>EXP(Coeffs!$E$13+(Coeffs!$E$6*Drivers!D30)+(Coeffs!$E$7*Drivers!E30)+(Coeffs!$E$8*Drivers!F30))</f>
        <v>21.168287883786498</v>
      </c>
      <c r="F32" s="66">
        <f>EXP(Coeffs!$F$13+(Coeffs!$F$9*Drivers!G30)+(Coeffs!$F$10*Drivers!H30))</f>
        <v>12.826622781436029</v>
      </c>
      <c r="G32" s="66">
        <f>EXP(Coeffs!$G$13+(Coeffs!$G$9*Drivers!G30)+(Coeffs!$G$11*Drivers!I30)+(Coeffs!$G$12*Drivers!J30))</f>
        <v>14.378300939115331</v>
      </c>
      <c r="H32" s="66">
        <f>EXP(Coeffs!$H$13+(Coeffs!$H$7*Drivers!E30)+(Coeffs!$H$9*Drivers!G30)+(Coeffs!$H$10*Drivers!H30))</f>
        <v>33.725183131247839</v>
      </c>
      <c r="I32" s="66">
        <f>EXP(Coeffs!$I$13+(Coeffs!$I$7*Drivers!E30)+(Coeffs!$I$8*Drivers!F30)+(Coeffs!$I$9*Drivers!G30)+(Coeffs!$I$10*Drivers!H30))</f>
        <v>34.277797158492476</v>
      </c>
      <c r="J32" s="66">
        <f>EXP(Coeffs!$J$13+(Coeffs!$J$7*Drivers!E30)+(Coeffs!$J$8*Drivers!F30)+(Coeffs!$J$9*Drivers!G30)+(Coeffs!$J$11*Drivers!I30)+(Coeffs!$J$12*Drivers!J30))</f>
        <v>34.410951377625238</v>
      </c>
      <c r="K32" s="38"/>
      <c r="L32" s="66">
        <f xml:space="preserve"> (D32 *Drivers!$L30 * 1000 / 1000000)</f>
        <v>20.04676033807538</v>
      </c>
      <c r="M32" s="66">
        <f xml:space="preserve"> (E32 *Drivers!$L30 * 1000 / 1000000)</f>
        <v>20.558196658687891</v>
      </c>
      <c r="N32" s="66">
        <f xml:space="preserve"> (F32 *Drivers!$L30 * 1000 / 1000000)</f>
        <v>12.456946686252261</v>
      </c>
      <c r="O32" s="66">
        <f xml:space="preserve"> (G32 *Drivers!$L30 * 1000 / 1000000)</f>
        <v>13.963903927749087</v>
      </c>
      <c r="P32" s="66">
        <f xml:space="preserve"> (H32 *Drivers!$L30 * 1000 / 1000000)</f>
        <v>32.753189628222138</v>
      </c>
      <c r="Q32" s="66">
        <f xml:space="preserve"> (I32 *Drivers!$L30 * 1000 / 1000000)</f>
        <v>33.289876766587561</v>
      </c>
      <c r="R32" s="66">
        <f xml:space="preserve"> (J32 *Drivers!$L30 * 1000 / 1000000)</f>
        <v>33.419193347970705</v>
      </c>
      <c r="S32" s="38"/>
      <c r="T32" s="66">
        <f t="shared" si="1"/>
        <v>20.302478498381635</v>
      </c>
      <c r="U32" s="66">
        <f t="shared" si="2"/>
        <v>13.210425307000673</v>
      </c>
      <c r="V32" s="53">
        <f t="shared" si="3"/>
        <v>33.154086580926801</v>
      </c>
      <c r="W32" s="38"/>
      <c r="X32" s="53">
        <f t="shared" si="4"/>
        <v>33.512903805382308</v>
      </c>
      <c r="Y32" s="53">
        <f t="shared" si="5"/>
        <v>33.154086580926801</v>
      </c>
      <c r="Z32" s="53">
        <f t="shared" si="6"/>
        <v>33.333495193154555</v>
      </c>
      <c r="AA32" s="38"/>
      <c r="AB32" s="53">
        <f>Controls!$F$17*Z32</f>
        <v>27.849416360283737</v>
      </c>
      <c r="AC32" s="53">
        <f>-(INDEX(Controls!$G$19:$G$23,MATCH($C32,Controls!$C$19:$C$23,0),0))*$Z32</f>
        <v>0</v>
      </c>
      <c r="AD32" s="67">
        <f t="shared" si="7"/>
        <v>27.849416360283737</v>
      </c>
      <c r="AE32" s="38"/>
      <c r="AG32" s="81"/>
    </row>
    <row r="33" spans="1:33" x14ac:dyDescent="0.2">
      <c r="A33" s="13" t="s">
        <v>84</v>
      </c>
      <c r="B33" s="13" t="str">
        <f t="shared" si="0"/>
        <v>SWB</v>
      </c>
      <c r="C33" s="13">
        <v>2022</v>
      </c>
      <c r="D33" s="111">
        <f>EXP(Coeffs!$D$13+(Coeffs!$D$6*Drivers!D31)+(Coeffs!$D$7*Drivers!E31))</f>
        <v>20.739248460003534</v>
      </c>
      <c r="E33" s="66">
        <f>EXP(Coeffs!$E$13+(Coeffs!$E$6*Drivers!D31)+(Coeffs!$E$7*Drivers!E31)+(Coeffs!$E$8*Drivers!F31))</f>
        <v>21.252985514124092</v>
      </c>
      <c r="F33" s="66">
        <f>EXP(Coeffs!$F$13+(Coeffs!$F$9*Drivers!G31)+(Coeffs!$F$10*Drivers!H31))</f>
        <v>12.657850080298726</v>
      </c>
      <c r="G33" s="66">
        <f>EXP(Coeffs!$G$13+(Coeffs!$G$9*Drivers!G31)+(Coeffs!$G$11*Drivers!I31)+(Coeffs!$G$12*Drivers!J31))</f>
        <v>14.191211489350103</v>
      </c>
      <c r="H33" s="66">
        <f>EXP(Coeffs!$H$13+(Coeffs!$H$7*Drivers!E31)+(Coeffs!$H$9*Drivers!G31)+(Coeffs!$H$10*Drivers!H31))</f>
        <v>33.614714543813591</v>
      </c>
      <c r="I33" s="66">
        <f>EXP(Coeffs!$I$13+(Coeffs!$I$7*Drivers!E31)+(Coeffs!$I$8*Drivers!F31)+(Coeffs!$I$9*Drivers!G31)+(Coeffs!$I$10*Drivers!H31))</f>
        <v>34.142766330104834</v>
      </c>
      <c r="J33" s="66">
        <f>EXP(Coeffs!$J$13+(Coeffs!$J$7*Drivers!E31)+(Coeffs!$J$8*Drivers!F31)+(Coeffs!$J$9*Drivers!G31)+(Coeffs!$J$11*Drivers!I31)+(Coeffs!$J$12*Drivers!J31))</f>
        <v>34.201978815756874</v>
      </c>
      <c r="K33" s="38"/>
      <c r="L33" s="66">
        <f xml:space="preserve"> (D33 *Drivers!$L31 * 1000 / 1000000)</f>
        <v>20.391845309050016</v>
      </c>
      <c r="M33" s="66">
        <f xml:space="preserve"> (E33 *Drivers!$L31 * 1000 / 1000000)</f>
        <v>20.896976753776997</v>
      </c>
      <c r="N33" s="66">
        <f xml:space="preserve"> (F33 *Drivers!$L31 * 1000 / 1000000)</f>
        <v>12.445818433603643</v>
      </c>
      <c r="O33" s="66">
        <f xml:space="preserve"> (G33 *Drivers!$L31 * 1000 / 1000000)</f>
        <v>13.953494505691999</v>
      </c>
      <c r="P33" s="66">
        <f xml:space="preserve"> (H33 *Drivers!$L31 * 1000 / 1000000)</f>
        <v>33.05163446049017</v>
      </c>
      <c r="Q33" s="66">
        <f xml:space="preserve"> (I33 *Drivers!$L31 * 1000 / 1000000)</f>
        <v>33.570840851309249</v>
      </c>
      <c r="R33" s="66">
        <f xml:space="preserve"> (J33 *Drivers!$L31 * 1000 / 1000000)</f>
        <v>33.629061468614132</v>
      </c>
      <c r="S33" s="38"/>
      <c r="T33" s="66">
        <f t="shared" si="1"/>
        <v>20.644411031413505</v>
      </c>
      <c r="U33" s="66">
        <f t="shared" si="2"/>
        <v>13.19965646964782</v>
      </c>
      <c r="V33" s="53">
        <f t="shared" si="3"/>
        <v>33.417178926804517</v>
      </c>
      <c r="W33" s="38"/>
      <c r="X33" s="53">
        <f t="shared" si="4"/>
        <v>33.844067501061325</v>
      </c>
      <c r="Y33" s="53">
        <f t="shared" si="5"/>
        <v>33.417178926804517</v>
      </c>
      <c r="Z33" s="53">
        <f t="shared" si="6"/>
        <v>33.630623213932921</v>
      </c>
      <c r="AA33" s="38"/>
      <c r="AB33" s="53">
        <f>Controls!$F$17*Z33</f>
        <v>28.097660413750507</v>
      </c>
      <c r="AC33" s="53">
        <f>-(INDEX(Controls!$G$19:$G$23,MATCH($C33,Controls!$C$19:$C$23,0),0))*$Z33</f>
        <v>0</v>
      </c>
      <c r="AD33" s="67">
        <f t="shared" si="7"/>
        <v>28.097660413750507</v>
      </c>
      <c r="AE33" s="38"/>
      <c r="AG33" s="81"/>
    </row>
    <row r="34" spans="1:33" x14ac:dyDescent="0.2">
      <c r="A34" s="13" t="s">
        <v>85</v>
      </c>
      <c r="B34" s="13" t="str">
        <f t="shared" si="0"/>
        <v>SWB</v>
      </c>
      <c r="C34" s="13">
        <v>2023</v>
      </c>
      <c r="D34" s="111">
        <f>EXP(Coeffs!$D$13+(Coeffs!$D$6*Drivers!D32)+(Coeffs!$D$7*Drivers!E32))</f>
        <v>20.833844937983255</v>
      </c>
      <c r="E34" s="66">
        <f>EXP(Coeffs!$E$13+(Coeffs!$E$6*Drivers!D32)+(Coeffs!$E$7*Drivers!E32)+(Coeffs!$E$8*Drivers!F32))</f>
        <v>21.338053927677759</v>
      </c>
      <c r="F34" s="66">
        <f>EXP(Coeffs!$F$13+(Coeffs!$F$9*Drivers!G32)+(Coeffs!$F$10*Drivers!H32))</f>
        <v>12.363399568522428</v>
      </c>
      <c r="G34" s="66">
        <f>EXP(Coeffs!$G$13+(Coeffs!$G$9*Drivers!G32)+(Coeffs!$G$11*Drivers!I32)+(Coeffs!$G$12*Drivers!J32))</f>
        <v>13.864737558253147</v>
      </c>
      <c r="H34" s="66">
        <f>EXP(Coeffs!$H$13+(Coeffs!$H$7*Drivers!E32)+(Coeffs!$H$9*Drivers!G32)+(Coeffs!$H$10*Drivers!H32))</f>
        <v>33.361450565212614</v>
      </c>
      <c r="I34" s="66">
        <f>EXP(Coeffs!$I$13+(Coeffs!$I$7*Drivers!E32)+(Coeffs!$I$8*Drivers!F32)+(Coeffs!$I$9*Drivers!G32)+(Coeffs!$I$10*Drivers!H32))</f>
        <v>33.852049999001323</v>
      </c>
      <c r="J34" s="66">
        <f>EXP(Coeffs!$J$13+(Coeffs!$J$7*Drivers!E32)+(Coeffs!$J$8*Drivers!F32)+(Coeffs!$J$9*Drivers!G32)+(Coeffs!$J$11*Drivers!I32)+(Coeffs!$J$12*Drivers!J32))</f>
        <v>33.823384016035675</v>
      </c>
      <c r="K34" s="38"/>
      <c r="L34" s="66">
        <f xml:space="preserve"> (D34 *Drivers!$L32 * 1000 / 1000000)</f>
        <v>20.668507544555418</v>
      </c>
      <c r="M34" s="66">
        <f xml:space="preserve"> (E34 *Drivers!$L32 * 1000 / 1000000)</f>
        <v>21.16871513170771</v>
      </c>
      <c r="N34" s="66">
        <f xml:space="preserve"> (F34 *Drivers!$L32 * 1000 / 1000000)</f>
        <v>12.265283629546634</v>
      </c>
      <c r="O34" s="66">
        <f xml:space="preserve"> (G34 *Drivers!$L32 * 1000 / 1000000)</f>
        <v>13.75470700099085</v>
      </c>
      <c r="P34" s="66">
        <f xml:space="preserve"> (H34 *Drivers!$L32 * 1000 / 1000000)</f>
        <v>33.096694093527084</v>
      </c>
      <c r="Q34" s="66">
        <f xml:space="preserve"> (I34 *Drivers!$L32 * 1000 / 1000000)</f>
        <v>33.583400130209249</v>
      </c>
      <c r="R34" s="66">
        <f xml:space="preserve"> (J34 *Drivers!$L32 * 1000 / 1000000)</f>
        <v>33.554961640484414</v>
      </c>
      <c r="S34" s="38"/>
      <c r="T34" s="66">
        <f t="shared" si="1"/>
        <v>20.918611338131562</v>
      </c>
      <c r="U34" s="66">
        <f t="shared" si="2"/>
        <v>13.009995315268743</v>
      </c>
      <c r="V34" s="53">
        <f t="shared" si="3"/>
        <v>33.411685288073585</v>
      </c>
      <c r="W34" s="38"/>
      <c r="X34" s="53">
        <f t="shared" si="4"/>
        <v>33.928606653400308</v>
      </c>
      <c r="Y34" s="53">
        <f t="shared" si="5"/>
        <v>33.411685288073585</v>
      </c>
      <c r="Z34" s="53">
        <f t="shared" si="6"/>
        <v>33.670145970736947</v>
      </c>
      <c r="AA34" s="38"/>
      <c r="AB34" s="53">
        <f>Controls!$F$17*Z34</f>
        <v>28.130680824708417</v>
      </c>
      <c r="AC34" s="53">
        <f>-(INDEX(Controls!$G$19:$G$23,MATCH($C34,Controls!$C$19:$C$23,0),0))*$Z34</f>
        <v>0</v>
      </c>
      <c r="AD34" s="67">
        <f t="shared" si="7"/>
        <v>28.130680824708417</v>
      </c>
      <c r="AE34" s="38"/>
      <c r="AG34" s="81"/>
    </row>
    <row r="35" spans="1:33" x14ac:dyDescent="0.2">
      <c r="A35" s="13" t="s">
        <v>86</v>
      </c>
      <c r="B35" s="13" t="str">
        <f t="shared" si="0"/>
        <v>SWB</v>
      </c>
      <c r="C35" s="13">
        <v>2024</v>
      </c>
      <c r="D35" s="111">
        <f>EXP(Coeffs!$D$13+(Coeffs!$D$6*Drivers!D33)+(Coeffs!$D$7*Drivers!E33))</f>
        <v>20.919076471922505</v>
      </c>
      <c r="E35" s="66">
        <f>EXP(Coeffs!$E$13+(Coeffs!$E$6*Drivers!D33)+(Coeffs!$E$7*Drivers!E33)+(Coeffs!$E$8*Drivers!F33))</f>
        <v>21.413666947032542</v>
      </c>
      <c r="F35" s="66">
        <f>EXP(Coeffs!$F$13+(Coeffs!$F$9*Drivers!G33)+(Coeffs!$F$10*Drivers!H33))</f>
        <v>12.11734373755368</v>
      </c>
      <c r="G35" s="66">
        <f>EXP(Coeffs!$G$13+(Coeffs!$G$9*Drivers!G33)+(Coeffs!$G$11*Drivers!I33)+(Coeffs!$G$12*Drivers!J33))</f>
        <v>13.591854982027494</v>
      </c>
      <c r="H35" s="66">
        <f>EXP(Coeffs!$H$13+(Coeffs!$H$7*Drivers!E33)+(Coeffs!$H$9*Drivers!G33)+(Coeffs!$H$10*Drivers!H33))</f>
        <v>33.149590748281888</v>
      </c>
      <c r="I35" s="66">
        <f>EXP(Coeffs!$I$13+(Coeffs!$I$7*Drivers!E33)+(Coeffs!$I$8*Drivers!F33)+(Coeffs!$I$9*Drivers!G33)+(Coeffs!$I$10*Drivers!H33))</f>
        <v>33.606902943591471</v>
      </c>
      <c r="J35" s="66">
        <f>EXP(Coeffs!$J$13+(Coeffs!$J$7*Drivers!E33)+(Coeffs!$J$8*Drivers!F33)+(Coeffs!$J$9*Drivers!G33)+(Coeffs!$J$11*Drivers!I33)+(Coeffs!$J$12*Drivers!J33))</f>
        <v>33.500944126837176</v>
      </c>
      <c r="K35" s="38"/>
      <c r="L35" s="66">
        <f xml:space="preserve"> (D35 *Drivers!$L33 * 1000 / 1000000)</f>
        <v>20.940476687153279</v>
      </c>
      <c r="M35" s="66">
        <f xml:space="preserve"> (E35 *Drivers!$L33 * 1000 / 1000000)</f>
        <v>21.435573128319355</v>
      </c>
      <c r="N35" s="66">
        <f xml:space="preserve"> (F35 *Drivers!$L33 * 1000 / 1000000)</f>
        <v>12.129739780197198</v>
      </c>
      <c r="O35" s="66">
        <f xml:space="preserve"> (G35 *Drivers!$L33 * 1000 / 1000000)</f>
        <v>13.605759449674107</v>
      </c>
      <c r="P35" s="66">
        <f xml:space="preserve"> (H35 *Drivers!$L33 * 1000 / 1000000)</f>
        <v>33.183502779617378</v>
      </c>
      <c r="Q35" s="66">
        <f xml:space="preserve"> (I35 *Drivers!$L33 * 1000 / 1000000)</f>
        <v>33.641282805302772</v>
      </c>
      <c r="R35" s="66">
        <f xml:space="preserve"> (J35 *Drivers!$L33 * 1000 / 1000000)</f>
        <v>33.535215592678931</v>
      </c>
      <c r="S35" s="38"/>
      <c r="T35" s="66">
        <f t="shared" si="1"/>
        <v>21.188024907736317</v>
      </c>
      <c r="U35" s="66">
        <f t="shared" si="2"/>
        <v>12.867749614935653</v>
      </c>
      <c r="V35" s="53">
        <f t="shared" si="3"/>
        <v>33.453333725866358</v>
      </c>
      <c r="W35" s="38"/>
      <c r="X35" s="53">
        <f t="shared" si="4"/>
        <v>34.055774522671967</v>
      </c>
      <c r="Y35" s="53">
        <f t="shared" si="5"/>
        <v>33.453333725866358</v>
      </c>
      <c r="Z35" s="53">
        <f t="shared" si="6"/>
        <v>33.754554124269163</v>
      </c>
      <c r="AA35" s="38"/>
      <c r="AB35" s="53">
        <f>Controls!$F$17*Z35</f>
        <v>28.201202016629637</v>
      </c>
      <c r="AC35" s="53">
        <f>-(INDEX(Controls!$G$19:$G$23,MATCH($C35,Controls!$C$19:$C$23,0),0))*$Z35</f>
        <v>0</v>
      </c>
      <c r="AD35" s="67">
        <f t="shared" si="7"/>
        <v>28.201202016629637</v>
      </c>
      <c r="AE35" s="38"/>
      <c r="AG35" s="81"/>
    </row>
    <row r="36" spans="1:33" x14ac:dyDescent="0.2">
      <c r="A36" s="13" t="s">
        <v>87</v>
      </c>
      <c r="B36" s="13" t="str">
        <f t="shared" si="0"/>
        <v>SWB</v>
      </c>
      <c r="C36" s="13">
        <v>2025</v>
      </c>
      <c r="D36" s="111">
        <f>EXP(Coeffs!$D$13+(Coeffs!$D$6*Drivers!D34)+(Coeffs!$D$7*Drivers!E34))</f>
        <v>20.99532297455432</v>
      </c>
      <c r="E36" s="66">
        <f>EXP(Coeffs!$E$13+(Coeffs!$E$6*Drivers!D34)+(Coeffs!$E$7*Drivers!E34)+(Coeffs!$E$8*Drivers!F34))</f>
        <v>21.480582086994914</v>
      </c>
      <c r="F36" s="66">
        <f>EXP(Coeffs!$F$13+(Coeffs!$F$9*Drivers!G34)+(Coeffs!$F$10*Drivers!H34))</f>
        <v>11.839713884451822</v>
      </c>
      <c r="G36" s="66">
        <f>EXP(Coeffs!$G$13+(Coeffs!$G$9*Drivers!G34)+(Coeffs!$G$11*Drivers!I34)+(Coeffs!$G$12*Drivers!J34))</f>
        <v>13.283881534842864</v>
      </c>
      <c r="H36" s="66">
        <f>EXP(Coeffs!$H$13+(Coeffs!$H$7*Drivers!E34)+(Coeffs!$H$9*Drivers!G34)+(Coeffs!$H$10*Drivers!H34))</f>
        <v>32.89107261905643</v>
      </c>
      <c r="I36" s="66">
        <f>EXP(Coeffs!$I$13+(Coeffs!$I$7*Drivers!E34)+(Coeffs!$I$8*Drivers!F34)+(Coeffs!$I$9*Drivers!G34)+(Coeffs!$I$10*Drivers!H34))</f>
        <v>33.308115051985943</v>
      </c>
      <c r="J36" s="66">
        <f>EXP(Coeffs!$J$13+(Coeffs!$J$7*Drivers!E34)+(Coeffs!$J$8*Drivers!F34)+(Coeffs!$J$9*Drivers!G34)+(Coeffs!$J$11*Drivers!I34)+(Coeffs!$J$12*Drivers!J34))</f>
        <v>33.122020551850582</v>
      </c>
      <c r="K36" s="38"/>
      <c r="L36" s="66">
        <f xml:space="preserve"> (D36 *Drivers!$L34 * 1000 / 1000000)</f>
        <v>21.200321308077868</v>
      </c>
      <c r="M36" s="66">
        <f xml:space="preserve"> (E36 *Drivers!$L34 * 1000 / 1000000)</f>
        <v>21.690318490492334</v>
      </c>
      <c r="N36" s="66">
        <f xml:space="preserve"> (F36 *Drivers!$L34 * 1000 / 1000000)</f>
        <v>11.955316850819608</v>
      </c>
      <c r="O36" s="66">
        <f xml:space="preserve"> (G36 *Drivers!$L34 * 1000 / 1000000)</f>
        <v>13.41358535414907</v>
      </c>
      <c r="P36" s="66">
        <f xml:space="preserve"> (H36 *Drivers!$L34 * 1000 / 1000000)</f>
        <v>33.212221052108902</v>
      </c>
      <c r="Q36" s="66">
        <f xml:space="preserve"> (I36 *Drivers!$L34 * 1000 / 1000000)</f>
        <v>33.633335487353534</v>
      </c>
      <c r="R36" s="66">
        <f xml:space="preserve"> (J36 *Drivers!$L34 * 1000 / 1000000)</f>
        <v>33.445423960518845</v>
      </c>
      <c r="S36" s="38"/>
      <c r="T36" s="66">
        <f t="shared" si="1"/>
        <v>21.445319899285103</v>
      </c>
      <c r="U36" s="66">
        <f t="shared" si="2"/>
        <v>12.684451102484338</v>
      </c>
      <c r="V36" s="53">
        <f t="shared" si="3"/>
        <v>33.430326833327086</v>
      </c>
      <c r="W36" s="38"/>
      <c r="X36" s="53">
        <f t="shared" si="4"/>
        <v>34.129771001769441</v>
      </c>
      <c r="Y36" s="53">
        <f t="shared" si="5"/>
        <v>33.430326833327086</v>
      </c>
      <c r="Z36" s="53">
        <f t="shared" si="6"/>
        <v>33.780048917548264</v>
      </c>
      <c r="AA36" s="38"/>
      <c r="AB36" s="53">
        <f>Controls!$F$17*Z36</f>
        <v>28.222502366590984</v>
      </c>
      <c r="AC36" s="53">
        <f>-(INDEX(Controls!$G$19:$G$23,MATCH($C36,Controls!$C$19:$C$23,0),0))*$Z36</f>
        <v>0</v>
      </c>
      <c r="AD36" s="67">
        <f t="shared" si="7"/>
        <v>28.222502366590984</v>
      </c>
      <c r="AE36" s="38"/>
      <c r="AG36" s="81"/>
    </row>
    <row r="37" spans="1:33" x14ac:dyDescent="0.2">
      <c r="A37" s="13" t="s">
        <v>88</v>
      </c>
      <c r="B37" s="13" t="str">
        <f t="shared" si="0"/>
        <v>TMS</v>
      </c>
      <c r="C37" s="13">
        <v>2021</v>
      </c>
      <c r="D37" s="111">
        <f>EXP(Coeffs!$D$13+(Coeffs!$D$6*Drivers!D35)+(Coeffs!$D$7*Drivers!E35))</f>
        <v>17.596055984577529</v>
      </c>
      <c r="E37" s="66">
        <f>EXP(Coeffs!$E$13+(Coeffs!$E$6*Drivers!D35)+(Coeffs!$E$7*Drivers!E35)+(Coeffs!$E$8*Drivers!F35))</f>
        <v>16.55602476044238</v>
      </c>
      <c r="F37" s="66">
        <f>EXP(Coeffs!$F$13+(Coeffs!$F$9*Drivers!G35)+(Coeffs!$F$10*Drivers!H35))</f>
        <v>13.514875893562236</v>
      </c>
      <c r="G37" s="66">
        <f>EXP(Coeffs!$G$13+(Coeffs!$G$9*Drivers!G35)+(Coeffs!$G$11*Drivers!I35)+(Coeffs!$G$12*Drivers!J35))</f>
        <v>14.02842549889081</v>
      </c>
      <c r="H37" s="66">
        <f>EXP(Coeffs!$H$13+(Coeffs!$H$7*Drivers!E35)+(Coeffs!$H$9*Drivers!G35)+(Coeffs!$H$10*Drivers!H35))</f>
        <v>31.14361322430047</v>
      </c>
      <c r="I37" s="66">
        <f>EXP(Coeffs!$I$13+(Coeffs!$I$7*Drivers!E35)+(Coeffs!$I$8*Drivers!F35)+(Coeffs!$I$9*Drivers!G35)+(Coeffs!$I$10*Drivers!H35))</f>
        <v>29.137749724995363</v>
      </c>
      <c r="J37" s="66">
        <f>EXP(Coeffs!$J$13+(Coeffs!$J$7*Drivers!E35)+(Coeffs!$J$8*Drivers!F35)+(Coeffs!$J$9*Drivers!G35)+(Coeffs!$J$11*Drivers!I35)+(Coeffs!$J$12*Drivers!J35))</f>
        <v>32.616822208336693</v>
      </c>
      <c r="K37" s="38"/>
      <c r="L37" s="66">
        <f xml:space="preserve"> (D37 *Drivers!$L35 * 1000 / 1000000)</f>
        <v>98.063576632457895</v>
      </c>
      <c r="M37" s="66">
        <f xml:space="preserve"> (E37 *Drivers!$L35 * 1000 / 1000000)</f>
        <v>92.267437899010076</v>
      </c>
      <c r="N37" s="66">
        <f xml:space="preserve"> (F37 *Drivers!$L35 * 1000 / 1000000)</f>
        <v>75.318984494485761</v>
      </c>
      <c r="O37" s="66">
        <f xml:space="preserve"> (G37 *Drivers!$L35 * 1000 / 1000000)</f>
        <v>78.181018527614924</v>
      </c>
      <c r="P37" s="66">
        <f xml:space="preserve"> (H37 *Drivers!$L35 * 1000 / 1000000)</f>
        <v>173.56469567439518</v>
      </c>
      <c r="Q37" s="66">
        <f xml:space="preserve"> (I37 *Drivers!$L35 * 1000 / 1000000)</f>
        <v>162.38593214063735</v>
      </c>
      <c r="R37" s="66">
        <f xml:space="preserve"> (J37 *Drivers!$L35 * 1000 / 1000000)</f>
        <v>181.77495269041535</v>
      </c>
      <c r="S37" s="38"/>
      <c r="T37" s="66">
        <f t="shared" si="1"/>
        <v>95.165507265733993</v>
      </c>
      <c r="U37" s="66">
        <f t="shared" si="2"/>
        <v>76.750001511050343</v>
      </c>
      <c r="V37" s="53">
        <f t="shared" si="3"/>
        <v>172.57519350181596</v>
      </c>
      <c r="W37" s="38"/>
      <c r="X37" s="53">
        <f t="shared" si="4"/>
        <v>171.91550877678435</v>
      </c>
      <c r="Y37" s="53">
        <f t="shared" si="5"/>
        <v>172.57519350181596</v>
      </c>
      <c r="Z37" s="53">
        <f t="shared" si="6"/>
        <v>172.24535113930017</v>
      </c>
      <c r="AA37" s="38"/>
      <c r="AB37" s="53">
        <f>Controls!$F$17*Z37</f>
        <v>143.90727621586927</v>
      </c>
      <c r="AC37" s="53">
        <f>-(INDEX(Controls!$G$19:$G$23,MATCH($C37,Controls!$C$19:$C$23,0),0))*$Z37</f>
        <v>0</v>
      </c>
      <c r="AD37" s="67">
        <f t="shared" si="7"/>
        <v>143.90727621586927</v>
      </c>
      <c r="AE37" s="38"/>
      <c r="AG37" s="81"/>
    </row>
    <row r="38" spans="1:33" x14ac:dyDescent="0.2">
      <c r="A38" s="13" t="s">
        <v>89</v>
      </c>
      <c r="B38" s="13" t="str">
        <f t="shared" si="0"/>
        <v>TMS</v>
      </c>
      <c r="C38" s="13">
        <v>2022</v>
      </c>
      <c r="D38" s="111">
        <f>EXP(Coeffs!$D$13+(Coeffs!$D$6*Drivers!D36)+(Coeffs!$D$7*Drivers!E36))</f>
        <v>17.75464499259358</v>
      </c>
      <c r="E38" s="66">
        <f>EXP(Coeffs!$E$13+(Coeffs!$E$6*Drivers!D36)+(Coeffs!$E$7*Drivers!E36)+(Coeffs!$E$8*Drivers!F36))</f>
        <v>16.690538124699572</v>
      </c>
      <c r="F38" s="66">
        <f>EXP(Coeffs!$F$13+(Coeffs!$F$9*Drivers!G36)+(Coeffs!$F$10*Drivers!H36))</f>
        <v>13.766629845200029</v>
      </c>
      <c r="G38" s="66">
        <f>EXP(Coeffs!$G$13+(Coeffs!$G$9*Drivers!G36)+(Coeffs!$G$11*Drivers!I36)+(Coeffs!$G$12*Drivers!J36))</f>
        <v>14.286799032572889</v>
      </c>
      <c r="H38" s="66">
        <f>EXP(Coeffs!$H$13+(Coeffs!$H$7*Drivers!E36)+(Coeffs!$H$9*Drivers!G36)+(Coeffs!$H$10*Drivers!H36))</f>
        <v>31.507123373810803</v>
      </c>
      <c r="I38" s="66">
        <f>EXP(Coeffs!$I$13+(Coeffs!$I$7*Drivers!E36)+(Coeffs!$I$8*Drivers!F36)+(Coeffs!$I$9*Drivers!G36)+(Coeffs!$I$10*Drivers!H36))</f>
        <v>29.523031034217755</v>
      </c>
      <c r="J38" s="66">
        <f>EXP(Coeffs!$J$13+(Coeffs!$J$7*Drivers!E36)+(Coeffs!$J$8*Drivers!F36)+(Coeffs!$J$9*Drivers!G36)+(Coeffs!$J$11*Drivers!I36)+(Coeffs!$J$12*Drivers!J36))</f>
        <v>33.029068661939597</v>
      </c>
      <c r="K38" s="38"/>
      <c r="L38" s="66">
        <f xml:space="preserve"> (D38 *Drivers!$L36 * 1000 / 1000000)</f>
        <v>100.24377315223792</v>
      </c>
      <c r="M38" s="66">
        <f xml:space="preserve"> (E38 *Drivers!$L36 * 1000 / 1000000)</f>
        <v>94.235762993803149</v>
      </c>
      <c r="N38" s="66">
        <f xml:space="preserve"> (F38 *Drivers!$L36 * 1000 / 1000000)</f>
        <v>77.727204337160231</v>
      </c>
      <c r="O38" s="66">
        <f xml:space="preserve"> (G38 *Drivers!$L36 * 1000 / 1000000)</f>
        <v>80.664110259049465</v>
      </c>
      <c r="P38" s="66">
        <f xml:space="preserve"> (H38 *Drivers!$L36 * 1000 / 1000000)</f>
        <v>177.89107748881486</v>
      </c>
      <c r="Q38" s="66">
        <f xml:space="preserve"> (I38 *Drivers!$L36 * 1000 / 1000000)</f>
        <v>166.68877507802446</v>
      </c>
      <c r="R38" s="66">
        <f xml:space="preserve"> (J38 *Drivers!$L36 * 1000 / 1000000)</f>
        <v>186.484070380362</v>
      </c>
      <c r="S38" s="38"/>
      <c r="T38" s="66">
        <f t="shared" si="1"/>
        <v>97.239768073020542</v>
      </c>
      <c r="U38" s="66">
        <f t="shared" si="2"/>
        <v>79.195657298104848</v>
      </c>
      <c r="V38" s="53">
        <f t="shared" si="3"/>
        <v>177.0213076490671</v>
      </c>
      <c r="W38" s="38"/>
      <c r="X38" s="53">
        <f t="shared" si="4"/>
        <v>176.4354253711254</v>
      </c>
      <c r="Y38" s="53">
        <f t="shared" si="5"/>
        <v>177.0213076490671</v>
      </c>
      <c r="Z38" s="53">
        <f t="shared" si="6"/>
        <v>176.72836651009624</v>
      </c>
      <c r="AA38" s="38"/>
      <c r="AB38" s="53">
        <f>Controls!$F$17*Z38</f>
        <v>147.65273887699732</v>
      </c>
      <c r="AC38" s="53">
        <f>-(INDEX(Controls!$G$19:$G$23,MATCH($C38,Controls!$C$19:$C$23,0),0))*$Z38</f>
        <v>0</v>
      </c>
      <c r="AD38" s="67">
        <f t="shared" si="7"/>
        <v>147.65273887699732</v>
      </c>
      <c r="AE38" s="38"/>
      <c r="AG38" s="81"/>
    </row>
    <row r="39" spans="1:33" x14ac:dyDescent="0.2">
      <c r="A39" s="13" t="s">
        <v>90</v>
      </c>
      <c r="B39" s="13" t="str">
        <f t="shared" ref="B39:B70" si="10">LEFT(A39,3)</f>
        <v>TMS</v>
      </c>
      <c r="C39" s="13">
        <v>2023</v>
      </c>
      <c r="D39" s="111">
        <f>EXP(Coeffs!$D$13+(Coeffs!$D$6*Drivers!D37)+(Coeffs!$D$7*Drivers!E37))</f>
        <v>18.008729138852292</v>
      </c>
      <c r="E39" s="66">
        <f>EXP(Coeffs!$E$13+(Coeffs!$E$6*Drivers!D37)+(Coeffs!$E$7*Drivers!E37)+(Coeffs!$E$8*Drivers!F37))</f>
        <v>16.912666480834037</v>
      </c>
      <c r="F39" s="66">
        <f>EXP(Coeffs!$F$13+(Coeffs!$F$9*Drivers!G37)+(Coeffs!$F$10*Drivers!H37))</f>
        <v>13.874987562823158</v>
      </c>
      <c r="G39" s="66">
        <f>EXP(Coeffs!$G$13+(Coeffs!$G$9*Drivers!G37)+(Coeffs!$G$11*Drivers!I37)+(Coeffs!$G$12*Drivers!J37))</f>
        <v>14.397989583483401</v>
      </c>
      <c r="H39" s="66">
        <f>EXP(Coeffs!$H$13+(Coeffs!$H$7*Drivers!E37)+(Coeffs!$H$9*Drivers!G37)+(Coeffs!$H$10*Drivers!H37))</f>
        <v>31.812131312898384</v>
      </c>
      <c r="I39" s="66">
        <f>EXP(Coeffs!$I$13+(Coeffs!$I$7*Drivers!E37)+(Coeffs!$I$8*Drivers!F37)+(Coeffs!$I$9*Drivers!G37)+(Coeffs!$I$10*Drivers!H37))</f>
        <v>29.865578571977782</v>
      </c>
      <c r="J39" s="66">
        <f>EXP(Coeffs!$J$13+(Coeffs!$J$7*Drivers!E37)+(Coeffs!$J$8*Drivers!F37)+(Coeffs!$J$9*Drivers!G37)+(Coeffs!$J$11*Drivers!I37)+(Coeffs!$J$12*Drivers!J37))</f>
        <v>33.353512658307132</v>
      </c>
      <c r="K39" s="38"/>
      <c r="L39" s="66">
        <f xml:space="preserve"> (D39 *Drivers!$L37 * 1000 / 1000000)</f>
        <v>102.90711883958141</v>
      </c>
      <c r="M39" s="66">
        <f xml:space="preserve"> (E39 *Drivers!$L37 * 1000 / 1000000)</f>
        <v>96.643897857431625</v>
      </c>
      <c r="N39" s="66">
        <f xml:space="preserve"> (F39 *Drivers!$L37 * 1000 / 1000000)</f>
        <v>79.285716555352309</v>
      </c>
      <c r="O39" s="66">
        <f xml:space="preserve"> (G39 *Drivers!$L37 * 1000 / 1000000)</f>
        <v>82.274302294992935</v>
      </c>
      <c r="P39" s="66">
        <f xml:space="preserve"> (H39 *Drivers!$L37 * 1000 / 1000000)</f>
        <v>181.78377565211343</v>
      </c>
      <c r="Q39" s="66">
        <f xml:space="preserve"> (I39 *Drivers!$L37 * 1000 / 1000000)</f>
        <v>170.66060684364552</v>
      </c>
      <c r="R39" s="66">
        <f xml:space="preserve"> (J39 *Drivers!$L37 * 1000 / 1000000)</f>
        <v>190.59167720175051</v>
      </c>
      <c r="S39" s="38"/>
      <c r="T39" s="66">
        <f t="shared" ref="T39:T70" si="11">$L$3*L39+$M$3*M39</f>
        <v>99.77550834850652</v>
      </c>
      <c r="U39" s="66">
        <f t="shared" si="2"/>
        <v>80.780009425172622</v>
      </c>
      <c r="V39" s="53">
        <f t="shared" si="3"/>
        <v>181.01201989916981</v>
      </c>
      <c r="W39" s="38"/>
      <c r="X39" s="53">
        <f t="shared" ref="X39:X70" si="12">SUM(T39:U39)</f>
        <v>180.55551777367913</v>
      </c>
      <c r="Y39" s="53">
        <f t="shared" ref="Y39:Y70" si="13">V39</f>
        <v>181.01201989916981</v>
      </c>
      <c r="Z39" s="53">
        <f t="shared" ref="Z39:Z70" si="14">$X$3*X39+$Y$3*Y39</f>
        <v>180.78376883642449</v>
      </c>
      <c r="AA39" s="38"/>
      <c r="AB39" s="53">
        <f>Controls!$F$17*Z39</f>
        <v>151.04094006141952</v>
      </c>
      <c r="AC39" s="53">
        <f>-(INDEX(Controls!$G$19:$G$23,MATCH($C39,Controls!$C$19:$C$23,0),0))*$Z39</f>
        <v>0</v>
      </c>
      <c r="AD39" s="67">
        <f t="shared" ref="AD39:AD70" si="15">AB39+AC39</f>
        <v>151.04094006141952</v>
      </c>
      <c r="AE39" s="38"/>
      <c r="AG39" s="81"/>
    </row>
    <row r="40" spans="1:33" x14ac:dyDescent="0.2">
      <c r="A40" s="13" t="s">
        <v>91</v>
      </c>
      <c r="B40" s="13" t="str">
        <f t="shared" si="10"/>
        <v>TMS</v>
      </c>
      <c r="C40" s="13">
        <v>2024</v>
      </c>
      <c r="D40" s="111">
        <f>EXP(Coeffs!$D$13+(Coeffs!$D$6*Drivers!D38)+(Coeffs!$D$7*Drivers!E38))</f>
        <v>18.267725234420215</v>
      </c>
      <c r="E40" s="66">
        <f>EXP(Coeffs!$E$13+(Coeffs!$E$6*Drivers!D38)+(Coeffs!$E$7*Drivers!E38)+(Coeffs!$E$8*Drivers!F38))</f>
        <v>17.138864330578368</v>
      </c>
      <c r="F40" s="66">
        <f>EXP(Coeffs!$F$13+(Coeffs!$F$9*Drivers!G38)+(Coeffs!$F$10*Drivers!H38))</f>
        <v>13.879741658515711</v>
      </c>
      <c r="G40" s="66">
        <f>EXP(Coeffs!$G$13+(Coeffs!$G$9*Drivers!G38)+(Coeffs!$G$11*Drivers!I38)+(Coeffs!$G$12*Drivers!J38))</f>
        <v>14.402867744395033</v>
      </c>
      <c r="H40" s="66">
        <f>EXP(Coeffs!$H$13+(Coeffs!$H$7*Drivers!E38)+(Coeffs!$H$9*Drivers!G38)+(Coeffs!$H$10*Drivers!H38))</f>
        <v>32.022806339710094</v>
      </c>
      <c r="I40" s="66">
        <f>EXP(Coeffs!$I$13+(Coeffs!$I$7*Drivers!E38)+(Coeffs!$I$8*Drivers!F38)+(Coeffs!$I$9*Drivers!G38)+(Coeffs!$I$10*Drivers!H38))</f>
        <v>30.109685990321758</v>
      </c>
      <c r="J40" s="66">
        <f>EXP(Coeffs!$J$13+(Coeffs!$J$7*Drivers!E38)+(Coeffs!$J$8*Drivers!F38)+(Coeffs!$J$9*Drivers!G38)+(Coeffs!$J$11*Drivers!I38)+(Coeffs!$J$12*Drivers!J38))</f>
        <v>33.550220420283466</v>
      </c>
      <c r="K40" s="38"/>
      <c r="L40" s="66">
        <f xml:space="preserve"> (D40 *Drivers!$L38 * 1000 / 1000000)</f>
        <v>105.65489629651434</v>
      </c>
      <c r="M40" s="66">
        <f xml:space="preserve"> (E40 *Drivers!$L38 * 1000 / 1000000)</f>
        <v>99.125912517851475</v>
      </c>
      <c r="N40" s="66">
        <f xml:space="preserve"> (F40 *Drivers!$L38 * 1000 / 1000000)</f>
        <v>80.276150792424033</v>
      </c>
      <c r="O40" s="66">
        <f xml:space="preserve"> (G40 *Drivers!$L38 * 1000 / 1000000)</f>
        <v>83.301750950315608</v>
      </c>
      <c r="P40" s="66">
        <f xml:space="preserve"> (H40 *Drivers!$L38 * 1000 / 1000000)</f>
        <v>185.21004884453055</v>
      </c>
      <c r="Q40" s="66">
        <f xml:space="preserve"> (I40 *Drivers!$L38 * 1000 / 1000000)</f>
        <v>174.14514998473604</v>
      </c>
      <c r="R40" s="66">
        <f xml:space="preserve"> (J40 *Drivers!$L38 * 1000 / 1000000)</f>
        <v>194.04414144303013</v>
      </c>
      <c r="S40" s="38"/>
      <c r="T40" s="66">
        <f t="shared" si="11"/>
        <v>102.3904044071829</v>
      </c>
      <c r="U40" s="66">
        <f t="shared" si="2"/>
        <v>81.788950871369821</v>
      </c>
      <c r="V40" s="53">
        <f t="shared" si="3"/>
        <v>184.46644675743221</v>
      </c>
      <c r="W40" s="38"/>
      <c r="X40" s="53">
        <f t="shared" si="12"/>
        <v>184.17935527855272</v>
      </c>
      <c r="Y40" s="53">
        <f t="shared" si="13"/>
        <v>184.46644675743221</v>
      </c>
      <c r="Z40" s="53">
        <f t="shared" si="14"/>
        <v>184.32290101799248</v>
      </c>
      <c r="AA40" s="38"/>
      <c r="AB40" s="53">
        <f>Controls!$F$17*Z40</f>
        <v>153.99780867382978</v>
      </c>
      <c r="AC40" s="53">
        <f>-(INDEX(Controls!$G$19:$G$23,MATCH($C40,Controls!$C$19:$C$23,0),0))*$Z40</f>
        <v>0</v>
      </c>
      <c r="AD40" s="67">
        <f t="shared" si="15"/>
        <v>153.99780867382978</v>
      </c>
      <c r="AE40" s="38"/>
      <c r="AG40" s="81"/>
    </row>
    <row r="41" spans="1:33" x14ac:dyDescent="0.2">
      <c r="A41" s="13" t="s">
        <v>92</v>
      </c>
      <c r="B41" s="13" t="str">
        <f t="shared" si="10"/>
        <v>TMS</v>
      </c>
      <c r="C41" s="13">
        <v>2025</v>
      </c>
      <c r="D41" s="111">
        <f>EXP(Coeffs!$D$13+(Coeffs!$D$6*Drivers!D39)+(Coeffs!$D$7*Drivers!E39))</f>
        <v>18.5650716768805</v>
      </c>
      <c r="E41" s="66">
        <f>EXP(Coeffs!$E$13+(Coeffs!$E$6*Drivers!D39)+(Coeffs!$E$7*Drivers!E39)+(Coeffs!$E$8*Drivers!F39))</f>
        <v>17.40125970594088</v>
      </c>
      <c r="F41" s="66">
        <f>EXP(Coeffs!$F$13+(Coeffs!$F$9*Drivers!G39)+(Coeffs!$F$10*Drivers!H39))</f>
        <v>13.890666682695613</v>
      </c>
      <c r="G41" s="66">
        <f>EXP(Coeffs!$G$13+(Coeffs!$G$9*Drivers!G39)+(Coeffs!$G$11*Drivers!I39)+(Coeffs!$G$12*Drivers!J39))</f>
        <v>14.414077802637287</v>
      </c>
      <c r="H41" s="66">
        <f>EXP(Coeffs!$H$13+(Coeffs!$H$7*Drivers!E39)+(Coeffs!$H$9*Drivers!G39)+(Coeffs!$H$10*Drivers!H39))</f>
        <v>32.267974281281724</v>
      </c>
      <c r="I41" s="66">
        <f>EXP(Coeffs!$I$13+(Coeffs!$I$7*Drivers!E39)+(Coeffs!$I$8*Drivers!F39)+(Coeffs!$I$9*Drivers!G39)+(Coeffs!$I$10*Drivers!H39))</f>
        <v>30.400477460129704</v>
      </c>
      <c r="J41" s="66">
        <f>EXP(Coeffs!$J$13+(Coeffs!$J$7*Drivers!E39)+(Coeffs!$J$8*Drivers!F39)+(Coeffs!$J$9*Drivers!G39)+(Coeffs!$J$11*Drivers!I39)+(Coeffs!$J$12*Drivers!J39))</f>
        <v>33.796412851562927</v>
      </c>
      <c r="K41" s="38"/>
      <c r="L41" s="66">
        <f xml:space="preserve"> (D41 *Drivers!$L39 * 1000 / 1000000)</f>
        <v>108.45618335260868</v>
      </c>
      <c r="M41" s="66">
        <f xml:space="preserve"> (E41 *Drivers!$L39 * 1000 / 1000000)</f>
        <v>101.65725433660192</v>
      </c>
      <c r="N41" s="66">
        <f xml:space="preserve"> (F41 *Drivers!$L39 * 1000 / 1000000)</f>
        <v>81.148552445640277</v>
      </c>
      <c r="O41" s="66">
        <f xml:space="preserve"> (G41 *Drivers!$L39 * 1000 / 1000000)</f>
        <v>84.206292990961302</v>
      </c>
      <c r="P41" s="66">
        <f xml:space="preserve"> (H41 *Drivers!$L39 * 1000 / 1000000)</f>
        <v>188.50782781658521</v>
      </c>
      <c r="Q41" s="66">
        <f xml:space="preserve"> (I41 *Drivers!$L39 * 1000 / 1000000)</f>
        <v>177.59800849724982</v>
      </c>
      <c r="R41" s="66">
        <f xml:space="preserve"> (J41 *Drivers!$L39 * 1000 / 1000000)</f>
        <v>197.43688646536236</v>
      </c>
      <c r="S41" s="38"/>
      <c r="T41" s="66">
        <f t="shared" si="11"/>
        <v>105.0567188446053</v>
      </c>
      <c r="U41" s="66">
        <f t="shared" si="2"/>
        <v>82.677422718300789</v>
      </c>
      <c r="V41" s="53">
        <f t="shared" si="3"/>
        <v>187.84757425973245</v>
      </c>
      <c r="W41" s="38"/>
      <c r="X41" s="53">
        <f t="shared" si="12"/>
        <v>187.73414156290607</v>
      </c>
      <c r="Y41" s="53">
        <f t="shared" si="13"/>
        <v>187.84757425973245</v>
      </c>
      <c r="Z41" s="53">
        <f t="shared" si="14"/>
        <v>187.79085791131928</v>
      </c>
      <c r="AA41" s="38"/>
      <c r="AB41" s="53">
        <f>Controls!$F$17*Z41</f>
        <v>156.89521186788812</v>
      </c>
      <c r="AC41" s="53">
        <f>-(INDEX(Controls!$G$19:$G$23,MATCH($C41,Controls!$C$19:$C$23,0),0))*$Z41</f>
        <v>0</v>
      </c>
      <c r="AD41" s="67">
        <f t="shared" si="15"/>
        <v>156.89521186788812</v>
      </c>
      <c r="AE41" s="38"/>
      <c r="AG41" s="81"/>
    </row>
    <row r="42" spans="1:33" x14ac:dyDescent="0.2">
      <c r="A42" s="13" t="s">
        <v>93</v>
      </c>
      <c r="B42" s="13" t="str">
        <f t="shared" si="10"/>
        <v>WSH</v>
      </c>
      <c r="C42" s="13">
        <v>2021</v>
      </c>
      <c r="D42" s="111">
        <f>EXP(Coeffs!$D$13+(Coeffs!$D$6*Drivers!D40)+(Coeffs!$D$7*Drivers!E40))</f>
        <v>17.571053370251448</v>
      </c>
      <c r="E42" s="66">
        <f>EXP(Coeffs!$E$13+(Coeffs!$E$6*Drivers!D40)+(Coeffs!$E$7*Drivers!E40)+(Coeffs!$E$8*Drivers!F40))</f>
        <v>18.001119287402776</v>
      </c>
      <c r="F42" s="66">
        <f>EXP(Coeffs!$F$13+(Coeffs!$F$9*Drivers!G40)+(Coeffs!$F$10*Drivers!H40))</f>
        <v>16.730154377669244</v>
      </c>
      <c r="G42" s="66">
        <f>EXP(Coeffs!$G$13+(Coeffs!$G$9*Drivers!G40)+(Coeffs!$G$11*Drivers!I40)+(Coeffs!$G$12*Drivers!J40))</f>
        <v>16.184093176177427</v>
      </c>
      <c r="H42" s="66">
        <f>EXP(Coeffs!$H$13+(Coeffs!$H$7*Drivers!E40)+(Coeffs!$H$9*Drivers!G40)+(Coeffs!$H$10*Drivers!H40))</f>
        <v>33.752773000085355</v>
      </c>
      <c r="I42" s="66">
        <f>EXP(Coeffs!$I$13+(Coeffs!$I$7*Drivers!E40)+(Coeffs!$I$8*Drivers!F40)+(Coeffs!$I$9*Drivers!G40)+(Coeffs!$I$10*Drivers!H40))</f>
        <v>34.082834527947377</v>
      </c>
      <c r="J42" s="66">
        <f>EXP(Coeffs!$J$13+(Coeffs!$J$7*Drivers!E40)+(Coeffs!$J$8*Drivers!F40)+(Coeffs!$J$9*Drivers!G40)+(Coeffs!$J$11*Drivers!I40)+(Coeffs!$J$12*Drivers!J40))</f>
        <v>33.582820725287348</v>
      </c>
      <c r="K42" s="38"/>
      <c r="L42" s="66">
        <f xml:space="preserve"> (D42 *Drivers!$L40 * 1000 / 1000000)</f>
        <v>25.03920789999594</v>
      </c>
      <c r="M42" s="66">
        <f xml:space="preserve"> (E42 *Drivers!$L40 * 1000 / 1000000)</f>
        <v>25.65206301365043</v>
      </c>
      <c r="N42" s="66">
        <f xml:space="preserve"> (F42 *Drivers!$L40 * 1000 / 1000000)</f>
        <v>23.840904972192494</v>
      </c>
      <c r="O42" s="66">
        <f xml:space="preserve"> (G42 *Drivers!$L40 * 1000 / 1000000)</f>
        <v>23.062753562475418</v>
      </c>
      <c r="P42" s="66">
        <f xml:space="preserve"> (H42 *Drivers!$L40 * 1000 / 1000000)</f>
        <v>48.098579097219634</v>
      </c>
      <c r="Q42" s="66">
        <f xml:space="preserve"> (I42 *Drivers!$L40 * 1000 / 1000000)</f>
        <v>48.568925356022739</v>
      </c>
      <c r="R42" s="66">
        <f xml:space="preserve"> (J42 *Drivers!$L40 * 1000 / 1000000)</f>
        <v>47.856392686873335</v>
      </c>
      <c r="S42" s="38"/>
      <c r="T42" s="66">
        <f t="shared" si="11"/>
        <v>25.345635456823185</v>
      </c>
      <c r="U42" s="66">
        <f t="shared" si="2"/>
        <v>23.451829267333956</v>
      </c>
      <c r="V42" s="53">
        <f t="shared" si="3"/>
        <v>48.174632380038567</v>
      </c>
      <c r="W42" s="38"/>
      <c r="X42" s="53">
        <f t="shared" si="12"/>
        <v>48.797464724157138</v>
      </c>
      <c r="Y42" s="53">
        <f t="shared" si="13"/>
        <v>48.174632380038567</v>
      </c>
      <c r="Z42" s="53">
        <f t="shared" si="14"/>
        <v>48.486048552097856</v>
      </c>
      <c r="AA42" s="38"/>
      <c r="AB42" s="53">
        <f>Controls!$F$17*Z42</f>
        <v>40.509047910151594</v>
      </c>
      <c r="AC42" s="53">
        <f>-(INDEX(Controls!$G$19:$G$23,MATCH($C42,Controls!$C$19:$C$23,0),0))*$Z42</f>
        <v>0</v>
      </c>
      <c r="AD42" s="67">
        <f t="shared" si="15"/>
        <v>40.509047910151594</v>
      </c>
      <c r="AE42" s="38"/>
      <c r="AG42" s="81"/>
    </row>
    <row r="43" spans="1:33" x14ac:dyDescent="0.2">
      <c r="A43" s="13" t="s">
        <v>94</v>
      </c>
      <c r="B43" s="13" t="str">
        <f t="shared" si="10"/>
        <v>WSH</v>
      </c>
      <c r="C43" s="13">
        <v>2022</v>
      </c>
      <c r="D43" s="111">
        <f>EXP(Coeffs!$D$13+(Coeffs!$D$6*Drivers!D41)+(Coeffs!$D$7*Drivers!E41))</f>
        <v>17.692444636321987</v>
      </c>
      <c r="E43" s="66">
        <f>EXP(Coeffs!$E$13+(Coeffs!$E$6*Drivers!D41)+(Coeffs!$E$7*Drivers!E41)+(Coeffs!$E$8*Drivers!F41))</f>
        <v>18.115069822691389</v>
      </c>
      <c r="F43" s="66">
        <f>EXP(Coeffs!$F$13+(Coeffs!$F$9*Drivers!G41)+(Coeffs!$F$10*Drivers!H41))</f>
        <v>16.716863578910626</v>
      </c>
      <c r="G43" s="66">
        <f>EXP(Coeffs!$G$13+(Coeffs!$G$9*Drivers!G41)+(Coeffs!$G$11*Drivers!I41)+(Coeffs!$G$12*Drivers!J41))</f>
        <v>16.171379790749334</v>
      </c>
      <c r="H43" s="66">
        <f>EXP(Coeffs!$H$13+(Coeffs!$H$7*Drivers!E41)+(Coeffs!$H$9*Drivers!G41)+(Coeffs!$H$10*Drivers!H41))</f>
        <v>33.847079261400296</v>
      </c>
      <c r="I43" s="66">
        <f>EXP(Coeffs!$I$13+(Coeffs!$I$7*Drivers!E41)+(Coeffs!$I$8*Drivers!F41)+(Coeffs!$I$9*Drivers!G41)+(Coeffs!$I$10*Drivers!H41))</f>
        <v>34.197550656888637</v>
      </c>
      <c r="J43" s="66">
        <f>EXP(Coeffs!$J$13+(Coeffs!$J$7*Drivers!E41)+(Coeffs!$J$8*Drivers!F41)+(Coeffs!$J$9*Drivers!G41)+(Coeffs!$J$11*Drivers!I41)+(Coeffs!$J$12*Drivers!J41))</f>
        <v>33.652744865784463</v>
      </c>
      <c r="K43" s="38"/>
      <c r="L43" s="66">
        <f xml:space="preserve"> (D43 *Drivers!$L41 * 1000 / 1000000)</f>
        <v>25.410808993806725</v>
      </c>
      <c r="M43" s="66">
        <f xml:space="preserve"> (E43 *Drivers!$L41 * 1000 / 1000000)</f>
        <v>26.017805262980151</v>
      </c>
      <c r="N43" s="66">
        <f xml:space="preserve"> (F43 *Drivers!$L41 * 1000 / 1000000)</f>
        <v>24.009628748937544</v>
      </c>
      <c r="O43" s="66">
        <f xml:space="preserve"> (G43 *Drivers!$L41 * 1000 / 1000000)</f>
        <v>23.226176567223309</v>
      </c>
      <c r="P43" s="66">
        <f xml:space="preserve"> (H43 *Drivers!$L41 * 1000 / 1000000)</f>
        <v>48.612935283344704</v>
      </c>
      <c r="Q43" s="66">
        <f xml:space="preserve"> (I43 *Drivers!$L41 * 1000 / 1000000)</f>
        <v>49.116300526057614</v>
      </c>
      <c r="R43" s="66">
        <f xml:space="preserve"> (J43 *Drivers!$L41 * 1000 / 1000000)</f>
        <v>48.33382211897267</v>
      </c>
      <c r="S43" s="38"/>
      <c r="T43" s="66">
        <f t="shared" si="11"/>
        <v>25.714307128393436</v>
      </c>
      <c r="U43" s="66">
        <f t="shared" si="2"/>
        <v>23.617902658080425</v>
      </c>
      <c r="V43" s="53">
        <f t="shared" si="3"/>
        <v>48.687685976124996</v>
      </c>
      <c r="W43" s="38"/>
      <c r="X43" s="53">
        <f t="shared" si="12"/>
        <v>49.332209786473861</v>
      </c>
      <c r="Y43" s="53">
        <f t="shared" si="13"/>
        <v>48.687685976124996</v>
      </c>
      <c r="Z43" s="53">
        <f t="shared" si="14"/>
        <v>49.009947881299425</v>
      </c>
      <c r="AA43" s="38"/>
      <c r="AB43" s="53">
        <f>Controls!$F$17*Z43</f>
        <v>40.946754501232512</v>
      </c>
      <c r="AC43" s="53">
        <f>-(INDEX(Controls!$G$19:$G$23,MATCH($C43,Controls!$C$19:$C$23,0),0))*$Z43</f>
        <v>0</v>
      </c>
      <c r="AD43" s="67">
        <f t="shared" si="15"/>
        <v>40.946754501232512</v>
      </c>
      <c r="AE43" s="38"/>
      <c r="AG43" s="81"/>
    </row>
    <row r="44" spans="1:33" x14ac:dyDescent="0.2">
      <c r="A44" s="13" t="s">
        <v>95</v>
      </c>
      <c r="B44" s="13" t="str">
        <f t="shared" si="10"/>
        <v>WSH</v>
      </c>
      <c r="C44" s="13">
        <v>2023</v>
      </c>
      <c r="D44" s="111">
        <f>EXP(Coeffs!$D$13+(Coeffs!$D$6*Drivers!D42)+(Coeffs!$D$7*Drivers!E42))</f>
        <v>17.811276547605218</v>
      </c>
      <c r="E44" s="66">
        <f>EXP(Coeffs!$E$13+(Coeffs!$E$6*Drivers!D42)+(Coeffs!$E$7*Drivers!E42)+(Coeffs!$E$8*Drivers!F42))</f>
        <v>18.226312148415161</v>
      </c>
      <c r="F44" s="66">
        <f>EXP(Coeffs!$F$13+(Coeffs!$F$9*Drivers!G42)+(Coeffs!$F$10*Drivers!H42))</f>
        <v>16.706100735343238</v>
      </c>
      <c r="G44" s="66">
        <f>EXP(Coeffs!$G$13+(Coeffs!$G$9*Drivers!G42)+(Coeffs!$G$11*Drivers!I42)+(Coeffs!$G$12*Drivers!J42))</f>
        <v>16.161084451768552</v>
      </c>
      <c r="H44" s="66">
        <f>EXP(Coeffs!$H$13+(Coeffs!$H$7*Drivers!E42)+(Coeffs!$H$9*Drivers!G42)+(Coeffs!$H$10*Drivers!H42))</f>
        <v>33.940810546317522</v>
      </c>
      <c r="I44" s="66">
        <f>EXP(Coeffs!$I$13+(Coeffs!$I$7*Drivers!E42)+(Coeffs!$I$8*Drivers!F42)+(Coeffs!$I$9*Drivers!G42)+(Coeffs!$I$10*Drivers!H42))</f>
        <v>34.31088392127878</v>
      </c>
      <c r="J44" s="66">
        <f>EXP(Coeffs!$J$13+(Coeffs!$J$7*Drivers!E42)+(Coeffs!$J$8*Drivers!F42)+(Coeffs!$J$9*Drivers!G42)+(Coeffs!$J$11*Drivers!I42)+(Coeffs!$J$12*Drivers!J42))</f>
        <v>33.72195346715214</v>
      </c>
      <c r="K44" s="38"/>
      <c r="L44" s="66">
        <f xml:space="preserve"> (D44 *Drivers!$L42 * 1000 / 1000000)</f>
        <v>25.784672606906167</v>
      </c>
      <c r="M44" s="66">
        <f xml:space="preserve"> (E44 *Drivers!$L42 * 1000 / 1000000)</f>
        <v>26.385503044774694</v>
      </c>
      <c r="N44" s="66">
        <f xml:space="preserve"> (F44 *Drivers!$L42 * 1000 / 1000000)</f>
        <v>24.184753790526994</v>
      </c>
      <c r="O44" s="66">
        <f xml:space="preserve"> (G44 *Drivers!$L42 * 1000 / 1000000)</f>
        <v>23.395755517447263</v>
      </c>
      <c r="P44" s="66">
        <f xml:space="preserve"> (H44 *Drivers!$L42 * 1000 / 1000000)</f>
        <v>49.134753795482034</v>
      </c>
      <c r="Q44" s="66">
        <f xml:space="preserve"> (I44 *Drivers!$L42 * 1000 / 1000000)</f>
        <v>49.670494217478449</v>
      </c>
      <c r="R44" s="66">
        <f xml:space="preserve"> (J44 *Drivers!$L42 * 1000 / 1000000)</f>
        <v>48.817923156257471</v>
      </c>
      <c r="S44" s="38"/>
      <c r="T44" s="66">
        <f t="shared" si="11"/>
        <v>26.085087825840432</v>
      </c>
      <c r="U44" s="66">
        <f t="shared" si="2"/>
        <v>23.790254653987127</v>
      </c>
      <c r="V44" s="53">
        <f t="shared" si="3"/>
        <v>49.207723723072654</v>
      </c>
      <c r="W44" s="38"/>
      <c r="X44" s="53">
        <f t="shared" si="12"/>
        <v>49.875342479827559</v>
      </c>
      <c r="Y44" s="53">
        <f t="shared" si="13"/>
        <v>49.207723723072654</v>
      </c>
      <c r="Z44" s="53">
        <f t="shared" si="14"/>
        <v>49.541533101450106</v>
      </c>
      <c r="AA44" s="38"/>
      <c r="AB44" s="53">
        <f>Controls!$F$17*Z44</f>
        <v>41.390882488446692</v>
      </c>
      <c r="AC44" s="53">
        <f>-(INDEX(Controls!$G$19:$G$23,MATCH($C44,Controls!$C$19:$C$23,0),0))*$Z44</f>
        <v>0</v>
      </c>
      <c r="AD44" s="67">
        <f t="shared" si="15"/>
        <v>41.390882488446692</v>
      </c>
      <c r="AE44" s="38"/>
      <c r="AG44" s="81"/>
    </row>
    <row r="45" spans="1:33" x14ac:dyDescent="0.2">
      <c r="A45" s="13" t="s">
        <v>96</v>
      </c>
      <c r="B45" s="13" t="str">
        <f t="shared" si="10"/>
        <v>WSH</v>
      </c>
      <c r="C45" s="13">
        <v>2024</v>
      </c>
      <c r="D45" s="111">
        <f>EXP(Coeffs!$D$13+(Coeffs!$D$6*Drivers!D43)+(Coeffs!$D$7*Drivers!E43))</f>
        <v>17.927168229927933</v>
      </c>
      <c r="E45" s="66">
        <f>EXP(Coeffs!$E$13+(Coeffs!$E$6*Drivers!D43)+(Coeffs!$E$7*Drivers!E43)+(Coeffs!$E$8*Drivers!F43))</f>
        <v>18.334542382453012</v>
      </c>
      <c r="F45" s="66">
        <f>EXP(Coeffs!$F$13+(Coeffs!$F$9*Drivers!G43)+(Coeffs!$F$10*Drivers!H43))</f>
        <v>16.694770277492562</v>
      </c>
      <c r="G45" s="66">
        <f>EXP(Coeffs!$G$13+(Coeffs!$G$9*Drivers!G43)+(Coeffs!$G$11*Drivers!I43)+(Coeffs!$G$12*Drivers!J43))</f>
        <v>16.150246073827748</v>
      </c>
      <c r="H45" s="66">
        <f>EXP(Coeffs!$H$13+(Coeffs!$H$7*Drivers!E43)+(Coeffs!$H$9*Drivers!G43)+(Coeffs!$H$10*Drivers!H43))</f>
        <v>34.03111197197164</v>
      </c>
      <c r="I45" s="66">
        <f>EXP(Coeffs!$I$13+(Coeffs!$I$7*Drivers!E43)+(Coeffs!$I$8*Drivers!F43)+(Coeffs!$I$9*Drivers!G43)+(Coeffs!$I$10*Drivers!H43))</f>
        <v>34.419698788167118</v>
      </c>
      <c r="J45" s="66">
        <f>EXP(Coeffs!$J$13+(Coeffs!$J$7*Drivers!E43)+(Coeffs!$J$8*Drivers!F43)+(Coeffs!$J$9*Drivers!G43)+(Coeffs!$J$11*Drivers!I43)+(Coeffs!$J$12*Drivers!J43))</f>
        <v>33.787210402051549</v>
      </c>
      <c r="K45" s="38"/>
      <c r="L45" s="66">
        <f xml:space="preserve"> (D45 *Drivers!$L43 * 1000 / 1000000)</f>
        <v>26.158140688007663</v>
      </c>
      <c r="M45" s="66">
        <f xml:space="preserve"> (E45 *Drivers!$L43 * 1000 / 1000000)</f>
        <v>26.752554164678195</v>
      </c>
      <c r="N45" s="66">
        <f xml:space="preserve"> (F45 *Drivers!$L43 * 1000 / 1000000)</f>
        <v>24.359906934078836</v>
      </c>
      <c r="O45" s="66">
        <f xml:space="preserve"> (G45 *Drivers!$L43 * 1000 / 1000000)</f>
        <v>23.565373154688579</v>
      </c>
      <c r="P45" s="66">
        <f xml:space="preserve"> (H45 *Drivers!$L43 * 1000 / 1000000)</f>
        <v>49.655952536110874</v>
      </c>
      <c r="Q45" s="66">
        <f xml:space="preserve"> (I45 *Drivers!$L43 * 1000 / 1000000)</f>
        <v>50.222952771573439</v>
      </c>
      <c r="R45" s="66">
        <f xml:space="preserve"> (J45 *Drivers!$L43 * 1000 / 1000000)</f>
        <v>49.300067462787084</v>
      </c>
      <c r="S45" s="38"/>
      <c r="T45" s="66">
        <f t="shared" si="11"/>
        <v>26.455347426342929</v>
      </c>
      <c r="U45" s="66">
        <f t="shared" si="2"/>
        <v>23.962640044383708</v>
      </c>
      <c r="V45" s="53">
        <f t="shared" si="3"/>
        <v>49.726324256823787</v>
      </c>
      <c r="W45" s="38"/>
      <c r="X45" s="53">
        <f t="shared" si="12"/>
        <v>50.417987470726636</v>
      </c>
      <c r="Y45" s="53">
        <f t="shared" si="13"/>
        <v>49.726324256823787</v>
      </c>
      <c r="Z45" s="53">
        <f t="shared" si="14"/>
        <v>50.072155863775208</v>
      </c>
      <c r="AA45" s="38"/>
      <c r="AB45" s="53">
        <f>Controls!$F$17*Z45</f>
        <v>41.834206362904069</v>
      </c>
      <c r="AC45" s="53">
        <f>-(INDEX(Controls!$G$19:$G$23,MATCH($C45,Controls!$C$19:$C$23,0),0))*$Z45</f>
        <v>0</v>
      </c>
      <c r="AD45" s="67">
        <f t="shared" si="15"/>
        <v>41.834206362904069</v>
      </c>
      <c r="AE45" s="38"/>
      <c r="AG45" s="81"/>
    </row>
    <row r="46" spans="1:33" x14ac:dyDescent="0.2">
      <c r="A46" s="13" t="s">
        <v>97</v>
      </c>
      <c r="B46" s="13" t="str">
        <f t="shared" si="10"/>
        <v>WSH</v>
      </c>
      <c r="C46" s="13">
        <v>2025</v>
      </c>
      <c r="D46" s="111">
        <f>EXP(Coeffs!$D$13+(Coeffs!$D$6*Drivers!D44)+(Coeffs!$D$7*Drivers!E44))</f>
        <v>18.04013799374701</v>
      </c>
      <c r="E46" s="66">
        <f>EXP(Coeffs!$E$13+(Coeffs!$E$6*Drivers!D44)+(Coeffs!$E$7*Drivers!E44)+(Coeffs!$E$8*Drivers!F44))</f>
        <v>18.439785373239172</v>
      </c>
      <c r="F46" s="66">
        <f>EXP(Coeffs!$F$13+(Coeffs!$F$9*Drivers!G44)+(Coeffs!$F$10*Drivers!H44))</f>
        <v>16.681957433154242</v>
      </c>
      <c r="G46" s="66">
        <f>EXP(Coeffs!$G$13+(Coeffs!$G$9*Drivers!G44)+(Coeffs!$G$11*Drivers!I44)+(Coeffs!$G$12*Drivers!J44))</f>
        <v>16.137989590166107</v>
      </c>
      <c r="H46" s="66">
        <f>EXP(Coeffs!$H$13+(Coeffs!$H$7*Drivers!E44)+(Coeffs!$H$9*Drivers!G44)+(Coeffs!$H$10*Drivers!H44))</f>
        <v>34.117262573797568</v>
      </c>
      <c r="I46" s="66">
        <f>EXP(Coeffs!$I$13+(Coeffs!$I$7*Drivers!E44)+(Coeffs!$I$8*Drivers!F44)+(Coeffs!$I$9*Drivers!G44)+(Coeffs!$I$10*Drivers!H44))</f>
        <v>34.523185225416711</v>
      </c>
      <c r="J46" s="66">
        <f>EXP(Coeffs!$J$13+(Coeffs!$J$7*Drivers!E44)+(Coeffs!$J$8*Drivers!F44)+(Coeffs!$J$9*Drivers!G44)+(Coeffs!$J$11*Drivers!I44)+(Coeffs!$J$12*Drivers!J44))</f>
        <v>33.84760746075915</v>
      </c>
      <c r="K46" s="38"/>
      <c r="L46" s="66">
        <f xml:space="preserve"> (D46 *Drivers!$L44 * 1000 / 1000000)</f>
        <v>26.531125823539906</v>
      </c>
      <c r="M46" s="66">
        <f xml:space="preserve"> (E46 *Drivers!$L44 * 1000 / 1000000)</f>
        <v>27.1188760344324</v>
      </c>
      <c r="N46" s="66">
        <f xml:space="preserve"> (F46 *Drivers!$L44 * 1000 / 1000000)</f>
        <v>24.533687702131814</v>
      </c>
      <c r="O46" s="66">
        <f xml:space="preserve"> (G46 *Drivers!$L44 * 1000 / 1000000)</f>
        <v>23.733689426548768</v>
      </c>
      <c r="P46" s="66">
        <f xml:space="preserve"> (H46 *Drivers!$L44 * 1000 / 1000000)</f>
        <v>50.175302783932025</v>
      </c>
      <c r="Q46" s="66">
        <f xml:space="preserve"> (I46 *Drivers!$L44 * 1000 / 1000000)</f>
        <v>50.772281861834053</v>
      </c>
      <c r="R46" s="66">
        <f xml:space="preserve"> (J46 *Drivers!$L44 * 1000 / 1000000)</f>
        <v>49.778728559529583</v>
      </c>
      <c r="S46" s="38"/>
      <c r="T46" s="66">
        <f t="shared" si="11"/>
        <v>26.825000928986153</v>
      </c>
      <c r="U46" s="66">
        <f t="shared" si="2"/>
        <v>24.133688564340289</v>
      </c>
      <c r="V46" s="53">
        <f t="shared" si="3"/>
        <v>50.242104401765218</v>
      </c>
      <c r="W46" s="38"/>
      <c r="X46" s="53">
        <f t="shared" si="12"/>
        <v>50.958689493326446</v>
      </c>
      <c r="Y46" s="53">
        <f t="shared" si="13"/>
        <v>50.242104401765218</v>
      </c>
      <c r="Z46" s="53">
        <f t="shared" si="14"/>
        <v>50.600396947545832</v>
      </c>
      <c r="AA46" s="38"/>
      <c r="AB46" s="53">
        <f>Controls!$F$17*Z46</f>
        <v>42.275540396292705</v>
      </c>
      <c r="AC46" s="53">
        <f>-(INDEX(Controls!$G$19:$G$23,MATCH($C46,Controls!$C$19:$C$23,0),0))*$Z46</f>
        <v>0</v>
      </c>
      <c r="AD46" s="67">
        <f t="shared" si="15"/>
        <v>42.275540396292705</v>
      </c>
      <c r="AE46" s="38"/>
      <c r="AG46" s="81"/>
    </row>
    <row r="47" spans="1:33" x14ac:dyDescent="0.2">
      <c r="A47" s="13" t="s">
        <v>98</v>
      </c>
      <c r="B47" s="13" t="str">
        <f t="shared" si="10"/>
        <v>WSX</v>
      </c>
      <c r="C47" s="13">
        <v>2021</v>
      </c>
      <c r="D47" s="111">
        <f>EXP(Coeffs!$D$13+(Coeffs!$D$6*Drivers!D45)+(Coeffs!$D$7*Drivers!E45))</f>
        <v>18.075006857553277</v>
      </c>
      <c r="E47" s="66">
        <f>EXP(Coeffs!$E$13+(Coeffs!$E$6*Drivers!D45)+(Coeffs!$E$7*Drivers!E45)+(Coeffs!$E$8*Drivers!F45))</f>
        <v>17.888027042277177</v>
      </c>
      <c r="F47" s="66">
        <f>EXP(Coeffs!$F$13+(Coeffs!$F$9*Drivers!G45)+(Coeffs!$F$10*Drivers!H45))</f>
        <v>8.3969835174789349</v>
      </c>
      <c r="G47" s="66">
        <f>EXP(Coeffs!$G$13+(Coeffs!$G$9*Drivers!G45)+(Coeffs!$G$11*Drivers!I45)+(Coeffs!$G$12*Drivers!J45))</f>
        <v>9.2096831797319147</v>
      </c>
      <c r="H47" s="66">
        <f>EXP(Coeffs!$H$13+(Coeffs!$H$7*Drivers!E45)+(Coeffs!$H$9*Drivers!G45)+(Coeffs!$H$10*Drivers!H45))</f>
        <v>27.426188302217614</v>
      </c>
      <c r="I47" s="66">
        <f>EXP(Coeffs!$I$13+(Coeffs!$I$7*Drivers!E45)+(Coeffs!$I$8*Drivers!F45)+(Coeffs!$I$9*Drivers!G45)+(Coeffs!$I$10*Drivers!H45))</f>
        <v>26.373939351856933</v>
      </c>
      <c r="J47" s="66">
        <f>EXP(Coeffs!$J$13+(Coeffs!$J$7*Drivers!E45)+(Coeffs!$J$8*Drivers!F45)+(Coeffs!$J$9*Drivers!G45)+(Coeffs!$J$11*Drivers!I45)+(Coeffs!$J$12*Drivers!J45))</f>
        <v>25.152949724484117</v>
      </c>
      <c r="K47" s="38"/>
      <c r="L47" s="66">
        <f xml:space="preserve"> (D47 *Drivers!$L45 * 1000 / 1000000)</f>
        <v>22.288797056240952</v>
      </c>
      <c r="M47" s="66">
        <f xml:space="preserve"> (E47 *Drivers!$L45 * 1000 / 1000000)</f>
        <v>22.058227010589171</v>
      </c>
      <c r="N47" s="66">
        <f xml:space="preserve"> (F47 *Drivers!$L45 * 1000 / 1000000)</f>
        <v>10.354555490941765</v>
      </c>
      <c r="O47" s="66">
        <f xml:space="preserve"> (G47 *Drivers!$L45 * 1000 / 1000000)</f>
        <v>11.356718200056456</v>
      </c>
      <c r="P47" s="66">
        <f xml:space="preserve"> (H47 *Drivers!$L45 * 1000 / 1000000)</f>
        <v>33.820000728737007</v>
      </c>
      <c r="Q47" s="66">
        <f xml:space="preserve"> (I47 *Drivers!$L45 * 1000 / 1000000)</f>
        <v>32.522443085076631</v>
      </c>
      <c r="R47" s="66">
        <f xml:space="preserve"> (J47 *Drivers!$L45 * 1000 / 1000000)</f>
        <v>31.016806587853647</v>
      </c>
      <c r="S47" s="38"/>
      <c r="T47" s="66">
        <f t="shared" si="11"/>
        <v>22.173512033415061</v>
      </c>
      <c r="U47" s="66">
        <f t="shared" si="2"/>
        <v>10.855636845499109</v>
      </c>
      <c r="V47" s="53">
        <f t="shared" si="3"/>
        <v>32.453083467222427</v>
      </c>
      <c r="W47" s="38"/>
      <c r="X47" s="53">
        <f t="shared" si="12"/>
        <v>33.029148878914171</v>
      </c>
      <c r="Y47" s="53">
        <f t="shared" si="13"/>
        <v>32.453083467222427</v>
      </c>
      <c r="Z47" s="53">
        <f t="shared" si="14"/>
        <v>32.741116173068299</v>
      </c>
      <c r="AA47" s="38"/>
      <c r="AB47" s="53">
        <f>Controls!$F$17*Z47</f>
        <v>27.354496464308742</v>
      </c>
      <c r="AC47" s="53">
        <f>-(INDEX(Controls!$G$19:$G$23,MATCH($C47,Controls!$C$19:$C$23,0),0))*$Z47</f>
        <v>0</v>
      </c>
      <c r="AD47" s="67">
        <f t="shared" si="15"/>
        <v>27.354496464308742</v>
      </c>
      <c r="AE47" s="38"/>
      <c r="AG47" s="81"/>
    </row>
    <row r="48" spans="1:33" x14ac:dyDescent="0.2">
      <c r="A48" s="13" t="s">
        <v>99</v>
      </c>
      <c r="B48" s="13" t="str">
        <f t="shared" si="10"/>
        <v>WSX</v>
      </c>
      <c r="C48" s="13">
        <v>2022</v>
      </c>
      <c r="D48" s="111">
        <f>EXP(Coeffs!$D$13+(Coeffs!$D$6*Drivers!D46)+(Coeffs!$D$7*Drivers!E46))</f>
        <v>18.243632526615535</v>
      </c>
      <c r="E48" s="66">
        <f>EXP(Coeffs!$E$13+(Coeffs!$E$6*Drivers!D46)+(Coeffs!$E$7*Drivers!E46)+(Coeffs!$E$8*Drivers!F46))</f>
        <v>18.041065558102471</v>
      </c>
      <c r="F48" s="66">
        <f>EXP(Coeffs!$F$13+(Coeffs!$F$9*Drivers!G46)+(Coeffs!$F$10*Drivers!H46))</f>
        <v>8.5585745485657085</v>
      </c>
      <c r="G48" s="66">
        <f>EXP(Coeffs!$G$13+(Coeffs!$G$9*Drivers!G46)+(Coeffs!$G$11*Drivers!I46)+(Coeffs!$G$12*Drivers!J46))</f>
        <v>9.3849146183149479</v>
      </c>
      <c r="H48" s="66">
        <f>EXP(Coeffs!$H$13+(Coeffs!$H$7*Drivers!E46)+(Coeffs!$H$9*Drivers!G46)+(Coeffs!$H$10*Drivers!H46))</f>
        <v>27.757104602912971</v>
      </c>
      <c r="I48" s="66">
        <f>EXP(Coeffs!$I$13+(Coeffs!$I$7*Drivers!E46)+(Coeffs!$I$8*Drivers!F46)+(Coeffs!$I$9*Drivers!G46)+(Coeffs!$I$10*Drivers!H46))</f>
        <v>26.739494766295316</v>
      </c>
      <c r="J48" s="66">
        <f>EXP(Coeffs!$J$13+(Coeffs!$J$7*Drivers!E46)+(Coeffs!$J$8*Drivers!F46)+(Coeffs!$J$9*Drivers!G46)+(Coeffs!$J$11*Drivers!I46)+(Coeffs!$J$12*Drivers!J46))</f>
        <v>25.491235371166052</v>
      </c>
      <c r="K48" s="38"/>
      <c r="L48" s="66">
        <f xml:space="preserve"> (D48 *Drivers!$L46 * 1000 / 1000000)</f>
        <v>22.732241142566444</v>
      </c>
      <c r="M48" s="66">
        <f xml:space="preserve"> (E48 *Drivers!$L46 * 1000 / 1000000)</f>
        <v>22.479835204821327</v>
      </c>
      <c r="N48" s="66">
        <f xml:space="preserve"> (F48 *Drivers!$L46 * 1000 / 1000000)</f>
        <v>10.66430055477117</v>
      </c>
      <c r="O48" s="66">
        <f xml:space="preserve"> (G48 *Drivers!$L46 * 1000 / 1000000)</f>
        <v>11.693950856261303</v>
      </c>
      <c r="P48" s="66">
        <f xml:space="preserve"> (H48 *Drivers!$L46 * 1000 / 1000000)</f>
        <v>34.586379348099875</v>
      </c>
      <c r="Q48" s="66">
        <f xml:space="preserve"> (I48 *Drivers!$L46 * 1000 / 1000000)</f>
        <v>33.318399840110317</v>
      </c>
      <c r="R48" s="66">
        <f xml:space="preserve"> (J48 *Drivers!$L46 * 1000 / 1000000)</f>
        <v>31.763022448181637</v>
      </c>
      <c r="S48" s="38"/>
      <c r="T48" s="66">
        <f t="shared" si="11"/>
        <v>22.606038173693886</v>
      </c>
      <c r="U48" s="66">
        <f t="shared" si="2"/>
        <v>11.179125705516237</v>
      </c>
      <c r="V48" s="53">
        <f t="shared" si="3"/>
        <v>33.222600545463941</v>
      </c>
      <c r="W48" s="38"/>
      <c r="X48" s="53">
        <f t="shared" si="12"/>
        <v>33.785163879210124</v>
      </c>
      <c r="Y48" s="53">
        <f t="shared" si="13"/>
        <v>33.222600545463941</v>
      </c>
      <c r="Z48" s="53">
        <f t="shared" si="14"/>
        <v>33.503882212337032</v>
      </c>
      <c r="AA48" s="38"/>
      <c r="AB48" s="53">
        <f>Controls!$F$17*Z48</f>
        <v>27.991771040226659</v>
      </c>
      <c r="AC48" s="53">
        <f>-(INDEX(Controls!$G$19:$G$23,MATCH($C48,Controls!$C$19:$C$23,0),0))*$Z48</f>
        <v>0</v>
      </c>
      <c r="AD48" s="67">
        <f t="shared" si="15"/>
        <v>27.991771040226659</v>
      </c>
      <c r="AE48" s="38"/>
      <c r="AG48" s="81"/>
    </row>
    <row r="49" spans="1:33" x14ac:dyDescent="0.2">
      <c r="A49" s="13" t="s">
        <v>100</v>
      </c>
      <c r="B49" s="13" t="str">
        <f t="shared" si="10"/>
        <v>WSX</v>
      </c>
      <c r="C49" s="13">
        <v>2023</v>
      </c>
      <c r="D49" s="111">
        <f>EXP(Coeffs!$D$13+(Coeffs!$D$6*Drivers!D47)+(Coeffs!$D$7*Drivers!E47))</f>
        <v>18.405058487914268</v>
      </c>
      <c r="E49" s="66">
        <f>EXP(Coeffs!$E$13+(Coeffs!$E$6*Drivers!D47)+(Coeffs!$E$7*Drivers!E47)+(Coeffs!$E$8*Drivers!F47))</f>
        <v>18.187256872877793</v>
      </c>
      <c r="F49" s="66">
        <f>EXP(Coeffs!$F$13+(Coeffs!$F$9*Drivers!G47)+(Coeffs!$F$10*Drivers!H47))</f>
        <v>8.7505545328586471</v>
      </c>
      <c r="G49" s="66">
        <f>EXP(Coeffs!$G$13+(Coeffs!$G$9*Drivers!G47)+(Coeffs!$G$11*Drivers!I47)+(Coeffs!$G$12*Drivers!J47))</f>
        <v>9.5930522441734691</v>
      </c>
      <c r="H49" s="66">
        <f>EXP(Coeffs!$H$13+(Coeffs!$H$7*Drivers!E47)+(Coeffs!$H$9*Drivers!G47)+(Coeffs!$H$10*Drivers!H47))</f>
        <v>28.121828760112656</v>
      </c>
      <c r="I49" s="66">
        <f>EXP(Coeffs!$I$13+(Coeffs!$I$7*Drivers!E47)+(Coeffs!$I$8*Drivers!F47)+(Coeffs!$I$9*Drivers!G47)+(Coeffs!$I$10*Drivers!H47))</f>
        <v>27.141511304932326</v>
      </c>
      <c r="J49" s="66">
        <f>EXP(Coeffs!$J$13+(Coeffs!$J$7*Drivers!E47)+(Coeffs!$J$8*Drivers!F47)+(Coeffs!$J$9*Drivers!G47)+(Coeffs!$J$11*Drivers!I47)+(Coeffs!$J$12*Drivers!J47))</f>
        <v>25.871040611051832</v>
      </c>
      <c r="K49" s="38"/>
      <c r="L49" s="66">
        <f xml:space="preserve"> (D49 *Drivers!$L47 * 1000 / 1000000)</f>
        <v>23.166575954147103</v>
      </c>
      <c r="M49" s="66">
        <f xml:space="preserve"> (E49 *Drivers!$L47 * 1000 / 1000000)</f>
        <v>22.892427536689389</v>
      </c>
      <c r="N49" s="66">
        <f xml:space="preserve"> (F49 *Drivers!$L47 * 1000 / 1000000)</f>
        <v>11.014384244390911</v>
      </c>
      <c r="O49" s="66">
        <f xml:space="preserve"> (G49 *Drivers!$L47 * 1000 / 1000000)</f>
        <v>12.074842011106856</v>
      </c>
      <c r="P49" s="66">
        <f xml:space="preserve"> (H49 *Drivers!$L47 * 1000 / 1000000)</f>
        <v>35.397142713155127</v>
      </c>
      <c r="Q49" s="66">
        <f xml:space="preserve"> (I49 *Drivers!$L47 * 1000 / 1000000)</f>
        <v>34.163210270097458</v>
      </c>
      <c r="R49" s="66">
        <f xml:space="preserve"> (J49 *Drivers!$L47 * 1000 / 1000000)</f>
        <v>32.564059914415225</v>
      </c>
      <c r="S49" s="38"/>
      <c r="T49" s="66">
        <f t="shared" si="11"/>
        <v>23.029501745418244</v>
      </c>
      <c r="U49" s="66">
        <f t="shared" si="2"/>
        <v>11.544613127748883</v>
      </c>
      <c r="V49" s="53">
        <f t="shared" si="3"/>
        <v>34.041470965889268</v>
      </c>
      <c r="W49" s="38"/>
      <c r="X49" s="53">
        <f t="shared" si="12"/>
        <v>34.574114873167126</v>
      </c>
      <c r="Y49" s="53">
        <f t="shared" si="13"/>
        <v>34.041470965889268</v>
      </c>
      <c r="Z49" s="53">
        <f t="shared" si="14"/>
        <v>34.307792919528197</v>
      </c>
      <c r="AA49" s="38"/>
      <c r="AB49" s="53">
        <f>Controls!$F$17*Z49</f>
        <v>28.663421098863612</v>
      </c>
      <c r="AC49" s="53">
        <f>-(INDEX(Controls!$G$19:$G$23,MATCH($C49,Controls!$C$19:$C$23,0),0))*$Z49</f>
        <v>0</v>
      </c>
      <c r="AD49" s="67">
        <f t="shared" si="15"/>
        <v>28.663421098863612</v>
      </c>
      <c r="AE49" s="38"/>
      <c r="AG49" s="81"/>
    </row>
    <row r="50" spans="1:33" x14ac:dyDescent="0.2">
      <c r="A50" s="13" t="s">
        <v>101</v>
      </c>
      <c r="B50" s="13" t="str">
        <f t="shared" si="10"/>
        <v>WSX</v>
      </c>
      <c r="C50" s="13">
        <v>2024</v>
      </c>
      <c r="D50" s="111">
        <f>EXP(Coeffs!$D$13+(Coeffs!$D$6*Drivers!D48)+(Coeffs!$D$7*Drivers!E48))</f>
        <v>18.560377600168199</v>
      </c>
      <c r="E50" s="66">
        <f>EXP(Coeffs!$E$13+(Coeffs!$E$6*Drivers!D48)+(Coeffs!$E$7*Drivers!E48)+(Coeffs!$E$8*Drivers!F48))</f>
        <v>18.327705472670221</v>
      </c>
      <c r="F50" s="66">
        <f>EXP(Coeffs!$F$13+(Coeffs!$F$9*Drivers!G48)+(Coeffs!$F$10*Drivers!H48))</f>
        <v>8.8866375093864249</v>
      </c>
      <c r="G50" s="66">
        <f>EXP(Coeffs!$G$13+(Coeffs!$G$9*Drivers!G48)+(Coeffs!$G$11*Drivers!I48)+(Coeffs!$G$12*Drivers!J48))</f>
        <v>9.7405574254293086</v>
      </c>
      <c r="H50" s="66">
        <f>EXP(Coeffs!$H$13+(Coeffs!$H$7*Drivers!E48)+(Coeffs!$H$9*Drivers!G48)+(Coeffs!$H$10*Drivers!H48))</f>
        <v>28.407597782681623</v>
      </c>
      <c r="I50" s="66">
        <f>EXP(Coeffs!$I$13+(Coeffs!$I$7*Drivers!E48)+(Coeffs!$I$8*Drivers!F48)+(Coeffs!$I$9*Drivers!G48)+(Coeffs!$I$10*Drivers!H48))</f>
        <v>27.458254027380168</v>
      </c>
      <c r="J50" s="66">
        <f>EXP(Coeffs!$J$13+(Coeffs!$J$7*Drivers!E48)+(Coeffs!$J$8*Drivers!F48)+(Coeffs!$J$9*Drivers!G48)+(Coeffs!$J$11*Drivers!I48)+(Coeffs!$J$12*Drivers!J48))</f>
        <v>26.159666141317835</v>
      </c>
      <c r="K50" s="38"/>
      <c r="L50" s="66">
        <f xml:space="preserve"> (D50 *Drivers!$L48 * 1000 / 1000000)</f>
        <v>23.591650518511393</v>
      </c>
      <c r="M50" s="66">
        <f xml:space="preserve"> (E50 *Drivers!$L48 * 1000 / 1000000)</f>
        <v>23.295906561379777</v>
      </c>
      <c r="N50" s="66">
        <f xml:space="preserve"> (F50 *Drivers!$L48 * 1000 / 1000000)</f>
        <v>11.295591658880859</v>
      </c>
      <c r="O50" s="66">
        <f xml:space="preserve"> (G50 *Drivers!$L48 * 1000 / 1000000)</f>
        <v>12.380988770084985</v>
      </c>
      <c r="P50" s="66">
        <f xml:space="preserve"> (H50 *Drivers!$L48 * 1000 / 1000000)</f>
        <v>36.108215759219824</v>
      </c>
      <c r="Q50" s="66">
        <f xml:space="preserve"> (I50 *Drivers!$L48 * 1000 / 1000000)</f>
        <v>34.901527696106278</v>
      </c>
      <c r="R50" s="66">
        <f xml:space="preserve"> (J50 *Drivers!$L48 * 1000 / 1000000)</f>
        <v>33.250923800241715</v>
      </c>
      <c r="S50" s="38"/>
      <c r="T50" s="66">
        <f t="shared" si="11"/>
        <v>23.443778539945583</v>
      </c>
      <c r="U50" s="66">
        <f t="shared" si="2"/>
        <v>11.838290214482921</v>
      </c>
      <c r="V50" s="53">
        <f t="shared" si="3"/>
        <v>34.753555751855934</v>
      </c>
      <c r="W50" s="38"/>
      <c r="X50" s="53">
        <f t="shared" si="12"/>
        <v>35.282068754428508</v>
      </c>
      <c r="Y50" s="53">
        <f t="shared" si="13"/>
        <v>34.753555751855934</v>
      </c>
      <c r="Z50" s="53">
        <f t="shared" si="14"/>
        <v>35.017812253142225</v>
      </c>
      <c r="AA50" s="38"/>
      <c r="AB50" s="53">
        <f>Controls!$F$17*Z50</f>
        <v>29.256626939747921</v>
      </c>
      <c r="AC50" s="53">
        <f>-(INDEX(Controls!$G$19:$G$23,MATCH($C50,Controls!$C$19:$C$23,0),0))*$Z50</f>
        <v>0</v>
      </c>
      <c r="AD50" s="67">
        <f t="shared" si="15"/>
        <v>29.256626939747921</v>
      </c>
      <c r="AE50" s="38"/>
      <c r="AG50" s="81"/>
    </row>
    <row r="51" spans="1:33" x14ac:dyDescent="0.2">
      <c r="A51" s="13" t="s">
        <v>102</v>
      </c>
      <c r="B51" s="13" t="str">
        <f t="shared" si="10"/>
        <v>WSX</v>
      </c>
      <c r="C51" s="13">
        <v>2025</v>
      </c>
      <c r="D51" s="111">
        <f>EXP(Coeffs!$D$13+(Coeffs!$D$6*Drivers!D49)+(Coeffs!$D$7*Drivers!E49))</f>
        <v>18.710130764408103</v>
      </c>
      <c r="E51" s="66">
        <f>EXP(Coeffs!$E$13+(Coeffs!$E$6*Drivers!D49)+(Coeffs!$E$7*Drivers!E49)+(Coeffs!$E$8*Drivers!F49))</f>
        <v>18.463125900616792</v>
      </c>
      <c r="F51" s="66">
        <f>EXP(Coeffs!$F$13+(Coeffs!$F$9*Drivers!G49)+(Coeffs!$F$10*Drivers!H49))</f>
        <v>9.0428128644319923</v>
      </c>
      <c r="G51" s="66">
        <f>EXP(Coeffs!$G$13+(Coeffs!$G$9*Drivers!G49)+(Coeffs!$G$11*Drivers!I49)+(Coeffs!$G$12*Drivers!J49))</f>
        <v>9.9098103705874596</v>
      </c>
      <c r="H51" s="66">
        <f>EXP(Coeffs!$H$13+(Coeffs!$H$7*Drivers!E49)+(Coeffs!$H$9*Drivers!G49)+(Coeffs!$H$10*Drivers!H49))</f>
        <v>28.71484862584493</v>
      </c>
      <c r="I51" s="66">
        <f>EXP(Coeffs!$I$13+(Coeffs!$I$7*Drivers!E49)+(Coeffs!$I$8*Drivers!F49)+(Coeffs!$I$9*Drivers!G49)+(Coeffs!$I$10*Drivers!H49))</f>
        <v>27.798710049576961</v>
      </c>
      <c r="J51" s="66">
        <f>EXP(Coeffs!$J$13+(Coeffs!$J$7*Drivers!E49)+(Coeffs!$J$8*Drivers!F49)+(Coeffs!$J$9*Drivers!G49)+(Coeffs!$J$11*Drivers!I49)+(Coeffs!$J$12*Drivers!J49))</f>
        <v>26.475940842112028</v>
      </c>
      <c r="K51" s="38"/>
      <c r="L51" s="66">
        <f xml:space="preserve"> (D51 *Drivers!$L49 * 1000 / 1000000)</f>
        <v>24.002702873997755</v>
      </c>
      <c r="M51" s="66">
        <f xml:space="preserve"> (E51 *Drivers!$L49 * 1000 / 1000000)</f>
        <v>23.685827250376068</v>
      </c>
      <c r="N51" s="66">
        <f xml:space="preserve"> (F51 *Drivers!$L49 * 1000 / 1000000)</f>
        <v>11.6007714250196</v>
      </c>
      <c r="O51" s="66">
        <f xml:space="preserve"> (G51 *Drivers!$L49 * 1000 / 1000000)</f>
        <v>12.713018249736278</v>
      </c>
      <c r="P51" s="66">
        <f xml:space="preserve"> (H51 *Drivers!$L49 * 1000 / 1000000)</f>
        <v>36.837475286334929</v>
      </c>
      <c r="Q51" s="66">
        <f xml:space="preserve"> (I51 *Drivers!$L49 * 1000 / 1000000)</f>
        <v>35.6621867587209</v>
      </c>
      <c r="R51" s="66">
        <f xml:space="preserve"> (J51 *Drivers!$L49 * 1000 / 1000000)</f>
        <v>33.965243180001934</v>
      </c>
      <c r="S51" s="38"/>
      <c r="T51" s="66">
        <f t="shared" si="11"/>
        <v>23.844265062186913</v>
      </c>
      <c r="U51" s="66">
        <f t="shared" si="2"/>
        <v>12.156894837377939</v>
      </c>
      <c r="V51" s="53">
        <f t="shared" si="3"/>
        <v>35.488301741685916</v>
      </c>
      <c r="W51" s="38"/>
      <c r="X51" s="53">
        <f t="shared" si="12"/>
        <v>36.001159899564854</v>
      </c>
      <c r="Y51" s="53">
        <f t="shared" si="13"/>
        <v>35.488301741685916</v>
      </c>
      <c r="Z51" s="53">
        <f t="shared" si="14"/>
        <v>35.744730820625385</v>
      </c>
      <c r="AA51" s="38"/>
      <c r="AB51" s="53">
        <f>Controls!$F$17*Z51</f>
        <v>29.863951726079268</v>
      </c>
      <c r="AC51" s="53">
        <f>-(INDEX(Controls!$G$19:$G$23,MATCH($C51,Controls!$C$19:$C$23,0),0))*$Z51</f>
        <v>0</v>
      </c>
      <c r="AD51" s="67">
        <f t="shared" si="15"/>
        <v>29.863951726079268</v>
      </c>
      <c r="AE51" s="38"/>
      <c r="AG51" s="81"/>
    </row>
    <row r="52" spans="1:33" x14ac:dyDescent="0.2">
      <c r="A52" s="13" t="s">
        <v>103</v>
      </c>
      <c r="B52" s="13" t="str">
        <f t="shared" si="10"/>
        <v>YKY</v>
      </c>
      <c r="C52" s="13">
        <v>2021</v>
      </c>
      <c r="D52" s="111">
        <f>EXP(Coeffs!$D$13+(Coeffs!$D$6*Drivers!D50)+(Coeffs!$D$7*Drivers!E50))</f>
        <v>18.823819569409359</v>
      </c>
      <c r="E52" s="66">
        <f>EXP(Coeffs!$E$13+(Coeffs!$E$6*Drivers!D50)+(Coeffs!$E$7*Drivers!E50)+(Coeffs!$E$8*Drivers!F50))</f>
        <v>18.94520878716644</v>
      </c>
      <c r="F52" s="66">
        <f>EXP(Coeffs!$F$13+(Coeffs!$F$9*Drivers!G50)+(Coeffs!$F$10*Drivers!H50))</f>
        <v>15.692105207973267</v>
      </c>
      <c r="G52" s="66">
        <f>EXP(Coeffs!$G$13+(Coeffs!$G$9*Drivers!G50)+(Coeffs!$G$11*Drivers!I50)+(Coeffs!$G$12*Drivers!J50))</f>
        <v>15.757151358959257</v>
      </c>
      <c r="H52" s="66">
        <f>EXP(Coeffs!$H$13+(Coeffs!$H$7*Drivers!E50)+(Coeffs!$H$9*Drivers!G50)+(Coeffs!$H$10*Drivers!H50))</f>
        <v>33.741209730562083</v>
      </c>
      <c r="I52" s="66">
        <f>EXP(Coeffs!$I$13+(Coeffs!$I$7*Drivers!E50)+(Coeffs!$I$8*Drivers!F50)+(Coeffs!$I$9*Drivers!G50)+(Coeffs!$I$10*Drivers!H50))</f>
        <v>33.423407449572835</v>
      </c>
      <c r="J52" s="66">
        <f>EXP(Coeffs!$J$13+(Coeffs!$J$7*Drivers!E50)+(Coeffs!$J$8*Drivers!F50)+(Coeffs!$J$9*Drivers!G50)+(Coeffs!$J$11*Drivers!I50)+(Coeffs!$J$12*Drivers!J50))</f>
        <v>33.366971012060283</v>
      </c>
      <c r="K52" s="38"/>
      <c r="L52" s="66">
        <f xml:space="preserve"> (D52 *Drivers!$L50 * 1000 / 1000000)</f>
        <v>41.76610262240979</v>
      </c>
      <c r="M52" s="66">
        <f xml:space="preserve"> (E52 *Drivers!$L50 * 1000 / 1000000)</f>
        <v>42.035439804877022</v>
      </c>
      <c r="N52" s="66">
        <f xml:space="preserve"> (F52 *Drivers!$L50 * 1000 / 1000000)</f>
        <v>34.81748611439901</v>
      </c>
      <c r="O52" s="66">
        <f xml:space="preserve"> (G52 *Drivers!$L50 * 1000 / 1000000)</f>
        <v>34.961809863745209</v>
      </c>
      <c r="P52" s="66">
        <f xml:space="preserve"> (H52 *Drivers!$L50 * 1000 / 1000000)</f>
        <v>74.864658738073857</v>
      </c>
      <c r="Q52" s="66">
        <f xml:space="preserve"> (I52 *Drivers!$L50 * 1000 / 1000000)</f>
        <v>74.159522215037697</v>
      </c>
      <c r="R52" s="66">
        <f xml:space="preserve"> (J52 *Drivers!$L50 * 1000 / 1000000)</f>
        <v>74.03430161184923</v>
      </c>
      <c r="S52" s="38"/>
      <c r="T52" s="66">
        <f t="shared" si="11"/>
        <v>41.900771213643409</v>
      </c>
      <c r="U52" s="66">
        <f t="shared" si="2"/>
        <v>34.88964798907211</v>
      </c>
      <c r="V52" s="53">
        <f t="shared" si="3"/>
        <v>74.352827521653595</v>
      </c>
      <c r="W52" s="38"/>
      <c r="X52" s="53">
        <f t="shared" si="12"/>
        <v>76.790419202715526</v>
      </c>
      <c r="Y52" s="53">
        <f t="shared" si="13"/>
        <v>74.352827521653595</v>
      </c>
      <c r="Z52" s="53">
        <f t="shared" si="14"/>
        <v>75.571623362184567</v>
      </c>
      <c r="AA52" s="38"/>
      <c r="AB52" s="53">
        <f>Controls!$F$17*Z52</f>
        <v>63.138461533677827</v>
      </c>
      <c r="AC52" s="53">
        <f>-(INDEX(Controls!$G$19:$G$23,MATCH($C52,Controls!$C$19:$C$23,0),0))*$Z52</f>
        <v>0</v>
      </c>
      <c r="AD52" s="67">
        <f t="shared" si="15"/>
        <v>63.138461533677827</v>
      </c>
      <c r="AE52" s="38"/>
      <c r="AG52" s="81"/>
    </row>
    <row r="53" spans="1:33" x14ac:dyDescent="0.2">
      <c r="A53" s="13" t="s">
        <v>104</v>
      </c>
      <c r="B53" s="13" t="str">
        <f t="shared" si="10"/>
        <v>YKY</v>
      </c>
      <c r="C53" s="13">
        <v>2022</v>
      </c>
      <c r="D53" s="111">
        <f>EXP(Coeffs!$D$13+(Coeffs!$D$6*Drivers!D51)+(Coeffs!$D$7*Drivers!E51))</f>
        <v>19.017899812183668</v>
      </c>
      <c r="E53" s="66">
        <f>EXP(Coeffs!$E$13+(Coeffs!$E$6*Drivers!D51)+(Coeffs!$E$7*Drivers!E51)+(Coeffs!$E$8*Drivers!F51))</f>
        <v>19.126241391666465</v>
      </c>
      <c r="F53" s="66">
        <f>EXP(Coeffs!$F$13+(Coeffs!$F$9*Drivers!G51)+(Coeffs!$F$10*Drivers!H51))</f>
        <v>15.694766976517705</v>
      </c>
      <c r="G53" s="66">
        <f>EXP(Coeffs!$G$13+(Coeffs!$G$9*Drivers!G51)+(Coeffs!$G$11*Drivers!I51)+(Coeffs!$G$12*Drivers!J51))</f>
        <v>15.759794291961345</v>
      </c>
      <c r="H53" s="66">
        <f>EXP(Coeffs!$H$13+(Coeffs!$H$7*Drivers!E51)+(Coeffs!$H$9*Drivers!G51)+(Coeffs!$H$10*Drivers!H51))</f>
        <v>33.900516926923913</v>
      </c>
      <c r="I53" s="66">
        <f>EXP(Coeffs!$I$13+(Coeffs!$I$7*Drivers!E51)+(Coeffs!$I$8*Drivers!F51)+(Coeffs!$I$9*Drivers!G51)+(Coeffs!$I$10*Drivers!H51))</f>
        <v>33.616768369305539</v>
      </c>
      <c r="J53" s="66">
        <f>EXP(Coeffs!$J$13+(Coeffs!$J$7*Drivers!E51)+(Coeffs!$J$8*Drivers!F51)+(Coeffs!$J$9*Drivers!G51)+(Coeffs!$J$11*Drivers!I51)+(Coeffs!$J$12*Drivers!J51))</f>
        <v>33.503887297664129</v>
      </c>
      <c r="K53" s="38"/>
      <c r="L53" s="66">
        <f xml:space="preserve"> (D53 *Drivers!$L51 * 1000 / 1000000)</f>
        <v>42.594656459945128</v>
      </c>
      <c r="M53" s="66">
        <f xml:space="preserve"> (E53 *Drivers!$L51 * 1000 / 1000000)</f>
        <v>42.837310612294864</v>
      </c>
      <c r="N53" s="66">
        <f xml:space="preserve"> (F53 *Drivers!$L51 * 1000 / 1000000)</f>
        <v>35.15178932404438</v>
      </c>
      <c r="O53" s="66">
        <f xml:space="preserve"> (G53 *Drivers!$L51 * 1000 / 1000000)</f>
        <v>35.297431912825914</v>
      </c>
      <c r="P53" s="66">
        <f xml:space="preserve"> (H53 *Drivers!$L51 * 1000 / 1000000)</f>
        <v>75.927462368468468</v>
      </c>
      <c r="Q53" s="66">
        <f xml:space="preserve"> (I53 *Drivers!$L51 * 1000 / 1000000)</f>
        <v>75.291946751490784</v>
      </c>
      <c r="R53" s="66">
        <f xml:space="preserve"> (J53 *Drivers!$L51 * 1000 / 1000000)</f>
        <v>75.039125435000528</v>
      </c>
      <c r="S53" s="38"/>
      <c r="T53" s="66">
        <f t="shared" si="11"/>
        <v>42.715983536119992</v>
      </c>
      <c r="U53" s="66">
        <f t="shared" si="2"/>
        <v>35.22461061843515</v>
      </c>
      <c r="V53" s="53">
        <f t="shared" si="3"/>
        <v>75.419511518319922</v>
      </c>
      <c r="W53" s="38"/>
      <c r="X53" s="53">
        <f t="shared" si="12"/>
        <v>77.940594154555143</v>
      </c>
      <c r="Y53" s="53">
        <f t="shared" si="13"/>
        <v>75.419511518319922</v>
      </c>
      <c r="Z53" s="53">
        <f t="shared" si="14"/>
        <v>76.68005283643754</v>
      </c>
      <c r="AA53" s="38"/>
      <c r="AB53" s="53">
        <f>Controls!$F$17*Z53</f>
        <v>64.064530454911761</v>
      </c>
      <c r="AC53" s="53">
        <f>-(INDEX(Controls!$G$19:$G$23,MATCH($C53,Controls!$C$19:$C$23,0),0))*$Z53</f>
        <v>0</v>
      </c>
      <c r="AD53" s="67">
        <f t="shared" si="15"/>
        <v>64.064530454911761</v>
      </c>
      <c r="AE53" s="38"/>
      <c r="AG53" s="81"/>
    </row>
    <row r="54" spans="1:33" x14ac:dyDescent="0.2">
      <c r="A54" s="13" t="s">
        <v>105</v>
      </c>
      <c r="B54" s="13" t="str">
        <f t="shared" si="10"/>
        <v>YKY</v>
      </c>
      <c r="C54" s="13">
        <v>2023</v>
      </c>
      <c r="D54" s="111">
        <f>EXP(Coeffs!$D$13+(Coeffs!$D$6*Drivers!D52)+(Coeffs!$D$7*Drivers!E52))</f>
        <v>19.198244920090701</v>
      </c>
      <c r="E54" s="66">
        <f>EXP(Coeffs!$E$13+(Coeffs!$E$6*Drivers!D52)+(Coeffs!$E$7*Drivers!E52)+(Coeffs!$E$8*Drivers!F52))</f>
        <v>19.293697910613787</v>
      </c>
      <c r="F54" s="66">
        <f>EXP(Coeffs!$F$13+(Coeffs!$F$9*Drivers!G52)+(Coeffs!$F$10*Drivers!H52))</f>
        <v>15.695697518369142</v>
      </c>
      <c r="G54" s="66">
        <f>EXP(Coeffs!$G$13+(Coeffs!$G$9*Drivers!G52)+(Coeffs!$G$11*Drivers!I52)+(Coeffs!$G$12*Drivers!J52))</f>
        <v>15.760718247813545</v>
      </c>
      <c r="H54" s="66">
        <f>EXP(Coeffs!$H$13+(Coeffs!$H$7*Drivers!E52)+(Coeffs!$H$9*Drivers!G52)+(Coeffs!$H$10*Drivers!H52))</f>
        <v>34.046416753375659</v>
      </c>
      <c r="I54" s="66">
        <f>EXP(Coeffs!$I$13+(Coeffs!$I$7*Drivers!E52)+(Coeffs!$I$8*Drivers!F52)+(Coeffs!$I$9*Drivers!G52)+(Coeffs!$I$10*Drivers!H52))</f>
        <v>33.792699862273295</v>
      </c>
      <c r="J54" s="66">
        <f>EXP(Coeffs!$J$13+(Coeffs!$J$7*Drivers!E52)+(Coeffs!$J$8*Drivers!F52)+(Coeffs!$J$9*Drivers!G52)+(Coeffs!$J$11*Drivers!I52)+(Coeffs!$J$12*Drivers!J52))</f>
        <v>33.62569108467747</v>
      </c>
      <c r="K54" s="38"/>
      <c r="L54" s="66">
        <f xml:space="preserve"> (D54 *Drivers!$L52 * 1000 / 1000000)</f>
        <v>43.40222102240093</v>
      </c>
      <c r="M54" s="66">
        <f xml:space="preserve"> (E54 *Drivers!$L52 * 1000 / 1000000)</f>
        <v>43.618015320743098</v>
      </c>
      <c r="N54" s="66">
        <f xml:space="preserve"> (F54 *Drivers!$L52 * 1000 / 1000000)</f>
        <v>35.483875511980337</v>
      </c>
      <c r="O54" s="66">
        <f xml:space="preserve"> (G54 *Drivers!$L52 * 1000 / 1000000)</f>
        <v>35.630870410843748</v>
      </c>
      <c r="P54" s="66">
        <f xml:space="preserve"> (H54 *Drivers!$L52 * 1000 / 1000000)</f>
        <v>76.970062164609743</v>
      </c>
      <c r="Q54" s="66">
        <f xml:space="preserve"> (I54 *Drivers!$L52 * 1000 / 1000000)</f>
        <v>76.39647449393587</v>
      </c>
      <c r="R54" s="66">
        <f xml:space="preserve"> (J54 *Drivers!$L52 * 1000 / 1000000)</f>
        <v>76.018911237082662</v>
      </c>
      <c r="S54" s="38"/>
      <c r="T54" s="66">
        <f t="shared" si="11"/>
        <v>43.510118171572017</v>
      </c>
      <c r="U54" s="66">
        <f t="shared" si="2"/>
        <v>35.557372961412042</v>
      </c>
      <c r="V54" s="53">
        <f t="shared" si="3"/>
        <v>76.461815965209425</v>
      </c>
      <c r="W54" s="38"/>
      <c r="X54" s="53">
        <f t="shared" si="12"/>
        <v>79.06749113298406</v>
      </c>
      <c r="Y54" s="53">
        <f t="shared" si="13"/>
        <v>76.461815965209425</v>
      </c>
      <c r="Z54" s="53">
        <f t="shared" si="14"/>
        <v>77.764653549096749</v>
      </c>
      <c r="AA54" s="38"/>
      <c r="AB54" s="53">
        <f>Controls!$F$17*Z54</f>
        <v>64.970690959727648</v>
      </c>
      <c r="AC54" s="53">
        <f>-(INDEX(Controls!$G$19:$G$23,MATCH($C54,Controls!$C$19:$C$23,0),0))*$Z54</f>
        <v>0</v>
      </c>
      <c r="AD54" s="67">
        <f t="shared" si="15"/>
        <v>64.970690959727648</v>
      </c>
      <c r="AE54" s="38"/>
      <c r="AG54" s="81"/>
    </row>
    <row r="55" spans="1:33" x14ac:dyDescent="0.2">
      <c r="A55" s="13" t="s">
        <v>106</v>
      </c>
      <c r="B55" s="13" t="str">
        <f t="shared" si="10"/>
        <v>YKY</v>
      </c>
      <c r="C55" s="13">
        <v>2024</v>
      </c>
      <c r="D55" s="111">
        <f>EXP(Coeffs!$D$13+(Coeffs!$D$6*Drivers!D53)+(Coeffs!$D$7*Drivers!E53))</f>
        <v>19.365659213885756</v>
      </c>
      <c r="E55" s="66">
        <f>EXP(Coeffs!$E$13+(Coeffs!$E$6*Drivers!D53)+(Coeffs!$E$7*Drivers!E53)+(Coeffs!$E$8*Drivers!F53))</f>
        <v>19.448447514668658</v>
      </c>
      <c r="F55" s="66">
        <f>EXP(Coeffs!$F$13+(Coeffs!$F$9*Drivers!G53)+(Coeffs!$F$10*Drivers!H53))</f>
        <v>15.696403184592842</v>
      </c>
      <c r="G55" s="66">
        <f>EXP(Coeffs!$G$13+(Coeffs!$G$9*Drivers!G53)+(Coeffs!$G$11*Drivers!I53)+(Coeffs!$G$12*Drivers!J53))</f>
        <v>15.761418919208731</v>
      </c>
      <c r="H55" s="66">
        <f>EXP(Coeffs!$H$13+(Coeffs!$H$7*Drivers!E53)+(Coeffs!$H$9*Drivers!G53)+(Coeffs!$H$10*Drivers!H53))</f>
        <v>34.181054551053869</v>
      </c>
      <c r="I55" s="66">
        <f>EXP(Coeffs!$I$13+(Coeffs!$I$7*Drivers!E53)+(Coeffs!$I$8*Drivers!F53)+(Coeffs!$I$9*Drivers!G53)+(Coeffs!$I$10*Drivers!H53))</f>
        <v>33.953854841705024</v>
      </c>
      <c r="J55" s="66">
        <f>EXP(Coeffs!$J$13+(Coeffs!$J$7*Drivers!E53)+(Coeffs!$J$8*Drivers!F53)+(Coeffs!$J$9*Drivers!G53)+(Coeffs!$J$11*Drivers!I53)+(Coeffs!$J$12*Drivers!J53))</f>
        <v>33.735242135436984</v>
      </c>
      <c r="K55" s="38"/>
      <c r="L55" s="66">
        <f xml:space="preserve"> (D55 *Drivers!$L53 * 1000 / 1000000)</f>
        <v>44.187166866781112</v>
      </c>
      <c r="M55" s="66">
        <f xml:space="preserve"> (E55 *Drivers!$L53 * 1000 / 1000000)</f>
        <v>44.376067250749884</v>
      </c>
      <c r="N55" s="66">
        <f xml:space="preserve"> (F55 *Drivers!$L53 * 1000 / 1000000)</f>
        <v>35.814922645574661</v>
      </c>
      <c r="O55" s="66">
        <f xml:space="preserve"> (G55 *Drivers!$L53 * 1000 / 1000000)</f>
        <v>35.963270867688301</v>
      </c>
      <c r="P55" s="66">
        <f xml:space="preserve"> (H55 *Drivers!$L53 * 1000 / 1000000)</f>
        <v>77.991869238667036</v>
      </c>
      <c r="Q55" s="66">
        <f xml:space="preserve"> (I55 *Drivers!$L53 * 1000 / 1000000)</f>
        <v>77.473461300253931</v>
      </c>
      <c r="R55" s="66">
        <f xml:space="preserve"> (J55 *Drivers!$L53 * 1000 / 1000000)</f>
        <v>76.974646567206364</v>
      </c>
      <c r="S55" s="38"/>
      <c r="T55" s="66">
        <f t="shared" si="11"/>
        <v>44.281617058765498</v>
      </c>
      <c r="U55" s="66">
        <f t="shared" si="2"/>
        <v>35.889096756631481</v>
      </c>
      <c r="V55" s="53">
        <f t="shared" si="3"/>
        <v>77.479992368709105</v>
      </c>
      <c r="W55" s="38"/>
      <c r="X55" s="53">
        <f t="shared" si="12"/>
        <v>80.170713815396979</v>
      </c>
      <c r="Y55" s="53">
        <f t="shared" si="13"/>
        <v>77.479992368709105</v>
      </c>
      <c r="Z55" s="53">
        <f t="shared" si="14"/>
        <v>78.825353092053035</v>
      </c>
      <c r="AA55" s="38"/>
      <c r="AB55" s="53">
        <f>Controls!$F$17*Z55</f>
        <v>65.856882552711838</v>
      </c>
      <c r="AC55" s="53">
        <f>-(INDEX(Controls!$G$19:$G$23,MATCH($C55,Controls!$C$19:$C$23,0),0))*$Z55</f>
        <v>0</v>
      </c>
      <c r="AD55" s="67">
        <f t="shared" si="15"/>
        <v>65.856882552711838</v>
      </c>
      <c r="AE55" s="38"/>
      <c r="AG55" s="81"/>
    </row>
    <row r="56" spans="1:33" x14ac:dyDescent="0.2">
      <c r="A56" s="13" t="s">
        <v>107</v>
      </c>
      <c r="B56" s="13" t="str">
        <f t="shared" si="10"/>
        <v>YKY</v>
      </c>
      <c r="C56" s="13">
        <v>2025</v>
      </c>
      <c r="D56" s="111">
        <f>EXP(Coeffs!$D$13+(Coeffs!$D$6*Drivers!D54)+(Coeffs!$D$7*Drivers!E54))</f>
        <v>19.521244271256819</v>
      </c>
      <c r="E56" s="66">
        <f>EXP(Coeffs!$E$13+(Coeffs!$E$6*Drivers!D54)+(Coeffs!$E$7*Drivers!E54)+(Coeffs!$E$8*Drivers!F54))</f>
        <v>19.591556752127371</v>
      </c>
      <c r="F56" s="66">
        <f>EXP(Coeffs!$F$13+(Coeffs!$F$9*Drivers!G54)+(Coeffs!$F$10*Drivers!H54))</f>
        <v>15.697736042995222</v>
      </c>
      <c r="G56" s="66">
        <f>EXP(Coeffs!$G$13+(Coeffs!$G$9*Drivers!G54)+(Coeffs!$G$11*Drivers!I54)+(Coeffs!$G$12*Drivers!J54))</f>
        <v>15.762742342446796</v>
      </c>
      <c r="H56" s="66">
        <f>EXP(Coeffs!$H$13+(Coeffs!$H$7*Drivers!E54)+(Coeffs!$H$9*Drivers!G54)+(Coeffs!$H$10*Drivers!H54))</f>
        <v>34.306220775996458</v>
      </c>
      <c r="I56" s="66">
        <f>EXP(Coeffs!$I$13+(Coeffs!$I$7*Drivers!E54)+(Coeffs!$I$8*Drivers!F54)+(Coeffs!$I$9*Drivers!G54)+(Coeffs!$I$10*Drivers!H54))</f>
        <v>34.102349424155527</v>
      </c>
      <c r="J56" s="66">
        <f>EXP(Coeffs!$J$13+(Coeffs!$J$7*Drivers!E54)+(Coeffs!$J$8*Drivers!F54)+(Coeffs!$J$9*Drivers!G54)+(Coeffs!$J$11*Drivers!I54)+(Coeffs!$J$12*Drivers!J54))</f>
        <v>33.834502840216778</v>
      </c>
      <c r="K56" s="38"/>
      <c r="L56" s="66">
        <f xml:space="preserve"> (D56 *Drivers!$L54 * 1000 / 1000000)</f>
        <v>44.952818543056445</v>
      </c>
      <c r="M56" s="66">
        <f xml:space="preserve"> (E56 *Drivers!$L54 * 1000 / 1000000)</f>
        <v>45.114731592755838</v>
      </c>
      <c r="N56" s="66">
        <f xml:space="preserve"> (F56 *Drivers!$L54 * 1000 / 1000000)</f>
        <v>36.148181441311856</v>
      </c>
      <c r="O56" s="66">
        <f xml:space="preserve"> (G56 *Drivers!$L54 * 1000 / 1000000)</f>
        <v>36.297875607462153</v>
      </c>
      <c r="P56" s="66">
        <f xml:space="preserve"> (H56 *Drivers!$L54 * 1000 / 1000000)</f>
        <v>78.999130179016703</v>
      </c>
      <c r="Q56" s="66">
        <f xml:space="preserve"> (I56 *Drivers!$L54 * 1000 / 1000000)</f>
        <v>78.529662569366081</v>
      </c>
      <c r="R56" s="66">
        <f xml:space="preserve"> (J56 *Drivers!$L54 * 1000 / 1000000)</f>
        <v>77.912875098348962</v>
      </c>
      <c r="S56" s="38"/>
      <c r="T56" s="66">
        <f t="shared" si="11"/>
        <v>45.033775067906141</v>
      </c>
      <c r="U56" s="66">
        <f t="shared" si="2"/>
        <v>36.223028524387004</v>
      </c>
      <c r="V56" s="53">
        <f t="shared" si="3"/>
        <v>78.480555948910578</v>
      </c>
      <c r="W56" s="38"/>
      <c r="X56" s="53">
        <f t="shared" si="12"/>
        <v>81.256803592293153</v>
      </c>
      <c r="Y56" s="53">
        <f t="shared" si="13"/>
        <v>78.480555948910578</v>
      </c>
      <c r="Z56" s="53">
        <f t="shared" si="14"/>
        <v>79.868679770601858</v>
      </c>
      <c r="AA56" s="38"/>
      <c r="AB56" s="53">
        <f>Controls!$F$17*Z56</f>
        <v>66.728559492148577</v>
      </c>
      <c r="AC56" s="53">
        <f>-(INDEX(Controls!$G$19:$G$23,MATCH($C56,Controls!$C$19:$C$23,0),0))*$Z56</f>
        <v>0</v>
      </c>
      <c r="AD56" s="67">
        <f t="shared" si="15"/>
        <v>66.728559492148577</v>
      </c>
      <c r="AE56" s="38"/>
      <c r="AG56" s="81"/>
    </row>
    <row r="57" spans="1:33" x14ac:dyDescent="0.2">
      <c r="A57" s="13" t="s">
        <v>108</v>
      </c>
      <c r="B57" s="13" t="str">
        <f t="shared" si="10"/>
        <v>AFW</v>
      </c>
      <c r="C57" s="13">
        <v>2021</v>
      </c>
      <c r="D57" s="111">
        <f>EXP(Coeffs!$D$13+(Coeffs!$D$6*Drivers!D55)+(Coeffs!$D$7*Drivers!E55))</f>
        <v>16.472840850889742</v>
      </c>
      <c r="E57" s="66">
        <f>EXP(Coeffs!$E$13+(Coeffs!$E$6*Drivers!D55)+(Coeffs!$E$7*Drivers!E55)+(Coeffs!$E$8*Drivers!F55))</f>
        <v>15.577298748807671</v>
      </c>
      <c r="F57" s="66">
        <f>EXP(Coeffs!$F$13+(Coeffs!$F$9*Drivers!G55)+(Coeffs!$F$10*Drivers!H55))</f>
        <v>6.266940131703107</v>
      </c>
      <c r="G57" s="66">
        <f>EXP(Coeffs!$G$13+(Coeffs!$G$9*Drivers!G55)+(Coeffs!$G$11*Drivers!I55)+(Coeffs!$G$12*Drivers!J55))</f>
        <v>6.2108736176765129</v>
      </c>
      <c r="H57" s="66">
        <f>EXP(Coeffs!$H$13+(Coeffs!$H$7*Drivers!E55)+(Coeffs!$H$9*Drivers!G55)+(Coeffs!$H$10*Drivers!H55))</f>
        <v>23.488237422743833</v>
      </c>
      <c r="I57" s="66">
        <f>EXP(Coeffs!$I$13+(Coeffs!$I$7*Drivers!E55)+(Coeffs!$I$8*Drivers!F55)+(Coeffs!$I$9*Drivers!G55)+(Coeffs!$I$10*Drivers!H55))</f>
        <v>22.743939408739003</v>
      </c>
      <c r="J57" s="66">
        <f>EXP(Coeffs!$J$13+(Coeffs!$J$7*Drivers!E55)+(Coeffs!$J$8*Drivers!F55)+(Coeffs!$J$9*Drivers!G55)+(Coeffs!$J$11*Drivers!I55)+(Coeffs!$J$12*Drivers!J55))</f>
        <v>22.571428817707254</v>
      </c>
      <c r="K57" s="38"/>
      <c r="L57" s="66">
        <f xml:space="preserve"> (D57 *Drivers!$L55 * 1000 / 1000000)</f>
        <v>23.203775405290099</v>
      </c>
      <c r="M57" s="66">
        <f xml:space="preserve"> (E57 *Drivers!$L55 * 1000 / 1000000)</f>
        <v>21.942307635960475</v>
      </c>
      <c r="N57" s="66">
        <f xml:space="preserve"> (F57 *Drivers!$L55 * 1000 / 1000000)</f>
        <v>8.8276620050380483</v>
      </c>
      <c r="O57" s="66">
        <f xml:space="preserve"> (G57 *Drivers!$L55 * 1000 / 1000000)</f>
        <v>8.7486862648480752</v>
      </c>
      <c r="P57" s="66">
        <f xml:space="preserve"> (H57 *Drivers!$L55 * 1000 / 1000000)</f>
        <v>33.085719139576348</v>
      </c>
      <c r="Q57" s="66">
        <f xml:space="preserve"> (I57 *Drivers!$L55 * 1000 / 1000000)</f>
        <v>32.037295002665026</v>
      </c>
      <c r="R57" s="66">
        <f xml:space="preserve"> (J57 *Drivers!$L55 * 1000 / 1000000)</f>
        <v>31.794295204052979</v>
      </c>
      <c r="S57" s="38"/>
      <c r="T57" s="66">
        <f t="shared" si="11"/>
        <v>22.573041520625289</v>
      </c>
      <c r="U57" s="66">
        <f t="shared" si="2"/>
        <v>8.7881741349430627</v>
      </c>
      <c r="V57" s="53">
        <f t="shared" si="3"/>
        <v>32.30576978209811</v>
      </c>
      <c r="W57" s="38"/>
      <c r="X57" s="53">
        <f t="shared" si="12"/>
        <v>31.361215655568351</v>
      </c>
      <c r="Y57" s="53">
        <f t="shared" si="13"/>
        <v>32.30576978209811</v>
      </c>
      <c r="Z57" s="53">
        <f t="shared" si="14"/>
        <v>31.833492718833231</v>
      </c>
      <c r="AA57" s="38"/>
      <c r="AB57" s="53">
        <f>Controls!$F$17*Z57</f>
        <v>26.596196642196411</v>
      </c>
      <c r="AC57" s="53">
        <f>-(INDEX(Controls!$G$19:$G$23,MATCH($C57,Controls!$C$19:$C$23,0),0))*$Z57</f>
        <v>0</v>
      </c>
      <c r="AD57" s="67">
        <f t="shared" si="15"/>
        <v>26.596196642196411</v>
      </c>
      <c r="AE57" s="38"/>
      <c r="AG57" s="81"/>
    </row>
    <row r="58" spans="1:33" x14ac:dyDescent="0.2">
      <c r="A58" s="13" t="s">
        <v>109</v>
      </c>
      <c r="B58" s="13" t="str">
        <f t="shared" si="10"/>
        <v>AFW</v>
      </c>
      <c r="C58" s="13">
        <v>2022</v>
      </c>
      <c r="D58" s="111">
        <f>EXP(Coeffs!$D$13+(Coeffs!$D$6*Drivers!D56)+(Coeffs!$D$7*Drivers!E56))</f>
        <v>16.787126156241762</v>
      </c>
      <c r="E58" s="66">
        <f>EXP(Coeffs!$E$13+(Coeffs!$E$6*Drivers!D56)+(Coeffs!$E$7*Drivers!E56)+(Coeffs!$E$8*Drivers!F56))</f>
        <v>15.855004209890254</v>
      </c>
      <c r="F58" s="66">
        <f>EXP(Coeffs!$F$13+(Coeffs!$F$9*Drivers!G56)+(Coeffs!$F$10*Drivers!H56))</f>
        <v>6.2440964469628737</v>
      </c>
      <c r="G58" s="66">
        <f>EXP(Coeffs!$G$13+(Coeffs!$G$9*Drivers!G56)+(Coeffs!$G$11*Drivers!I56)+(Coeffs!$G$12*Drivers!J56))</f>
        <v>6.1884868217092599</v>
      </c>
      <c r="H58" s="66">
        <f>EXP(Coeffs!$H$13+(Coeffs!$H$7*Drivers!E56)+(Coeffs!$H$9*Drivers!G56)+(Coeffs!$H$10*Drivers!H56))</f>
        <v>23.654605699738045</v>
      </c>
      <c r="I58" s="66">
        <f>EXP(Coeffs!$I$13+(Coeffs!$I$7*Drivers!E56)+(Coeffs!$I$8*Drivers!F56)+(Coeffs!$I$9*Drivers!G56)+(Coeffs!$I$10*Drivers!H56))</f>
        <v>22.949700031212746</v>
      </c>
      <c r="J58" s="66">
        <f>EXP(Coeffs!$J$13+(Coeffs!$J$7*Drivers!E56)+(Coeffs!$J$8*Drivers!F56)+(Coeffs!$J$9*Drivers!G56)+(Coeffs!$J$11*Drivers!I56)+(Coeffs!$J$12*Drivers!J56))</f>
        <v>22.704157966248889</v>
      </c>
      <c r="K58" s="38"/>
      <c r="L58" s="66">
        <f xml:space="preserve"> (D58 *Drivers!$L56 * 1000 / 1000000)</f>
        <v>23.98351533253026</v>
      </c>
      <c r="M58" s="66">
        <f xml:space="preserve"> (E58 *Drivers!$L56 * 1000 / 1000000)</f>
        <v>22.651806689607056</v>
      </c>
      <c r="N58" s="66">
        <f xml:space="preserve"> (F58 *Drivers!$L56 * 1000 / 1000000)</f>
        <v>8.9208469323291517</v>
      </c>
      <c r="O58" s="66">
        <f xml:space="preserve"> (G58 *Drivers!$L56 * 1000 / 1000000)</f>
        <v>8.8413982948736933</v>
      </c>
      <c r="P58" s="66">
        <f xml:space="preserve"> (H58 *Drivers!$L56 * 1000 / 1000000)</f>
        <v>33.794980344130245</v>
      </c>
      <c r="Q58" s="66">
        <f xml:space="preserve"> (I58 *Drivers!$L56 * 1000 / 1000000)</f>
        <v>32.787892189093178</v>
      </c>
      <c r="R58" s="66">
        <f xml:space="preserve"> (J58 *Drivers!$L56 * 1000 / 1000000)</f>
        <v>32.437089924010294</v>
      </c>
      <c r="S58" s="38"/>
      <c r="T58" s="66">
        <f t="shared" si="11"/>
        <v>23.317661011068658</v>
      </c>
      <c r="U58" s="66">
        <f t="shared" si="2"/>
        <v>8.8811226136014234</v>
      </c>
      <c r="V58" s="53">
        <f t="shared" si="3"/>
        <v>33.006654152411237</v>
      </c>
      <c r="W58" s="38"/>
      <c r="X58" s="53">
        <f t="shared" si="12"/>
        <v>32.198783624670085</v>
      </c>
      <c r="Y58" s="53">
        <f t="shared" si="13"/>
        <v>33.006654152411237</v>
      </c>
      <c r="Z58" s="53">
        <f t="shared" si="14"/>
        <v>32.602718888540664</v>
      </c>
      <c r="AA58" s="38"/>
      <c r="AB58" s="53">
        <f>Controls!$F$17*Z58</f>
        <v>27.238868517776023</v>
      </c>
      <c r="AC58" s="53">
        <f>-(INDEX(Controls!$G$19:$G$23,MATCH($C58,Controls!$C$19:$C$23,0),0))*$Z58</f>
        <v>0</v>
      </c>
      <c r="AD58" s="67">
        <f t="shared" si="15"/>
        <v>27.238868517776023</v>
      </c>
      <c r="AE58" s="38"/>
      <c r="AG58" s="81"/>
    </row>
    <row r="59" spans="1:33" x14ac:dyDescent="0.2">
      <c r="A59" s="13" t="s">
        <v>110</v>
      </c>
      <c r="B59" s="13" t="str">
        <f t="shared" si="10"/>
        <v>AFW</v>
      </c>
      <c r="C59" s="13">
        <v>2023</v>
      </c>
      <c r="D59" s="111">
        <f>EXP(Coeffs!$D$13+(Coeffs!$D$6*Drivers!D57)+(Coeffs!$D$7*Drivers!E57))</f>
        <v>17.165911306107894</v>
      </c>
      <c r="E59" s="66">
        <f>EXP(Coeffs!$E$13+(Coeffs!$E$6*Drivers!D57)+(Coeffs!$E$7*Drivers!E57)+(Coeffs!$E$8*Drivers!F57))</f>
        <v>16.193128362348002</v>
      </c>
      <c r="F59" s="66">
        <f>EXP(Coeffs!$F$13+(Coeffs!$F$9*Drivers!G57)+(Coeffs!$F$10*Drivers!H57))</f>
        <v>6.2242865805455132</v>
      </c>
      <c r="G59" s="66">
        <f>EXP(Coeffs!$G$13+(Coeffs!$G$9*Drivers!G57)+(Coeffs!$G$11*Drivers!I57)+(Coeffs!$G$12*Drivers!J57))</f>
        <v>6.1690724248657451</v>
      </c>
      <c r="H59" s="66">
        <f>EXP(Coeffs!$H$13+(Coeffs!$H$7*Drivers!E57)+(Coeffs!$H$9*Drivers!G57)+(Coeffs!$H$10*Drivers!H57))</f>
        <v>23.863602200975457</v>
      </c>
      <c r="I59" s="66">
        <f>EXP(Coeffs!$I$13+(Coeffs!$I$7*Drivers!E57)+(Coeffs!$I$8*Drivers!F57)+(Coeffs!$I$9*Drivers!G57)+(Coeffs!$I$10*Drivers!H57))</f>
        <v>23.214340231889249</v>
      </c>
      <c r="J59" s="66">
        <f>EXP(Coeffs!$J$13+(Coeffs!$J$7*Drivers!E57)+(Coeffs!$J$8*Drivers!F57)+(Coeffs!$J$9*Drivers!G57)+(Coeffs!$J$11*Drivers!I57)+(Coeffs!$J$12*Drivers!J57))</f>
        <v>22.889927850594177</v>
      </c>
      <c r="K59" s="38"/>
      <c r="L59" s="66">
        <f xml:space="preserve"> (D59 *Drivers!$L57 * 1000 / 1000000)</f>
        <v>24.811745529138797</v>
      </c>
      <c r="M59" s="66">
        <f xml:space="preserve"> (E59 *Drivers!$L57 * 1000 / 1000000)</f>
        <v>23.405677279964699</v>
      </c>
      <c r="N59" s="66">
        <f xml:space="preserve"> (F59 *Drivers!$L57 * 1000 / 1000000)</f>
        <v>8.9966336178131279</v>
      </c>
      <c r="O59" s="66">
        <f xml:space="preserve"> (G59 *Drivers!$L57 * 1000 / 1000000)</f>
        <v>8.9168266354803478</v>
      </c>
      <c r="P59" s="66">
        <f xml:space="preserve"> (H59 *Drivers!$L57 * 1000 / 1000000)</f>
        <v>34.492641530107534</v>
      </c>
      <c r="Q59" s="66">
        <f xml:space="preserve"> (I59 *Drivers!$L57 * 1000 / 1000000)</f>
        <v>33.554193085894568</v>
      </c>
      <c r="R59" s="66">
        <f xml:space="preserve"> (J59 *Drivers!$L57 * 1000 / 1000000)</f>
        <v>33.085284834671626</v>
      </c>
      <c r="S59" s="38"/>
      <c r="T59" s="66">
        <f t="shared" si="11"/>
        <v>24.108711404551748</v>
      </c>
      <c r="U59" s="66">
        <f t="shared" si="2"/>
        <v>8.9567301266467378</v>
      </c>
      <c r="V59" s="53">
        <f t="shared" si="3"/>
        <v>33.710706483557907</v>
      </c>
      <c r="W59" s="38"/>
      <c r="X59" s="53">
        <f t="shared" si="12"/>
        <v>33.065441531198488</v>
      </c>
      <c r="Y59" s="53">
        <f t="shared" si="13"/>
        <v>33.710706483557907</v>
      </c>
      <c r="Z59" s="53">
        <f t="shared" si="14"/>
        <v>33.388074007378194</v>
      </c>
      <c r="AA59" s="38"/>
      <c r="AB59" s="53">
        <f>Controls!$F$17*Z59</f>
        <v>27.895015782515248</v>
      </c>
      <c r="AC59" s="53">
        <f>-(INDEX(Controls!$G$19:$G$23,MATCH($C59,Controls!$C$19:$C$23,0),0))*$Z59</f>
        <v>0</v>
      </c>
      <c r="AD59" s="67">
        <f t="shared" si="15"/>
        <v>27.895015782515248</v>
      </c>
      <c r="AE59" s="38"/>
      <c r="AG59" s="81"/>
    </row>
    <row r="60" spans="1:33" x14ac:dyDescent="0.2">
      <c r="A60" s="13" t="s">
        <v>111</v>
      </c>
      <c r="B60" s="13" t="str">
        <f t="shared" si="10"/>
        <v>AFW</v>
      </c>
      <c r="C60" s="13">
        <v>2024</v>
      </c>
      <c r="D60" s="111">
        <f>EXP(Coeffs!$D$13+(Coeffs!$D$6*Drivers!D58)+(Coeffs!$D$7*Drivers!E58))</f>
        <v>17.567621050140588</v>
      </c>
      <c r="E60" s="66">
        <f>EXP(Coeffs!$E$13+(Coeffs!$E$6*Drivers!D58)+(Coeffs!$E$7*Drivers!E58)+(Coeffs!$E$8*Drivers!F58))</f>
        <v>16.551711556365976</v>
      </c>
      <c r="F60" s="66">
        <f>EXP(Coeffs!$F$13+(Coeffs!$F$9*Drivers!G58)+(Coeffs!$F$10*Drivers!H58))</f>
        <v>6.2062225905342547</v>
      </c>
      <c r="G60" s="66">
        <f>EXP(Coeffs!$G$13+(Coeffs!$G$9*Drivers!G58)+(Coeffs!$G$11*Drivers!I58)+(Coeffs!$G$12*Drivers!J58))</f>
        <v>6.1513684492269585</v>
      </c>
      <c r="H60" s="66">
        <f>EXP(Coeffs!$H$13+(Coeffs!$H$7*Drivers!E58)+(Coeffs!$H$9*Drivers!G58)+(Coeffs!$H$10*Drivers!H58))</f>
        <v>24.086035461070995</v>
      </c>
      <c r="I60" s="66">
        <f>EXP(Coeffs!$I$13+(Coeffs!$I$7*Drivers!E58)+(Coeffs!$I$8*Drivers!F58)+(Coeffs!$I$9*Drivers!G58)+(Coeffs!$I$10*Drivers!H58))</f>
        <v>23.496899201852109</v>
      </c>
      <c r="J60" s="66">
        <f>EXP(Coeffs!$J$13+(Coeffs!$J$7*Drivers!E58)+(Coeffs!$J$8*Drivers!F58)+(Coeffs!$J$9*Drivers!G58)+(Coeffs!$J$11*Drivers!I58)+(Coeffs!$J$12*Drivers!J58))</f>
        <v>23.090418754331949</v>
      </c>
      <c r="K60" s="38"/>
      <c r="L60" s="66">
        <f xml:space="preserve"> (D60 *Drivers!$L58 * 1000 / 1000000)</f>
        <v>25.686180901284157</v>
      </c>
      <c r="M60" s="66">
        <f xml:space="preserve"> (E60 *Drivers!$L58 * 1000 / 1000000)</f>
        <v>24.200787121332496</v>
      </c>
      <c r="N60" s="66">
        <f xml:space="preserve"> (F60 *Drivers!$L58 * 1000 / 1000000)</f>
        <v>9.0743166487430322</v>
      </c>
      <c r="O60" s="66">
        <f xml:space="preserve"> (G60 *Drivers!$L58 * 1000 / 1000000)</f>
        <v>8.9941126534051108</v>
      </c>
      <c r="P60" s="66">
        <f xml:space="preserve"> (H60 *Drivers!$L58 * 1000 / 1000000)</f>
        <v>35.216963200766664</v>
      </c>
      <c r="Q60" s="66">
        <f xml:space="preserve"> (I60 *Drivers!$L58 * 1000 / 1000000)</f>
        <v>34.355568223802429</v>
      </c>
      <c r="R60" s="66">
        <f xml:space="preserve"> (J60 *Drivers!$L58 * 1000 / 1000000)</f>
        <v>33.761240154108883</v>
      </c>
      <c r="S60" s="38"/>
      <c r="T60" s="66">
        <f t="shared" si="11"/>
        <v>24.943484011308328</v>
      </c>
      <c r="U60" s="66">
        <f t="shared" si="2"/>
        <v>9.0342146510740715</v>
      </c>
      <c r="V60" s="53">
        <f t="shared" si="3"/>
        <v>34.444590526225994</v>
      </c>
      <c r="W60" s="38"/>
      <c r="X60" s="53">
        <f t="shared" si="12"/>
        <v>33.977698662382402</v>
      </c>
      <c r="Y60" s="53">
        <f t="shared" si="13"/>
        <v>34.444590526225994</v>
      </c>
      <c r="Z60" s="53">
        <f t="shared" si="14"/>
        <v>34.211144594304201</v>
      </c>
      <c r="AA60" s="38"/>
      <c r="AB60" s="53">
        <f>Controls!$F$17*Z60</f>
        <v>28.582673507466719</v>
      </c>
      <c r="AC60" s="53">
        <f>-(INDEX(Controls!$G$19:$G$23,MATCH($C60,Controls!$C$19:$C$23,0),0))*$Z60</f>
        <v>0</v>
      </c>
      <c r="AD60" s="67">
        <f t="shared" si="15"/>
        <v>28.582673507466719</v>
      </c>
      <c r="AE60" s="38"/>
      <c r="AG60" s="81"/>
    </row>
    <row r="61" spans="1:33" x14ac:dyDescent="0.2">
      <c r="A61" s="13" t="s">
        <v>112</v>
      </c>
      <c r="B61" s="13" t="str">
        <f t="shared" si="10"/>
        <v>AFW</v>
      </c>
      <c r="C61" s="13">
        <v>2025</v>
      </c>
      <c r="D61" s="111">
        <f>EXP(Coeffs!$D$13+(Coeffs!$D$6*Drivers!D59)+(Coeffs!$D$7*Drivers!E59))</f>
        <v>17.977415007059275</v>
      </c>
      <c r="E61" s="66">
        <f>EXP(Coeffs!$E$13+(Coeffs!$E$6*Drivers!D59)+(Coeffs!$E$7*Drivers!E59)+(Coeffs!$E$8*Drivers!F59))</f>
        <v>16.917137690259736</v>
      </c>
      <c r="F61" s="66">
        <f>EXP(Coeffs!$F$13+(Coeffs!$F$9*Drivers!G59)+(Coeffs!$F$10*Drivers!H59))</f>
        <v>6.1833084657820754</v>
      </c>
      <c r="G61" s="66">
        <f>EXP(Coeffs!$G$13+(Coeffs!$G$9*Drivers!G59)+(Coeffs!$G$11*Drivers!I59)+(Coeffs!$G$12*Drivers!J59))</f>
        <v>6.1289101730835345</v>
      </c>
      <c r="H61" s="66">
        <f>EXP(Coeffs!$H$13+(Coeffs!$H$7*Drivers!E59)+(Coeffs!$H$9*Drivers!G59)+(Coeffs!$H$10*Drivers!H59))</f>
        <v>24.301861717854468</v>
      </c>
      <c r="I61" s="66">
        <f>EXP(Coeffs!$I$13+(Coeffs!$I$7*Drivers!E59)+(Coeffs!$I$8*Drivers!F59)+(Coeffs!$I$9*Drivers!G59)+(Coeffs!$I$10*Drivers!H59))</f>
        <v>23.773392068150059</v>
      </c>
      <c r="J61" s="66">
        <f>EXP(Coeffs!$J$13+(Coeffs!$J$7*Drivers!E59)+(Coeffs!$J$8*Drivers!F59)+(Coeffs!$J$9*Drivers!G59)+(Coeffs!$J$11*Drivers!I59)+(Coeffs!$J$12*Drivers!J59))</f>
        <v>23.282529429688434</v>
      </c>
      <c r="K61" s="38"/>
      <c r="L61" s="66">
        <f xml:space="preserve"> (D61 *Drivers!$L59 * 1000 / 1000000)</f>
        <v>26.586008047679652</v>
      </c>
      <c r="M61" s="66">
        <f xml:space="preserve"> (E61 *Drivers!$L59 * 1000 / 1000000)</f>
        <v>25.01801057606675</v>
      </c>
      <c r="N61" s="66">
        <f xml:space="preserve"> (F61 *Drivers!$L59 * 1000 / 1000000)</f>
        <v>9.1442228244726174</v>
      </c>
      <c r="O61" s="66">
        <f xml:space="preserve"> (G61 *Drivers!$L59 * 1000 / 1000000)</f>
        <v>9.0637755829256239</v>
      </c>
      <c r="P61" s="66">
        <f xml:space="preserve"> (H61 *Drivers!$L59 * 1000 / 1000000)</f>
        <v>35.938954012619391</v>
      </c>
      <c r="Q61" s="66">
        <f xml:space="preserve"> (I61 *Drivers!$L59 * 1000 / 1000000)</f>
        <v>35.157423500336122</v>
      </c>
      <c r="R61" s="66">
        <f xml:space="preserve"> (J61 *Drivers!$L59 * 1000 / 1000000)</f>
        <v>34.431508342271322</v>
      </c>
      <c r="S61" s="38"/>
      <c r="T61" s="66">
        <f t="shared" si="11"/>
        <v>25.802009311873199</v>
      </c>
      <c r="U61" s="66">
        <f t="shared" si="2"/>
        <v>9.1039992036991215</v>
      </c>
      <c r="V61" s="53">
        <f t="shared" si="3"/>
        <v>35.175961951742281</v>
      </c>
      <c r="W61" s="38"/>
      <c r="X61" s="53">
        <f t="shared" si="12"/>
        <v>34.906008515572324</v>
      </c>
      <c r="Y61" s="53">
        <f t="shared" si="13"/>
        <v>35.175961951742281</v>
      </c>
      <c r="Z61" s="53">
        <f t="shared" si="14"/>
        <v>35.040985233657302</v>
      </c>
      <c r="AA61" s="38"/>
      <c r="AB61" s="53">
        <f>Controls!$F$17*Z61</f>
        <v>29.27598746521738</v>
      </c>
      <c r="AC61" s="53">
        <f>-(INDEX(Controls!$G$19:$G$23,MATCH($C61,Controls!$C$19:$C$23,0),0))*$Z61</f>
        <v>0</v>
      </c>
      <c r="AD61" s="67">
        <f t="shared" si="15"/>
        <v>29.27598746521738</v>
      </c>
      <c r="AE61" s="38"/>
      <c r="AG61" s="81"/>
    </row>
    <row r="62" spans="1:33" x14ac:dyDescent="0.2">
      <c r="A62" s="13" t="s">
        <v>113</v>
      </c>
      <c r="B62" s="13" t="str">
        <f t="shared" si="10"/>
        <v>BRL</v>
      </c>
      <c r="C62" s="13">
        <v>2021</v>
      </c>
      <c r="D62" s="111">
        <f>EXP(Coeffs!$D$13+(Coeffs!$D$6*Drivers!D60)+(Coeffs!$D$7*Drivers!E60))</f>
        <v>16.904575166867261</v>
      </c>
      <c r="E62" s="66">
        <f>EXP(Coeffs!$E$13+(Coeffs!$E$6*Drivers!D60)+(Coeffs!$E$7*Drivers!E60)+(Coeffs!$E$8*Drivers!F60))</f>
        <v>16.760585191125031</v>
      </c>
      <c r="F62" s="66">
        <f>EXP(Coeffs!$F$13+(Coeffs!$F$9*Drivers!G60)+(Coeffs!$F$10*Drivers!H60))</f>
        <v>5.0800229072191465</v>
      </c>
      <c r="G62" s="66">
        <f>EXP(Coeffs!$G$13+(Coeffs!$G$9*Drivers!G60)+(Coeffs!$G$11*Drivers!I60)+(Coeffs!$G$12*Drivers!J60))</f>
        <v>6.3141187782034578</v>
      </c>
      <c r="H62" s="66">
        <f>EXP(Coeffs!$H$13+(Coeffs!$H$7*Drivers!E60)+(Coeffs!$H$9*Drivers!G60)+(Coeffs!$H$10*Drivers!H60))</f>
        <v>22.204551769964475</v>
      </c>
      <c r="I62" s="66">
        <f>EXP(Coeffs!$I$13+(Coeffs!$I$7*Drivers!E60)+(Coeffs!$I$8*Drivers!F60)+(Coeffs!$I$9*Drivers!G60)+(Coeffs!$I$10*Drivers!H60))</f>
        <v>22.234055810689483</v>
      </c>
      <c r="J62" s="66">
        <f>EXP(Coeffs!$J$13+(Coeffs!$J$7*Drivers!E60)+(Coeffs!$J$8*Drivers!F60)+(Coeffs!$J$9*Drivers!G60)+(Coeffs!$J$11*Drivers!I60)+(Coeffs!$J$12*Drivers!J60))</f>
        <v>26.007663399029028</v>
      </c>
      <c r="K62" s="38"/>
      <c r="L62" s="66">
        <f xml:space="preserve"> (D62 *Drivers!$L60 * 1000 / 1000000)</f>
        <v>8.5886906004550809</v>
      </c>
      <c r="M62" s="66">
        <f xml:space="preserve"> (E62 *Drivers!$L60 * 1000 / 1000000)</f>
        <v>8.5155337574697043</v>
      </c>
      <c r="N62" s="66">
        <f xml:space="preserve"> (F62 *Drivers!$L60 * 1000 / 1000000)</f>
        <v>2.5810021584479244</v>
      </c>
      <c r="O62" s="66">
        <f xml:space="preserve"> (G62 *Drivers!$L60 * 1000 / 1000000)</f>
        <v>3.2080080135230529</v>
      </c>
      <c r="P62" s="66">
        <f xml:space="preserve"> (H62 *Drivers!$L60 * 1000 / 1000000)</f>
        <v>11.281444413214082</v>
      </c>
      <c r="Q62" s="66">
        <f xml:space="preserve"> (I62 *Drivers!$L60 * 1000 / 1000000)</f>
        <v>11.296434501681196</v>
      </c>
      <c r="R62" s="66">
        <f xml:space="preserve"> (J62 *Drivers!$L60 * 1000 / 1000000)</f>
        <v>13.213687535481279</v>
      </c>
      <c r="S62" s="38"/>
      <c r="T62" s="66">
        <f t="shared" si="11"/>
        <v>8.5521121789623926</v>
      </c>
      <c r="U62" s="66">
        <f t="shared" si="2"/>
        <v>2.8945050859854886</v>
      </c>
      <c r="V62" s="53">
        <f t="shared" si="3"/>
        <v>11.930522150125519</v>
      </c>
      <c r="W62" s="38"/>
      <c r="X62" s="53">
        <f t="shared" si="12"/>
        <v>11.446617264947882</v>
      </c>
      <c r="Y62" s="53">
        <f t="shared" si="13"/>
        <v>11.930522150125519</v>
      </c>
      <c r="Z62" s="53">
        <f t="shared" si="14"/>
        <v>11.688569707536701</v>
      </c>
      <c r="AA62" s="38"/>
      <c r="AB62" s="53">
        <f>Controls!$F$17*Z62</f>
        <v>9.7655479137465004</v>
      </c>
      <c r="AC62" s="53">
        <f>-(INDEX(Controls!$G$19:$G$23,MATCH($C62,Controls!$C$19:$C$23,0),0))*$Z62</f>
        <v>0</v>
      </c>
      <c r="AD62" s="67">
        <f t="shared" si="15"/>
        <v>9.7655479137465004</v>
      </c>
      <c r="AE62" s="38"/>
      <c r="AG62" s="81"/>
    </row>
    <row r="63" spans="1:33" x14ac:dyDescent="0.2">
      <c r="A63" s="13" t="s">
        <v>114</v>
      </c>
      <c r="B63" s="13" t="str">
        <f t="shared" si="10"/>
        <v>BRL</v>
      </c>
      <c r="C63" s="13">
        <v>2022</v>
      </c>
      <c r="D63" s="111">
        <f>EXP(Coeffs!$D$13+(Coeffs!$D$6*Drivers!D61)+(Coeffs!$D$7*Drivers!E61))</f>
        <v>17.066465742073035</v>
      </c>
      <c r="E63" s="66">
        <f>EXP(Coeffs!$E$13+(Coeffs!$E$6*Drivers!D61)+(Coeffs!$E$7*Drivers!E61)+(Coeffs!$E$8*Drivers!F61))</f>
        <v>16.907018425303093</v>
      </c>
      <c r="F63" s="66">
        <f>EXP(Coeffs!$F$13+(Coeffs!$F$9*Drivers!G61)+(Coeffs!$F$10*Drivers!H61))</f>
        <v>5.0620406239217468</v>
      </c>
      <c r="G63" s="66">
        <f>EXP(Coeffs!$G$13+(Coeffs!$G$9*Drivers!G61)+(Coeffs!$G$11*Drivers!I61)+(Coeffs!$G$12*Drivers!J61))</f>
        <v>6.2920173523365719</v>
      </c>
      <c r="H63" s="66">
        <f>EXP(Coeffs!$H$13+(Coeffs!$H$7*Drivers!E61)+(Coeffs!$H$9*Drivers!G61)+(Coeffs!$H$10*Drivers!H61))</f>
        <v>22.2682081921993</v>
      </c>
      <c r="I63" s="66">
        <f>EXP(Coeffs!$I$13+(Coeffs!$I$7*Drivers!E61)+(Coeffs!$I$8*Drivers!F61)+(Coeffs!$I$9*Drivers!G61)+(Coeffs!$I$10*Drivers!H61))</f>
        <v>22.311632266852417</v>
      </c>
      <c r="J63" s="66">
        <f>EXP(Coeffs!$J$13+(Coeffs!$J$7*Drivers!E61)+(Coeffs!$J$8*Drivers!F61)+(Coeffs!$J$9*Drivers!G61)+(Coeffs!$J$11*Drivers!I61)+(Coeffs!$J$12*Drivers!J61))</f>
        <v>26.046761354501857</v>
      </c>
      <c r="K63" s="38"/>
      <c r="L63" s="66">
        <f xml:space="preserve"> (D63 *Drivers!$L61 * 1000 / 1000000)</f>
        <v>8.772504720740379</v>
      </c>
      <c r="M63" s="66">
        <f xml:space="preserve"> (E63 *Drivers!$L61 * 1000 / 1000000)</f>
        <v>8.6905456109742953</v>
      </c>
      <c r="N63" s="66">
        <f xml:space="preserve"> (F63 *Drivers!$L61 * 1000 / 1000000)</f>
        <v>2.6019901215082566</v>
      </c>
      <c r="O63" s="66">
        <f xml:space="preserve"> (G63 *Drivers!$L61 * 1000 / 1000000)</f>
        <v>3.2342227594480444</v>
      </c>
      <c r="P63" s="66">
        <f xml:space="preserve"> (H63 *Drivers!$L61 * 1000 / 1000000)</f>
        <v>11.446304374954284</v>
      </c>
      <c r="Q63" s="66">
        <f xml:space="preserve"> (I63 *Drivers!$L61 * 1000 / 1000000)</f>
        <v>11.46862521780748</v>
      </c>
      <c r="R63" s="66">
        <f xml:space="preserve"> (J63 *Drivers!$L61 * 1000 / 1000000)</f>
        <v>13.388556271441045</v>
      </c>
      <c r="S63" s="38"/>
      <c r="T63" s="66">
        <f t="shared" si="11"/>
        <v>8.7315251658573381</v>
      </c>
      <c r="U63" s="66">
        <f t="shared" si="2"/>
        <v>2.9181064404781507</v>
      </c>
      <c r="V63" s="53">
        <f t="shared" si="3"/>
        <v>12.10116195473427</v>
      </c>
      <c r="W63" s="38"/>
      <c r="X63" s="53">
        <f t="shared" si="12"/>
        <v>11.64963160633549</v>
      </c>
      <c r="Y63" s="53">
        <f t="shared" si="13"/>
        <v>12.10116195473427</v>
      </c>
      <c r="Z63" s="53">
        <f t="shared" si="14"/>
        <v>11.87539678053488</v>
      </c>
      <c r="AA63" s="38"/>
      <c r="AB63" s="53">
        <f>Controls!$F$17*Z63</f>
        <v>9.9216379041045446</v>
      </c>
      <c r="AC63" s="53">
        <f>-(INDEX(Controls!$G$19:$G$23,MATCH($C63,Controls!$C$19:$C$23,0),0))*$Z63</f>
        <v>0</v>
      </c>
      <c r="AD63" s="67">
        <f t="shared" si="15"/>
        <v>9.9216379041045446</v>
      </c>
      <c r="AE63" s="38"/>
      <c r="AG63" s="81"/>
    </row>
    <row r="64" spans="1:33" x14ac:dyDescent="0.2">
      <c r="A64" s="13" t="s">
        <v>115</v>
      </c>
      <c r="B64" s="13" t="str">
        <f t="shared" si="10"/>
        <v>BRL</v>
      </c>
      <c r="C64" s="13">
        <v>2023</v>
      </c>
      <c r="D64" s="111">
        <f>EXP(Coeffs!$D$13+(Coeffs!$D$6*Drivers!D62)+(Coeffs!$D$7*Drivers!E62))</f>
        <v>17.230178580299654</v>
      </c>
      <c r="E64" s="66">
        <f>EXP(Coeffs!$E$13+(Coeffs!$E$6*Drivers!D62)+(Coeffs!$E$7*Drivers!E62)+(Coeffs!$E$8*Drivers!F62))</f>
        <v>17.055850920591769</v>
      </c>
      <c r="F64" s="66">
        <f>EXP(Coeffs!$F$13+(Coeffs!$F$9*Drivers!G62)+(Coeffs!$F$10*Drivers!H62))</f>
        <v>5.0360263384682682</v>
      </c>
      <c r="G64" s="66">
        <f>EXP(Coeffs!$G$13+(Coeffs!$G$9*Drivers!G62)+(Coeffs!$G$11*Drivers!I62)+(Coeffs!$G$12*Drivers!J62))</f>
        <v>6.2600425064664371</v>
      </c>
      <c r="H64" s="66">
        <f>EXP(Coeffs!$H$13+(Coeffs!$H$7*Drivers!E62)+(Coeffs!$H$9*Drivers!G62)+(Coeffs!$H$10*Drivers!H62))</f>
        <v>22.317547347914896</v>
      </c>
      <c r="I64" s="66">
        <f>EXP(Coeffs!$I$13+(Coeffs!$I$7*Drivers!E62)+(Coeffs!$I$8*Drivers!F62)+(Coeffs!$I$9*Drivers!G62)+(Coeffs!$I$10*Drivers!H62))</f>
        <v>22.374699961814649</v>
      </c>
      <c r="J64" s="66">
        <f>EXP(Coeffs!$J$13+(Coeffs!$J$7*Drivers!E62)+(Coeffs!$J$8*Drivers!F62)+(Coeffs!$J$9*Drivers!G62)+(Coeffs!$J$11*Drivers!I62)+(Coeffs!$J$12*Drivers!J62))</f>
        <v>26.067688121789303</v>
      </c>
      <c r="K64" s="38"/>
      <c r="L64" s="66">
        <f xml:space="preserve"> (D64 *Drivers!$L62 * 1000 / 1000000)</f>
        <v>8.9508365499655476</v>
      </c>
      <c r="M64" s="66">
        <f xml:space="preserve"> (E64 *Drivers!$L62 * 1000 / 1000000)</f>
        <v>8.8602757713345373</v>
      </c>
      <c r="N64" s="66">
        <f xml:space="preserve"> (F64 *Drivers!$L62 * 1000 / 1000000)</f>
        <v>2.6161451784655272</v>
      </c>
      <c r="O64" s="66">
        <f xml:space="preserve"> (G64 *Drivers!$L62 * 1000 / 1000000)</f>
        <v>3.2520044415142233</v>
      </c>
      <c r="P64" s="66">
        <f xml:space="preserve"> (H64 *Drivers!$L62 * 1000 / 1000000)</f>
        <v>11.593653401578917</v>
      </c>
      <c r="Q64" s="66">
        <f xml:space="preserve"> (I64 *Drivers!$L62 * 1000 / 1000000)</f>
        <v>11.623343384363245</v>
      </c>
      <c r="R64" s="66">
        <f xml:space="preserve"> (J64 *Drivers!$L62 * 1000 / 1000000)</f>
        <v>13.541799031635838</v>
      </c>
      <c r="S64" s="38"/>
      <c r="T64" s="66">
        <f t="shared" si="11"/>
        <v>8.9055561606500433</v>
      </c>
      <c r="U64" s="66">
        <f t="shared" si="2"/>
        <v>2.934074809989875</v>
      </c>
      <c r="V64" s="53">
        <f t="shared" si="3"/>
        <v>12.252931939192667</v>
      </c>
      <c r="W64" s="38"/>
      <c r="X64" s="53">
        <f t="shared" si="12"/>
        <v>11.839630970639918</v>
      </c>
      <c r="Y64" s="53">
        <f t="shared" si="13"/>
        <v>12.252931939192667</v>
      </c>
      <c r="Z64" s="53">
        <f t="shared" si="14"/>
        <v>12.046281454916294</v>
      </c>
      <c r="AA64" s="38"/>
      <c r="AB64" s="53">
        <f>Controls!$F$17*Z64</f>
        <v>10.064408364233696</v>
      </c>
      <c r="AC64" s="53">
        <f>-(INDEX(Controls!$G$19:$G$23,MATCH($C64,Controls!$C$19:$C$23,0),0))*$Z64</f>
        <v>0</v>
      </c>
      <c r="AD64" s="67">
        <f t="shared" si="15"/>
        <v>10.064408364233696</v>
      </c>
      <c r="AE64" s="38"/>
      <c r="AG64" s="81"/>
    </row>
    <row r="65" spans="1:33" x14ac:dyDescent="0.2">
      <c r="A65" s="13" t="s">
        <v>116</v>
      </c>
      <c r="B65" s="13" t="str">
        <f t="shared" si="10"/>
        <v>BRL</v>
      </c>
      <c r="C65" s="13">
        <v>2024</v>
      </c>
      <c r="D65" s="111">
        <f>EXP(Coeffs!$D$13+(Coeffs!$D$6*Drivers!D63)+(Coeffs!$D$7*Drivers!E63))</f>
        <v>17.395644300305715</v>
      </c>
      <c r="E65" s="66">
        <f>EXP(Coeffs!$E$13+(Coeffs!$E$6*Drivers!D63)+(Coeffs!$E$7*Drivers!E63)+(Coeffs!$E$8*Drivers!F63))</f>
        <v>17.206400849896426</v>
      </c>
      <c r="F65" s="66">
        <f>EXP(Coeffs!$F$13+(Coeffs!$F$9*Drivers!G63)+(Coeffs!$F$10*Drivers!H63))</f>
        <v>5.0168212084707369</v>
      </c>
      <c r="G65" s="66">
        <f>EXP(Coeffs!$G$13+(Coeffs!$G$9*Drivers!G63)+(Coeffs!$G$11*Drivers!I63)+(Coeffs!$G$12*Drivers!J63))</f>
        <v>6.2364357898156033</v>
      </c>
      <c r="H65" s="66">
        <f>EXP(Coeffs!$H$13+(Coeffs!$H$7*Drivers!E63)+(Coeffs!$H$9*Drivers!G63)+(Coeffs!$H$10*Drivers!H63))</f>
        <v>22.37927995348468</v>
      </c>
      <c r="I65" s="66">
        <f>EXP(Coeffs!$I$13+(Coeffs!$I$7*Drivers!E63)+(Coeffs!$I$8*Drivers!F63)+(Coeffs!$I$9*Drivers!G63)+(Coeffs!$I$10*Drivers!H63))</f>
        <v>22.452176313039011</v>
      </c>
      <c r="J65" s="66">
        <f>EXP(Coeffs!$J$13+(Coeffs!$J$7*Drivers!E63)+(Coeffs!$J$8*Drivers!F63)+(Coeffs!$J$9*Drivers!G63)+(Coeffs!$J$11*Drivers!I63)+(Coeffs!$J$12*Drivers!J63))</f>
        <v>26.107882115804898</v>
      </c>
      <c r="K65" s="38"/>
      <c r="L65" s="66">
        <f xml:space="preserve"> (D65 *Drivers!$L63 * 1000 / 1000000)</f>
        <v>9.1302778674584584</v>
      </c>
      <c r="M65" s="66">
        <f xml:space="preserve"> (E65 *Drivers!$L63 * 1000 / 1000000)</f>
        <v>9.0309515500766366</v>
      </c>
      <c r="N65" s="66">
        <f xml:space="preserve"> (F65 *Drivers!$L63 * 1000 / 1000000)</f>
        <v>2.6331287794779512</v>
      </c>
      <c r="O65" s="66">
        <f xml:space="preserve"> (G65 *Drivers!$L63 * 1000 / 1000000)</f>
        <v>3.2732556886426178</v>
      </c>
      <c r="P65" s="66">
        <f xml:space="preserve"> (H65 *Drivers!$L63 * 1000 / 1000000)</f>
        <v>11.745988876385969</v>
      </c>
      <c r="Q65" s="66">
        <f xml:space="preserve"> (I65 *Drivers!$L63 * 1000 / 1000000)</f>
        <v>11.784249259661657</v>
      </c>
      <c r="R65" s="66">
        <f xml:space="preserve"> (J65 *Drivers!$L63 * 1000 / 1000000)</f>
        <v>13.702983007301361</v>
      </c>
      <c r="S65" s="38"/>
      <c r="T65" s="66">
        <f t="shared" si="11"/>
        <v>9.0806147087675484</v>
      </c>
      <c r="U65" s="66">
        <f t="shared" si="2"/>
        <v>2.9531922340602845</v>
      </c>
      <c r="V65" s="53">
        <f t="shared" si="3"/>
        <v>12.41107371444966</v>
      </c>
      <c r="W65" s="38"/>
      <c r="X65" s="53">
        <f t="shared" si="12"/>
        <v>12.033806942827834</v>
      </c>
      <c r="Y65" s="53">
        <f t="shared" si="13"/>
        <v>12.41107371444966</v>
      </c>
      <c r="Z65" s="53">
        <f t="shared" si="14"/>
        <v>12.222440328638747</v>
      </c>
      <c r="AA65" s="38"/>
      <c r="AB65" s="53">
        <f>Controls!$F$17*Z65</f>
        <v>10.211585304168358</v>
      </c>
      <c r="AC65" s="53">
        <f>-(INDEX(Controls!$G$19:$G$23,MATCH($C65,Controls!$C$19:$C$23,0),0))*$Z65</f>
        <v>0</v>
      </c>
      <c r="AD65" s="67">
        <f t="shared" si="15"/>
        <v>10.211585304168358</v>
      </c>
      <c r="AE65" s="38"/>
      <c r="AG65" s="81"/>
    </row>
    <row r="66" spans="1:33" x14ac:dyDescent="0.2">
      <c r="A66" s="13" t="s">
        <v>117</v>
      </c>
      <c r="B66" s="13" t="str">
        <f t="shared" si="10"/>
        <v>BRL</v>
      </c>
      <c r="C66" s="13">
        <v>2025</v>
      </c>
      <c r="D66" s="111">
        <f>EXP(Coeffs!$D$13+(Coeffs!$D$6*Drivers!D64)+(Coeffs!$D$7*Drivers!E64))</f>
        <v>17.567940537617137</v>
      </c>
      <c r="E66" s="66">
        <f>EXP(Coeffs!$E$13+(Coeffs!$E$6*Drivers!D64)+(Coeffs!$E$7*Drivers!E64)+(Coeffs!$E$8*Drivers!F64))</f>
        <v>17.363583852156765</v>
      </c>
      <c r="F66" s="66">
        <f>EXP(Coeffs!$F$13+(Coeffs!$F$9*Drivers!G64)+(Coeffs!$F$10*Drivers!H64))</f>
        <v>4.9862223805304398</v>
      </c>
      <c r="G66" s="66">
        <f>EXP(Coeffs!$G$13+(Coeffs!$G$9*Drivers!G64)+(Coeffs!$G$11*Drivers!I64)+(Coeffs!$G$12*Drivers!J64))</f>
        <v>6.1988219877936865</v>
      </c>
      <c r="H66" s="66">
        <f>EXP(Coeffs!$H$13+(Coeffs!$H$7*Drivers!E64)+(Coeffs!$H$9*Drivers!G64)+(Coeffs!$H$10*Drivers!H64))</f>
        <v>22.423147258211074</v>
      </c>
      <c r="I66" s="66">
        <f>EXP(Coeffs!$I$13+(Coeffs!$I$7*Drivers!E64)+(Coeffs!$I$8*Drivers!F64)+(Coeffs!$I$9*Drivers!G64)+(Coeffs!$I$10*Drivers!H64))</f>
        <v>22.51080153591538</v>
      </c>
      <c r="J66" s="66">
        <f>EXP(Coeffs!$J$13+(Coeffs!$J$7*Drivers!E64)+(Coeffs!$J$8*Drivers!F64)+(Coeffs!$J$9*Drivers!G64)+(Coeffs!$J$11*Drivers!I64)+(Coeffs!$J$12*Drivers!J64))</f>
        <v>26.121772868908192</v>
      </c>
      <c r="K66" s="38"/>
      <c r="L66" s="66">
        <f xml:space="preserve"> (D66 *Drivers!$L64 * 1000 / 1000000)</f>
        <v>9.3129409583962204</v>
      </c>
      <c r="M66" s="66">
        <f xml:space="preserve"> (E66 *Drivers!$L64 * 1000 / 1000000)</f>
        <v>9.2046094358668231</v>
      </c>
      <c r="N66" s="66">
        <f xml:space="preserve"> (F66 *Drivers!$L64 * 1000 / 1000000)</f>
        <v>2.6432463461429916</v>
      </c>
      <c r="O66" s="66">
        <f xml:space="preserve"> (G66 *Drivers!$L64 * 1000 / 1000000)</f>
        <v>3.2860575239493115</v>
      </c>
      <c r="P66" s="66">
        <f xml:space="preserve"> (H66 *Drivers!$L64 * 1000 / 1000000)</f>
        <v>11.886734593050273</v>
      </c>
      <c r="Q66" s="66">
        <f xml:space="preserve"> (I66 *Drivers!$L64 * 1000 / 1000000)</f>
        <v>11.933201002204104</v>
      </c>
      <c r="R66" s="66">
        <f xml:space="preserve"> (J66 *Drivers!$L64 * 1000 / 1000000)</f>
        <v>13.847413015536922</v>
      </c>
      <c r="S66" s="38"/>
      <c r="T66" s="66">
        <f t="shared" si="11"/>
        <v>9.2587751971315218</v>
      </c>
      <c r="U66" s="66">
        <f t="shared" si="2"/>
        <v>2.9646519350461515</v>
      </c>
      <c r="V66" s="53">
        <f t="shared" si="3"/>
        <v>12.555782870263766</v>
      </c>
      <c r="W66" s="38"/>
      <c r="X66" s="53">
        <f t="shared" si="12"/>
        <v>12.223427132177672</v>
      </c>
      <c r="Y66" s="53">
        <f t="shared" si="13"/>
        <v>12.555782870263766</v>
      </c>
      <c r="Z66" s="53">
        <f t="shared" si="14"/>
        <v>12.389605001220719</v>
      </c>
      <c r="AA66" s="38"/>
      <c r="AB66" s="53">
        <f>Controls!$F$17*Z66</f>
        <v>10.351247783020018</v>
      </c>
      <c r="AC66" s="53">
        <f>-(INDEX(Controls!$G$19:$G$23,MATCH($C66,Controls!$C$19:$C$23,0),0))*$Z66</f>
        <v>0</v>
      </c>
      <c r="AD66" s="67">
        <f t="shared" si="15"/>
        <v>10.351247783020018</v>
      </c>
      <c r="AE66" s="38"/>
      <c r="AG66" s="81"/>
    </row>
    <row r="67" spans="1:33" x14ac:dyDescent="0.2">
      <c r="A67" s="13" t="s">
        <v>118</v>
      </c>
      <c r="B67" s="13" t="str">
        <f t="shared" si="10"/>
        <v>DVW</v>
      </c>
      <c r="C67" s="13">
        <v>2021</v>
      </c>
      <c r="D67" s="111">
        <f>EXP(Coeffs!$D$13+(Coeffs!$D$6*Drivers!D65)+(Coeffs!$D$7*Drivers!E65))</f>
        <v>16.841124547364522</v>
      </c>
      <c r="E67" s="66">
        <f>EXP(Coeffs!$E$13+(Coeffs!$E$6*Drivers!D65)+(Coeffs!$E$7*Drivers!E65)+(Coeffs!$E$8*Drivers!F65))</f>
        <v>17.888990807551092</v>
      </c>
      <c r="F67" s="66">
        <f>EXP(Coeffs!$F$13+(Coeffs!$F$9*Drivers!G65)+(Coeffs!$F$10*Drivers!H65))</f>
        <v>4.8603253322822573</v>
      </c>
      <c r="G67" s="66">
        <f>EXP(Coeffs!$G$13+(Coeffs!$G$9*Drivers!G65)+(Coeffs!$G$11*Drivers!I65)+(Coeffs!$G$12*Drivers!J65))</f>
        <v>4.3967365361243083</v>
      </c>
      <c r="H67" s="66">
        <f>EXP(Coeffs!$H$13+(Coeffs!$H$7*Drivers!E65)+(Coeffs!$H$9*Drivers!G65)+(Coeffs!$H$10*Drivers!H65))</f>
        <v>21.447254023469288</v>
      </c>
      <c r="I67" s="66">
        <f>EXP(Coeffs!$I$13+(Coeffs!$I$7*Drivers!E65)+(Coeffs!$I$8*Drivers!F65)+(Coeffs!$I$9*Drivers!G65)+(Coeffs!$I$10*Drivers!H65))</f>
        <v>23.888496280869052</v>
      </c>
      <c r="J67" s="66">
        <f>EXP(Coeffs!$J$13+(Coeffs!$J$7*Drivers!E65)+(Coeffs!$J$8*Drivers!F65)+(Coeffs!$J$9*Drivers!G65)+(Coeffs!$J$11*Drivers!I65)+(Coeffs!$J$12*Drivers!J65))</f>
        <v>22.312705353799778</v>
      </c>
      <c r="K67" s="38"/>
      <c r="L67" s="66">
        <f xml:space="preserve"> (D67 *Drivers!$L65 * 1000 / 1000000)</f>
        <v>1.99046935137756</v>
      </c>
      <c r="M67" s="66">
        <f xml:space="preserve"> (E67 *Drivers!$L65 * 1000 / 1000000)</f>
        <v>2.114317712535271</v>
      </c>
      <c r="N67" s="66">
        <f xml:space="preserve"> (F67 *Drivers!$L65 * 1000 / 1000000)</f>
        <v>0.57444671134777214</v>
      </c>
      <c r="O67" s="66">
        <f xml:space="preserve"> (G67 *Drivers!$L65 * 1000 / 1000000)</f>
        <v>0.51965468794106817</v>
      </c>
      <c r="P67" s="66">
        <f xml:space="preserve"> (H67 *Drivers!$L65 * 1000 / 1000000)</f>
        <v>2.5348724002878589</v>
      </c>
      <c r="Q67" s="66">
        <f xml:space="preserve"> (I67 *Drivers!$L65 * 1000 / 1000000)</f>
        <v>2.823405263932194</v>
      </c>
      <c r="R67" s="66">
        <f xml:space="preserve"> (J67 *Drivers!$L65 * 1000 / 1000000)</f>
        <v>2.6371609584709494</v>
      </c>
      <c r="S67" s="38"/>
      <c r="T67" s="66">
        <f t="shared" si="11"/>
        <v>2.0523935319564153</v>
      </c>
      <c r="U67" s="66">
        <f t="shared" si="2"/>
        <v>0.54705069964442021</v>
      </c>
      <c r="V67" s="53">
        <f t="shared" si="3"/>
        <v>2.6651462075636672</v>
      </c>
      <c r="W67" s="38"/>
      <c r="X67" s="53">
        <f t="shared" si="12"/>
        <v>2.5994442316008355</v>
      </c>
      <c r="Y67" s="53">
        <f t="shared" si="13"/>
        <v>2.6651462075636672</v>
      </c>
      <c r="Z67" s="53">
        <f t="shared" si="14"/>
        <v>2.6322952195822511</v>
      </c>
      <c r="AA67" s="38"/>
      <c r="AB67" s="53">
        <f>Controls!$F$17*Z67</f>
        <v>2.1992258876106487</v>
      </c>
      <c r="AC67" s="53">
        <f>-(INDEX(Controls!$G$19:$G$23,MATCH($C67,Controls!$C$19:$C$23,0),0))*$Z67</f>
        <v>0</v>
      </c>
      <c r="AD67" s="67">
        <f t="shared" si="15"/>
        <v>2.1992258876106487</v>
      </c>
      <c r="AE67" s="38"/>
      <c r="AG67" s="81"/>
    </row>
    <row r="68" spans="1:33" x14ac:dyDescent="0.2">
      <c r="A68" s="13" t="s">
        <v>119</v>
      </c>
      <c r="B68" s="13" t="str">
        <f t="shared" si="10"/>
        <v>DVW</v>
      </c>
      <c r="C68" s="13">
        <v>2022</v>
      </c>
      <c r="D68" s="111">
        <f>EXP(Coeffs!$D$13+(Coeffs!$D$6*Drivers!D66)+(Coeffs!$D$7*Drivers!E66))</f>
        <v>16.961877313933311</v>
      </c>
      <c r="E68" s="66">
        <f>EXP(Coeffs!$E$13+(Coeffs!$E$6*Drivers!D66)+(Coeffs!$E$7*Drivers!E66)+(Coeffs!$E$8*Drivers!F66))</f>
        <v>18.008243732384216</v>
      </c>
      <c r="F68" s="66">
        <f>EXP(Coeffs!$F$13+(Coeffs!$F$9*Drivers!G66)+(Coeffs!$F$10*Drivers!H66))</f>
        <v>4.7825429865351881</v>
      </c>
      <c r="G68" s="66">
        <f>EXP(Coeffs!$G$13+(Coeffs!$G$9*Drivers!G66)+(Coeffs!$G$11*Drivers!I66)+(Coeffs!$G$12*Drivers!J66))</f>
        <v>4.3271532457792565</v>
      </c>
      <c r="H68" s="66">
        <f>EXP(Coeffs!$H$13+(Coeffs!$H$7*Drivers!E66)+(Coeffs!$H$9*Drivers!G66)+(Coeffs!$H$10*Drivers!H66))</f>
        <v>21.375257359294402</v>
      </c>
      <c r="I68" s="66">
        <f>EXP(Coeffs!$I$13+(Coeffs!$I$7*Drivers!E66)+(Coeffs!$I$8*Drivers!F66)+(Coeffs!$I$9*Drivers!G66)+(Coeffs!$I$10*Drivers!H66))</f>
        <v>23.807405709185769</v>
      </c>
      <c r="J68" s="66">
        <f>EXP(Coeffs!$J$13+(Coeffs!$J$7*Drivers!E66)+(Coeffs!$J$8*Drivers!F66)+(Coeffs!$J$9*Drivers!G66)+(Coeffs!$J$11*Drivers!I66)+(Coeffs!$J$12*Drivers!J66))</f>
        <v>22.18818069460724</v>
      </c>
      <c r="K68" s="38"/>
      <c r="L68" s="66">
        <f xml:space="preserve"> (D68 *Drivers!$L66 * 1000 / 1000000)</f>
        <v>2.0170284255373052</v>
      </c>
      <c r="M68" s="66">
        <f xml:space="preserve"> (E68 *Drivers!$L66 * 1000 / 1000000)</f>
        <v>2.1414575067339618</v>
      </c>
      <c r="N68" s="66">
        <f xml:space="preserve"> (F68 *Drivers!$L66 * 1000 / 1000000)</f>
        <v>0.56871801226102658</v>
      </c>
      <c r="O68" s="66">
        <f xml:space="preserve"> (G68 *Drivers!$L66 * 1000 / 1000000)</f>
        <v>0.5145651590831386</v>
      </c>
      <c r="P68" s="66">
        <f xml:space="preserve"> (H68 *Drivers!$L66 * 1000 / 1000000)</f>
        <v>2.5418472789834374</v>
      </c>
      <c r="Q68" s="66">
        <f xml:space="preserve"> (I68 *Drivers!$L66 * 1000 / 1000000)</f>
        <v>2.8310671728701089</v>
      </c>
      <c r="R68" s="66">
        <f xml:space="preserve"> (J68 *Drivers!$L66 * 1000 / 1000000)</f>
        <v>2.6385163825714977</v>
      </c>
      <c r="S68" s="38"/>
      <c r="T68" s="66">
        <f t="shared" si="11"/>
        <v>2.0792429661356335</v>
      </c>
      <c r="U68" s="66">
        <f t="shared" si="2"/>
        <v>0.54164158567208265</v>
      </c>
      <c r="V68" s="53">
        <f t="shared" si="3"/>
        <v>2.6704769448083479</v>
      </c>
      <c r="W68" s="38"/>
      <c r="X68" s="53">
        <f t="shared" si="12"/>
        <v>2.6208845518077162</v>
      </c>
      <c r="Y68" s="53">
        <f t="shared" si="13"/>
        <v>2.6704769448083479</v>
      </c>
      <c r="Z68" s="53">
        <f t="shared" si="14"/>
        <v>2.645680748308032</v>
      </c>
      <c r="AA68" s="38"/>
      <c r="AB68" s="53">
        <f>Controls!$F$17*Z68</f>
        <v>2.210409208187345</v>
      </c>
      <c r="AC68" s="53">
        <f>-(INDEX(Controls!$G$19:$G$23,MATCH($C68,Controls!$C$19:$C$23,0),0))*$Z68</f>
        <v>0</v>
      </c>
      <c r="AD68" s="67">
        <f t="shared" si="15"/>
        <v>2.210409208187345</v>
      </c>
      <c r="AE68" s="38"/>
      <c r="AG68" s="81"/>
    </row>
    <row r="69" spans="1:33" x14ac:dyDescent="0.2">
      <c r="A69" s="13" t="s">
        <v>120</v>
      </c>
      <c r="B69" s="13" t="str">
        <f t="shared" si="10"/>
        <v>DVW</v>
      </c>
      <c r="C69" s="13">
        <v>2023</v>
      </c>
      <c r="D69" s="111">
        <f>EXP(Coeffs!$D$13+(Coeffs!$D$6*Drivers!D67)+(Coeffs!$D$7*Drivers!E67))</f>
        <v>17.078385118329805</v>
      </c>
      <c r="E69" s="66">
        <f>EXP(Coeffs!$E$13+(Coeffs!$E$6*Drivers!D67)+(Coeffs!$E$7*Drivers!E67)+(Coeffs!$E$8*Drivers!F67))</f>
        <v>18.123060990944207</v>
      </c>
      <c r="F69" s="66">
        <f>EXP(Coeffs!$F$13+(Coeffs!$F$9*Drivers!G67)+(Coeffs!$F$10*Drivers!H67))</f>
        <v>4.7049133311108475</v>
      </c>
      <c r="G69" s="66">
        <f>EXP(Coeffs!$G$13+(Coeffs!$G$9*Drivers!G67)+(Coeffs!$G$11*Drivers!I67)+(Coeffs!$G$12*Drivers!J67))</f>
        <v>4.2576939405379575</v>
      </c>
      <c r="H69" s="66">
        <f>EXP(Coeffs!$H$13+(Coeffs!$H$7*Drivers!E67)+(Coeffs!$H$9*Drivers!G67)+(Coeffs!$H$10*Drivers!H67))</f>
        <v>21.298597723428284</v>
      </c>
      <c r="I69" s="66">
        <f>EXP(Coeffs!$I$13+(Coeffs!$I$7*Drivers!E67)+(Coeffs!$I$8*Drivers!F67)+(Coeffs!$I$9*Drivers!G67)+(Coeffs!$I$10*Drivers!H67))</f>
        <v>23.719783683618218</v>
      </c>
      <c r="J69" s="66">
        <f>EXP(Coeffs!$J$13+(Coeffs!$J$7*Drivers!E67)+(Coeffs!$J$8*Drivers!F67)+(Coeffs!$J$9*Drivers!G67)+(Coeffs!$J$11*Drivers!I67)+(Coeffs!$J$12*Drivers!J67))</f>
        <v>22.058441996214619</v>
      </c>
      <c r="K69" s="38"/>
      <c r="L69" s="66">
        <f xml:space="preserve"> (D69 *Drivers!$L67 * 1000 / 1000000)</f>
        <v>2.043254579879954</v>
      </c>
      <c r="M69" s="66">
        <f xml:space="preserve"> (E69 *Drivers!$L67 * 1000 / 1000000)</f>
        <v>2.1682393923443661</v>
      </c>
      <c r="N69" s="66">
        <f xml:space="preserve"> (F69 *Drivers!$L67 * 1000 / 1000000)</f>
        <v>0.56289488995143555</v>
      </c>
      <c r="O69" s="66">
        <f xml:space="preserve"> (G69 *Drivers!$L67 * 1000 / 1000000)</f>
        <v>0.50938965150717297</v>
      </c>
      <c r="P69" s="66">
        <f xml:space="preserve"> (H69 *Drivers!$L67 * 1000 / 1000000)</f>
        <v>2.5481599719114145</v>
      </c>
      <c r="Q69" s="66">
        <f xml:space="preserve"> (I69 *Drivers!$L67 * 1000 / 1000000)</f>
        <v>2.8378301759513462</v>
      </c>
      <c r="R69" s="66">
        <f xml:space="preserve"> (J69 *Drivers!$L67 * 1000 / 1000000)</f>
        <v>2.6390675887387176</v>
      </c>
      <c r="S69" s="38"/>
      <c r="T69" s="66">
        <f t="shared" si="11"/>
        <v>2.1057469861121598</v>
      </c>
      <c r="U69" s="66">
        <f t="shared" si="2"/>
        <v>0.5361422707293042</v>
      </c>
      <c r="V69" s="53">
        <f t="shared" si="3"/>
        <v>2.675019245533826</v>
      </c>
      <c r="W69" s="38"/>
      <c r="X69" s="53">
        <f t="shared" si="12"/>
        <v>2.641889256841464</v>
      </c>
      <c r="Y69" s="53">
        <f t="shared" si="13"/>
        <v>2.675019245533826</v>
      </c>
      <c r="Z69" s="53">
        <f t="shared" si="14"/>
        <v>2.6584542511876448</v>
      </c>
      <c r="AA69" s="38"/>
      <c r="AB69" s="53">
        <f>Controls!$F$17*Z69</f>
        <v>2.2210811943685802</v>
      </c>
      <c r="AC69" s="53">
        <f>-(INDEX(Controls!$G$19:$G$23,MATCH($C69,Controls!$C$19:$C$23,0),0))*$Z69</f>
        <v>0</v>
      </c>
      <c r="AD69" s="67">
        <f t="shared" si="15"/>
        <v>2.2210811943685802</v>
      </c>
      <c r="AE69" s="38"/>
      <c r="AG69" s="81"/>
    </row>
    <row r="70" spans="1:33" x14ac:dyDescent="0.2">
      <c r="A70" s="13" t="s">
        <v>121</v>
      </c>
      <c r="B70" s="13" t="str">
        <f t="shared" si="10"/>
        <v>DVW</v>
      </c>
      <c r="C70" s="13">
        <v>2024</v>
      </c>
      <c r="D70" s="111">
        <f>EXP(Coeffs!$D$13+(Coeffs!$D$6*Drivers!D68)+(Coeffs!$D$7*Drivers!E68))</f>
        <v>17.191691309344879</v>
      </c>
      <c r="E70" s="66">
        <f>EXP(Coeffs!$E$13+(Coeffs!$E$6*Drivers!D68)+(Coeffs!$E$7*Drivers!E68)+(Coeffs!$E$8*Drivers!F68))</f>
        <v>18.234523234486463</v>
      </c>
      <c r="F70" s="66">
        <f>EXP(Coeffs!$F$13+(Coeffs!$F$9*Drivers!G68)+(Coeffs!$F$10*Drivers!H68))</f>
        <v>4.6274382723462599</v>
      </c>
      <c r="G70" s="66">
        <f>EXP(Coeffs!$G$13+(Coeffs!$G$9*Drivers!G68)+(Coeffs!$G$11*Drivers!I68)+(Coeffs!$G$12*Drivers!J68))</f>
        <v>4.1883601913131834</v>
      </c>
      <c r="H70" s="66">
        <f>EXP(Coeffs!$H$13+(Coeffs!$H$7*Drivers!E68)+(Coeffs!$H$9*Drivers!G68)+(Coeffs!$H$10*Drivers!H68))</f>
        <v>21.217906273952345</v>
      </c>
      <c r="I70" s="66">
        <f>EXP(Coeffs!$I$13+(Coeffs!$I$7*Drivers!E68)+(Coeffs!$I$8*Drivers!F68)+(Coeffs!$I$9*Drivers!G68)+(Coeffs!$I$10*Drivers!H68))</f>
        <v>23.626590169314827</v>
      </c>
      <c r="J70" s="66">
        <f>EXP(Coeffs!$J$13+(Coeffs!$J$7*Drivers!E68)+(Coeffs!$J$8*Drivers!F68)+(Coeffs!$J$9*Drivers!G68)+(Coeffs!$J$11*Drivers!I68)+(Coeffs!$J$12*Drivers!J68))</f>
        <v>21.924245643075015</v>
      </c>
      <c r="K70" s="38"/>
      <c r="L70" s="66">
        <f xml:space="preserve"> (D70 *Drivers!$L68 * 1000 / 1000000)</f>
        <v>2.0692641710962487</v>
      </c>
      <c r="M70" s="66">
        <f xml:space="preserve"> (E70 *Drivers!$L68 * 1000 / 1000000)</f>
        <v>2.1947838015003756</v>
      </c>
      <c r="N70" s="66">
        <f xml:space="preserve"> (F70 *Drivers!$L68 * 1000 / 1000000)</f>
        <v>0.55697790570033967</v>
      </c>
      <c r="O70" s="66">
        <f xml:space="preserve"> (G70 *Drivers!$L68 * 1000 / 1000000)</f>
        <v>0.50412862373925826</v>
      </c>
      <c r="P70" s="66">
        <f xml:space="preserve"> (H70 *Drivers!$L68 * 1000 / 1000000)</f>
        <v>2.5538763143392544</v>
      </c>
      <c r="Q70" s="66">
        <f xml:space="preserve"> (I70 *Drivers!$L68 * 1000 / 1000000)</f>
        <v>2.8437956244574436</v>
      </c>
      <c r="R70" s="66">
        <f xml:space="preserve"> (J70 *Drivers!$L68 * 1000 / 1000000)</f>
        <v>2.6388942874322092</v>
      </c>
      <c r="S70" s="38"/>
      <c r="T70" s="66">
        <f t="shared" si="11"/>
        <v>2.1320239862983121</v>
      </c>
      <c r="U70" s="66">
        <f t="shared" si="2"/>
        <v>0.53055326471979902</v>
      </c>
      <c r="V70" s="53">
        <f t="shared" si="3"/>
        <v>2.6788554087429688</v>
      </c>
      <c r="W70" s="38"/>
      <c r="X70" s="53">
        <f t="shared" si="12"/>
        <v>2.6625772510181109</v>
      </c>
      <c r="Y70" s="53">
        <f t="shared" si="13"/>
        <v>2.6788554087429688</v>
      </c>
      <c r="Z70" s="53">
        <f t="shared" si="14"/>
        <v>2.6707163298805399</v>
      </c>
      <c r="AA70" s="38"/>
      <c r="AB70" s="53">
        <f>Controls!$F$17*Z70</f>
        <v>2.2313258966712395</v>
      </c>
      <c r="AC70" s="53">
        <f>-(INDEX(Controls!$G$19:$G$23,MATCH($C70,Controls!$C$19:$C$23,0),0))*$Z70</f>
        <v>0</v>
      </c>
      <c r="AD70" s="67">
        <f t="shared" si="15"/>
        <v>2.2313258966712395</v>
      </c>
      <c r="AE70" s="38"/>
      <c r="AG70" s="81"/>
    </row>
    <row r="71" spans="1:33" x14ac:dyDescent="0.2">
      <c r="A71" s="13" t="s">
        <v>122</v>
      </c>
      <c r="B71" s="13" t="str">
        <f t="shared" ref="B71" si="16">LEFT(A71,3)</f>
        <v>DVW</v>
      </c>
      <c r="C71" s="13">
        <v>2025</v>
      </c>
      <c r="D71" s="111">
        <f>EXP(Coeffs!$D$13+(Coeffs!$D$6*Drivers!D69)+(Coeffs!$D$7*Drivers!E69))</f>
        <v>17.300501770137476</v>
      </c>
      <c r="E71" s="66">
        <f>EXP(Coeffs!$E$13+(Coeffs!$E$6*Drivers!D69)+(Coeffs!$E$7*Drivers!E69)+(Coeffs!$E$8*Drivers!F69))</f>
        <v>18.341304378508916</v>
      </c>
      <c r="F71" s="66">
        <f>EXP(Coeffs!$F$13+(Coeffs!$F$9*Drivers!G69)+(Coeffs!$F$10*Drivers!H69))</f>
        <v>4.5501197687331834</v>
      </c>
      <c r="G71" s="66">
        <f>EXP(Coeffs!$G$13+(Coeffs!$G$9*Drivers!G69)+(Coeffs!$G$11*Drivers!I69)+(Coeffs!$G$12*Drivers!J69))</f>
        <v>4.119153612293041</v>
      </c>
      <c r="H71" s="66">
        <f>EXP(Coeffs!$H$13+(Coeffs!$H$7*Drivers!E69)+(Coeffs!$H$9*Drivers!G69)+(Coeffs!$H$10*Drivers!H69))</f>
        <v>21.132495625744703</v>
      </c>
      <c r="I71" s="66">
        <f>EXP(Coeffs!$I$13+(Coeffs!$I$7*Drivers!E69)+(Coeffs!$I$8*Drivers!F69)+(Coeffs!$I$9*Drivers!G69)+(Coeffs!$I$10*Drivers!H69))</f>
        <v>23.526802477736005</v>
      </c>
      <c r="J71" s="66">
        <f>EXP(Coeffs!$J$13+(Coeffs!$J$7*Drivers!E69)+(Coeffs!$J$8*Drivers!F69)+(Coeffs!$J$9*Drivers!G69)+(Coeffs!$J$11*Drivers!I69)+(Coeffs!$J$12*Drivers!J69))</f>
        <v>21.784825028008299</v>
      </c>
      <c r="K71" s="38"/>
      <c r="L71" s="66">
        <f xml:space="preserve"> (D71 *Drivers!$L69 * 1000 / 1000000)</f>
        <v>2.0948935386434688</v>
      </c>
      <c r="M71" s="66">
        <f xml:space="preserve"> (E71 *Drivers!$L69 * 1000 / 1000000)</f>
        <v>2.2209228693675147</v>
      </c>
      <c r="N71" s="66">
        <f xml:space="preserve"> (F71 *Drivers!$L69 * 1000 / 1000000)</f>
        <v>0.5509676326282249</v>
      </c>
      <c r="O71" s="66">
        <f xml:space="preserve"> (G71 *Drivers!$L69 * 1000 / 1000000)</f>
        <v>0.49878254409750711</v>
      </c>
      <c r="P71" s="66">
        <f xml:space="preserve"> (H71 *Drivers!$L69 * 1000 / 1000000)</f>
        <v>2.5589043098275499</v>
      </c>
      <c r="Q71" s="66">
        <f xml:space="preserve"> (I71 *Drivers!$L69 * 1000 / 1000000)</f>
        <v>2.848827574505584</v>
      </c>
      <c r="R71" s="66">
        <f xml:space="preserve"> (J71 *Drivers!$L69 * 1000 / 1000000)</f>
        <v>2.6378939638864853</v>
      </c>
      <c r="S71" s="38"/>
      <c r="T71" s="66">
        <f t="shared" ref="T71:T96" si="17">$L$3*L71+$M$3*M71</f>
        <v>2.1579082040054915</v>
      </c>
      <c r="U71" s="66">
        <f t="shared" si="2"/>
        <v>0.524875088362866</v>
      </c>
      <c r="V71" s="53">
        <f t="shared" si="3"/>
        <v>2.6818752827398731</v>
      </c>
      <c r="W71" s="38"/>
      <c r="X71" s="53">
        <f t="shared" ref="X71:X96" si="18">SUM(T71:U71)</f>
        <v>2.6827832923683577</v>
      </c>
      <c r="Y71" s="53">
        <f t="shared" ref="Y71:Y96" si="19">V71</f>
        <v>2.6818752827398731</v>
      </c>
      <c r="Z71" s="53">
        <f t="shared" ref="Z71:Z91" si="20">$X$3*X71+$Y$3*Y71</f>
        <v>2.6823292875541154</v>
      </c>
      <c r="AA71" s="38"/>
      <c r="AB71" s="53">
        <f>Controls!$F$17*Z71</f>
        <v>2.2410282723612687</v>
      </c>
      <c r="AC71" s="53">
        <f>-(INDEX(Controls!$G$19:$G$23,MATCH($C71,Controls!$C$19:$C$23,0),0))*$Z71</f>
        <v>0</v>
      </c>
      <c r="AD71" s="67">
        <f t="shared" ref="AD71" si="21">AB71+AC71</f>
        <v>2.2410282723612687</v>
      </c>
      <c r="AE71" s="38"/>
      <c r="AG71" s="81"/>
    </row>
    <row r="72" spans="1:33" x14ac:dyDescent="0.2">
      <c r="A72" s="13" t="s">
        <v>123</v>
      </c>
      <c r="B72" s="13" t="str">
        <f t="shared" ref="B72:B106" si="22">LEFT(A72,3)</f>
        <v>PRT</v>
      </c>
      <c r="C72" s="13">
        <v>2021</v>
      </c>
      <c r="D72" s="111">
        <f>EXP(Coeffs!$D$13+(Coeffs!$D$6*Drivers!D70)+(Coeffs!$D$7*Drivers!E70))</f>
        <v>14.317607918589294</v>
      </c>
      <c r="E72" s="66">
        <f>EXP(Coeffs!$E$13+(Coeffs!$E$6*Drivers!D70)+(Coeffs!$E$7*Drivers!E70)+(Coeffs!$E$8*Drivers!F70))</f>
        <v>14.624360304083792</v>
      </c>
      <c r="F72" s="66">
        <f>EXP(Coeffs!$F$13+(Coeffs!$F$9*Drivers!G70)+(Coeffs!$F$10*Drivers!H70))</f>
        <v>3.1663206253562528</v>
      </c>
      <c r="G72" s="66">
        <f>EXP(Coeffs!$G$13+(Coeffs!$G$9*Drivers!G70)+(Coeffs!$G$11*Drivers!I70)+(Coeffs!$G$12*Drivers!J70))</f>
        <v>2.9161220246787454</v>
      </c>
      <c r="H72" s="66">
        <f>EXP(Coeffs!$H$13+(Coeffs!$H$7*Drivers!E70)+(Coeffs!$H$9*Drivers!G70)+(Coeffs!$H$10*Drivers!H70))</f>
        <v>16.71348191451623</v>
      </c>
      <c r="I72" s="66">
        <f>EXP(Coeffs!$I$13+(Coeffs!$I$7*Drivers!E70)+(Coeffs!$I$8*Drivers!F70)+(Coeffs!$I$9*Drivers!G70)+(Coeffs!$I$10*Drivers!H70))</f>
        <v>16.786284462453782</v>
      </c>
      <c r="J72" s="66">
        <f>EXP(Coeffs!$J$13+(Coeffs!$J$7*Drivers!E70)+(Coeffs!$J$8*Drivers!F70)+(Coeffs!$J$9*Drivers!G70)+(Coeffs!$J$11*Drivers!I70)+(Coeffs!$J$12*Drivers!J70))</f>
        <v>16.004846126214563</v>
      </c>
      <c r="K72" s="38"/>
      <c r="L72" s="66">
        <f xml:space="preserve"> (D72 *Drivers!$L70 * 1000 / 1000000)</f>
        <v>4.298389296495122</v>
      </c>
      <c r="M72" s="66">
        <f xml:space="preserve"> (E72 *Drivers!$L70 * 1000 / 1000000)</f>
        <v>4.3904815774111237</v>
      </c>
      <c r="N72" s="66">
        <f xml:space="preserve"> (F72 *Drivers!$L70 * 1000 / 1000000)</f>
        <v>0.95058327918257812</v>
      </c>
      <c r="O72" s="66">
        <f xml:space="preserve"> (G72 *Drivers!$L70 * 1000 / 1000000)</f>
        <v>0.87546940588297895</v>
      </c>
      <c r="P72" s="66">
        <f xml:space="preserve"> (H72 *Drivers!$L70 * 1000 / 1000000)</f>
        <v>5.0176713999303182</v>
      </c>
      <c r="Q72" s="66">
        <f xml:space="preserve"> (I72 *Drivers!$L70 * 1000 / 1000000)</f>
        <v>5.0395279624644873</v>
      </c>
      <c r="R72" s="66">
        <f xml:space="preserve"> (J72 *Drivers!$L70 * 1000 / 1000000)</f>
        <v>4.8049268894737569</v>
      </c>
      <c r="S72" s="38"/>
      <c r="T72" s="66">
        <f t="shared" si="17"/>
        <v>4.3444354369531233</v>
      </c>
      <c r="U72" s="66">
        <f t="shared" ref="U72:U96" si="23">$N$3*N72+$O$3*O72</f>
        <v>0.91302634253277848</v>
      </c>
      <c r="V72" s="53">
        <f t="shared" ref="V72:V96" si="24">$P$3*P72+$Q$3*Q72+$R$3*R72</f>
        <v>4.9540420839561872</v>
      </c>
      <c r="W72" s="38"/>
      <c r="X72" s="53">
        <f t="shared" si="18"/>
        <v>5.2574617794859018</v>
      </c>
      <c r="Y72" s="53">
        <f t="shared" si="19"/>
        <v>4.9540420839561872</v>
      </c>
      <c r="Z72" s="53">
        <f t="shared" si="20"/>
        <v>5.1057519317210449</v>
      </c>
      <c r="AA72" s="38"/>
      <c r="AB72" s="53">
        <f>Controls!$F$17*Z72</f>
        <v>4.2657456277799302</v>
      </c>
      <c r="AC72" s="53">
        <f>-(INDEX(Controls!$G$19:$G$23,MATCH($C72,Controls!$C$19:$C$23,0),0))*$Z72</f>
        <v>0</v>
      </c>
      <c r="AD72" s="67">
        <f t="shared" ref="AD72:AD106" si="25">AB72+AC72</f>
        <v>4.2657456277799302</v>
      </c>
      <c r="AE72" s="38"/>
      <c r="AG72" s="81"/>
    </row>
    <row r="73" spans="1:33" x14ac:dyDescent="0.2">
      <c r="A73" s="13" t="s">
        <v>124</v>
      </c>
      <c r="B73" s="13" t="str">
        <f t="shared" si="22"/>
        <v>PRT</v>
      </c>
      <c r="C73" s="13">
        <v>2022</v>
      </c>
      <c r="D73" s="111">
        <f>EXP(Coeffs!$D$13+(Coeffs!$D$6*Drivers!D71)+(Coeffs!$D$7*Drivers!E71))</f>
        <v>14.477299485086249</v>
      </c>
      <c r="E73" s="66">
        <f>EXP(Coeffs!$E$13+(Coeffs!$E$6*Drivers!D71)+(Coeffs!$E$7*Drivers!E71)+(Coeffs!$E$8*Drivers!F71))</f>
        <v>14.778297987741986</v>
      </c>
      <c r="F73" s="66">
        <f>EXP(Coeffs!$F$13+(Coeffs!$F$9*Drivers!G71)+(Coeffs!$F$10*Drivers!H71))</f>
        <v>3.1635054088616523</v>
      </c>
      <c r="G73" s="66">
        <f>EXP(Coeffs!$G$13+(Coeffs!$G$9*Drivers!G71)+(Coeffs!$G$11*Drivers!I71)+(Coeffs!$G$12*Drivers!J71))</f>
        <v>2.9135582223300927</v>
      </c>
      <c r="H73" s="66">
        <f>EXP(Coeffs!$H$13+(Coeffs!$H$7*Drivers!E71)+(Coeffs!$H$9*Drivers!G71)+(Coeffs!$H$10*Drivers!H71))</f>
        <v>16.791461192276252</v>
      </c>
      <c r="I73" s="66">
        <f>EXP(Coeffs!$I$13+(Coeffs!$I$7*Drivers!E71)+(Coeffs!$I$8*Drivers!F71)+(Coeffs!$I$9*Drivers!G71)+(Coeffs!$I$10*Drivers!H71))</f>
        <v>16.88715800680567</v>
      </c>
      <c r="J73" s="66">
        <f>EXP(Coeffs!$J$13+(Coeffs!$J$7*Drivers!E71)+(Coeffs!$J$8*Drivers!F71)+(Coeffs!$J$9*Drivers!G71)+(Coeffs!$J$11*Drivers!I71)+(Coeffs!$J$12*Drivers!J71))</f>
        <v>16.074825885542005</v>
      </c>
      <c r="K73" s="38"/>
      <c r="L73" s="66">
        <f xml:space="preserve"> (D73 *Drivers!$L71 * 1000 / 1000000)</f>
        <v>4.3732591965563987</v>
      </c>
      <c r="M73" s="66">
        <f xml:space="preserve"> (E73 *Drivers!$L71 * 1000 / 1000000)</f>
        <v>4.4641839212431362</v>
      </c>
      <c r="N73" s="66">
        <f xml:space="preserve"> (F73 *Drivers!$L71 * 1000 / 1000000)</f>
        <v>0.95562222339270131</v>
      </c>
      <c r="O73" s="66">
        <f xml:space="preserve"> (G73 *Drivers!$L71 * 1000 / 1000000)</f>
        <v>0.88011892712680739</v>
      </c>
      <c r="P73" s="66">
        <f xml:space="preserve"> (H73 *Drivers!$L71 * 1000 / 1000000)</f>
        <v>5.0723142225792337</v>
      </c>
      <c r="Q73" s="66">
        <f xml:space="preserve"> (I73 *Drivers!$L71 * 1000 / 1000000)</f>
        <v>5.1012220292218364</v>
      </c>
      <c r="R73" s="66">
        <f xml:space="preserve"> (J73 *Drivers!$L71 * 1000 / 1000000)</f>
        <v>4.8558351790268732</v>
      </c>
      <c r="S73" s="38"/>
      <c r="T73" s="66">
        <f t="shared" si="17"/>
        <v>4.418721558899767</v>
      </c>
      <c r="U73" s="66">
        <f t="shared" si="23"/>
        <v>0.91787057525975435</v>
      </c>
      <c r="V73" s="53">
        <f t="shared" si="24"/>
        <v>5.0097904769426478</v>
      </c>
      <c r="W73" s="38"/>
      <c r="X73" s="53">
        <f t="shared" si="18"/>
        <v>5.3365921341595213</v>
      </c>
      <c r="Y73" s="53">
        <f t="shared" si="19"/>
        <v>5.0097904769426478</v>
      </c>
      <c r="Z73" s="53">
        <f t="shared" si="20"/>
        <v>5.1731913055510841</v>
      </c>
      <c r="AA73" s="38"/>
      <c r="AB73" s="53">
        <f>Controls!$F$17*Z73</f>
        <v>4.3220897702104333</v>
      </c>
      <c r="AC73" s="53">
        <f>-(INDEX(Controls!$G$19:$G$23,MATCH($C73,Controls!$C$19:$C$23,0),0))*$Z73</f>
        <v>0</v>
      </c>
      <c r="AD73" s="67">
        <f t="shared" si="25"/>
        <v>4.3220897702104333</v>
      </c>
      <c r="AE73" s="38"/>
      <c r="AG73" s="81"/>
    </row>
    <row r="74" spans="1:33" x14ac:dyDescent="0.2">
      <c r="A74" s="13" t="s">
        <v>125</v>
      </c>
      <c r="B74" s="13" t="str">
        <f t="shared" si="22"/>
        <v>PRT</v>
      </c>
      <c r="C74" s="13">
        <v>2023</v>
      </c>
      <c r="D74" s="111">
        <f>EXP(Coeffs!$D$13+(Coeffs!$D$6*Drivers!D72)+(Coeffs!$D$7*Drivers!E72))</f>
        <v>14.636988479070377</v>
      </c>
      <c r="E74" s="66">
        <f>EXP(Coeffs!$E$13+(Coeffs!$E$6*Drivers!D72)+(Coeffs!$E$7*Drivers!E72)+(Coeffs!$E$8*Drivers!F72))</f>
        <v>14.932086979316423</v>
      </c>
      <c r="F74" s="66">
        <f>EXP(Coeffs!$F$13+(Coeffs!$F$9*Drivers!G72)+(Coeffs!$F$10*Drivers!H72))</f>
        <v>3.1651794577154879</v>
      </c>
      <c r="G74" s="66">
        <f>EXP(Coeffs!$G$13+(Coeffs!$G$9*Drivers!G72)+(Coeffs!$G$11*Drivers!I72)+(Coeffs!$G$12*Drivers!J72))</f>
        <v>2.915082772586691</v>
      </c>
      <c r="H74" s="66">
        <f>EXP(Coeffs!$H$13+(Coeffs!$H$7*Drivers!E72)+(Coeffs!$H$9*Drivers!G72)+(Coeffs!$H$10*Drivers!H72))</f>
        <v>16.878659237215768</v>
      </c>
      <c r="I74" s="66">
        <f>EXP(Coeffs!$I$13+(Coeffs!$I$7*Drivers!E72)+(Coeffs!$I$8*Drivers!F72)+(Coeffs!$I$9*Drivers!G72)+(Coeffs!$I$10*Drivers!H72))</f>
        <v>16.998409734810465</v>
      </c>
      <c r="J74" s="66">
        <f>EXP(Coeffs!$J$13+(Coeffs!$J$7*Drivers!E72)+(Coeffs!$J$8*Drivers!F72)+(Coeffs!$J$9*Drivers!G72)+(Coeffs!$J$11*Drivers!I72)+(Coeffs!$J$12*Drivers!J72))</f>
        <v>16.156094243688301</v>
      </c>
      <c r="K74" s="38"/>
      <c r="L74" s="66">
        <f xml:space="preserve"> (D74 *Drivers!$L72 * 1000 / 1000000)</f>
        <v>4.4489126482134402</v>
      </c>
      <c r="M74" s="66">
        <f xml:space="preserve"> (E74 *Drivers!$L72 * 1000 / 1000000)</f>
        <v>4.5386078373632275</v>
      </c>
      <c r="N74" s="66">
        <f xml:space="preserve"> (F74 *Drivers!$L72 * 1000 / 1000000)</f>
        <v>0.96205629617262245</v>
      </c>
      <c r="O74" s="66">
        <f xml:space="preserve"> (G74 *Drivers!$L72 * 1000 / 1000000)</f>
        <v>0.88603940872772469</v>
      </c>
      <c r="P74" s="66">
        <f xml:space="preserve"> (H74 *Drivers!$L72 * 1000 / 1000000)</f>
        <v>5.1302684751517322</v>
      </c>
      <c r="Q74" s="66">
        <f xml:space="preserve"> (I74 *Drivers!$L72 * 1000 / 1000000)</f>
        <v>5.1666666388956415</v>
      </c>
      <c r="R74" s="66">
        <f xml:space="preserve"> (J74 *Drivers!$L72 * 1000 / 1000000)</f>
        <v>4.9106448453690588</v>
      </c>
      <c r="S74" s="38"/>
      <c r="T74" s="66">
        <f t="shared" si="17"/>
        <v>4.4937602427883334</v>
      </c>
      <c r="U74" s="66">
        <f t="shared" si="23"/>
        <v>0.92404785245017362</v>
      </c>
      <c r="V74" s="53">
        <f t="shared" si="24"/>
        <v>5.0691933198054766</v>
      </c>
      <c r="W74" s="38"/>
      <c r="X74" s="53">
        <f t="shared" si="18"/>
        <v>5.4178080952385068</v>
      </c>
      <c r="Y74" s="53">
        <f t="shared" si="19"/>
        <v>5.0691933198054766</v>
      </c>
      <c r="Z74" s="53">
        <f t="shared" si="20"/>
        <v>5.2435007075219922</v>
      </c>
      <c r="AA74" s="38"/>
      <c r="AB74" s="53">
        <f>Controls!$F$17*Z74</f>
        <v>4.3808317592573092</v>
      </c>
      <c r="AC74" s="53">
        <f>-(INDEX(Controls!$G$19:$G$23,MATCH($C74,Controls!$C$19:$C$23,0),0))*$Z74</f>
        <v>0</v>
      </c>
      <c r="AD74" s="67">
        <f t="shared" si="25"/>
        <v>4.3808317592573092</v>
      </c>
      <c r="AE74" s="38"/>
      <c r="AG74" s="81"/>
    </row>
    <row r="75" spans="1:33" x14ac:dyDescent="0.2">
      <c r="A75" s="13" t="s">
        <v>126</v>
      </c>
      <c r="B75" s="13" t="str">
        <f t="shared" si="22"/>
        <v>PRT</v>
      </c>
      <c r="C75" s="13">
        <v>2024</v>
      </c>
      <c r="D75" s="111">
        <f>EXP(Coeffs!$D$13+(Coeffs!$D$6*Drivers!D73)+(Coeffs!$D$7*Drivers!E73))</f>
        <v>14.797012941632797</v>
      </c>
      <c r="E75" s="66">
        <f>EXP(Coeffs!$E$13+(Coeffs!$E$6*Drivers!D73)+(Coeffs!$E$7*Drivers!E73)+(Coeffs!$E$8*Drivers!F73))</f>
        <v>15.086006635527335</v>
      </c>
      <c r="F75" s="66">
        <f>EXP(Coeffs!$F$13+(Coeffs!$F$9*Drivers!G73)+(Coeffs!$F$10*Drivers!H73))</f>
        <v>3.168826942444726</v>
      </c>
      <c r="G75" s="66">
        <f>EXP(Coeffs!$G$13+(Coeffs!$G$9*Drivers!G73)+(Coeffs!$G$11*Drivers!I73)+(Coeffs!$G$12*Drivers!J73))</f>
        <v>2.9184044925851063</v>
      </c>
      <c r="H75" s="66">
        <f>EXP(Coeffs!$H$13+(Coeffs!$H$7*Drivers!E73)+(Coeffs!$H$9*Drivers!G73)+(Coeffs!$H$10*Drivers!H73))</f>
        <v>16.969889514665979</v>
      </c>
      <c r="I75" s="66">
        <f>EXP(Coeffs!$I$13+(Coeffs!$I$7*Drivers!E73)+(Coeffs!$I$8*Drivers!F73)+(Coeffs!$I$9*Drivers!G73)+(Coeffs!$I$10*Drivers!H73))</f>
        <v>17.114180008592825</v>
      </c>
      <c r="J75" s="66">
        <f>EXP(Coeffs!$J$13+(Coeffs!$J$7*Drivers!E73)+(Coeffs!$J$8*Drivers!F73)+(Coeffs!$J$9*Drivers!G73)+(Coeffs!$J$11*Drivers!I73)+(Coeffs!$J$12*Drivers!J73))</f>
        <v>16.242105489878359</v>
      </c>
      <c r="K75" s="38"/>
      <c r="L75" s="66">
        <f xml:space="preserve"> (D75 *Drivers!$L73 * 1000 / 1000000)</f>
        <v>4.5258143783278078</v>
      </c>
      <c r="M75" s="66">
        <f xml:space="preserve"> (E75 *Drivers!$L73 * 1000 / 1000000)</f>
        <v>4.6142059895423913</v>
      </c>
      <c r="N75" s="66">
        <f xml:space="preserve"> (F75 *Drivers!$L73 * 1000 / 1000000)</f>
        <v>0.96921740861614392</v>
      </c>
      <c r="O75" s="66">
        <f xml:space="preserve"> (G75 *Drivers!$L73 * 1000 / 1000000)</f>
        <v>0.89262319810208057</v>
      </c>
      <c r="P75" s="66">
        <f xml:space="preserve"> (H75 *Drivers!$L73 * 1000 / 1000000)</f>
        <v>5.1904104069557366</v>
      </c>
      <c r="Q75" s="66">
        <f xml:space="preserve"> (I75 *Drivers!$L73 * 1000 / 1000000)</f>
        <v>5.2345430974282019</v>
      </c>
      <c r="R75" s="66">
        <f xml:space="preserve"> (J75 *Drivers!$L73 * 1000 / 1000000)</f>
        <v>4.9678103851341948</v>
      </c>
      <c r="S75" s="38"/>
      <c r="T75" s="66">
        <f t="shared" si="17"/>
        <v>4.5700101839350999</v>
      </c>
      <c r="U75" s="66">
        <f t="shared" si="23"/>
        <v>0.93092030335911224</v>
      </c>
      <c r="V75" s="53">
        <f t="shared" si="24"/>
        <v>5.1309212965060436</v>
      </c>
      <c r="W75" s="38"/>
      <c r="X75" s="53">
        <f t="shared" si="18"/>
        <v>5.5009304872942124</v>
      </c>
      <c r="Y75" s="53">
        <f t="shared" si="19"/>
        <v>5.1309212965060436</v>
      </c>
      <c r="Z75" s="53">
        <f t="shared" si="20"/>
        <v>5.315925891900128</v>
      </c>
      <c r="AA75" s="38"/>
      <c r="AB75" s="53">
        <f>Controls!$F$17*Z75</f>
        <v>4.4413414388762416</v>
      </c>
      <c r="AC75" s="53">
        <f>-(INDEX(Controls!$G$19:$G$23,MATCH($C75,Controls!$C$19:$C$23,0),0))*$Z75</f>
        <v>0</v>
      </c>
      <c r="AD75" s="67">
        <f t="shared" si="25"/>
        <v>4.4413414388762416</v>
      </c>
      <c r="AE75" s="38"/>
      <c r="AG75" s="81"/>
    </row>
    <row r="76" spans="1:33" x14ac:dyDescent="0.2">
      <c r="A76" s="13" t="s">
        <v>127</v>
      </c>
      <c r="B76" s="13" t="str">
        <f t="shared" si="22"/>
        <v>PRT</v>
      </c>
      <c r="C76" s="13">
        <v>2025</v>
      </c>
      <c r="D76" s="111">
        <f>EXP(Coeffs!$D$13+(Coeffs!$D$6*Drivers!D74)+(Coeffs!$D$7*Drivers!E74))</f>
        <v>14.957711709303798</v>
      </c>
      <c r="E76" s="66">
        <f>EXP(Coeffs!$E$13+(Coeffs!$E$6*Drivers!D74)+(Coeffs!$E$7*Drivers!E74)+(Coeffs!$E$8*Drivers!F74))</f>
        <v>15.240328398400631</v>
      </c>
      <c r="F76" s="66">
        <f>EXP(Coeffs!$F$13+(Coeffs!$F$9*Drivers!G74)+(Coeffs!$F$10*Drivers!H74))</f>
        <v>3.1792788878918055</v>
      </c>
      <c r="G76" s="66">
        <f>EXP(Coeffs!$G$13+(Coeffs!$G$9*Drivers!G74)+(Coeffs!$G$11*Drivers!I74)+(Coeffs!$G$12*Drivers!J74))</f>
        <v>2.9279227157831489</v>
      </c>
      <c r="H76" s="66">
        <f>EXP(Coeffs!$H$13+(Coeffs!$H$7*Drivers!E74)+(Coeffs!$H$9*Drivers!G74)+(Coeffs!$H$10*Drivers!H74))</f>
        <v>17.075998463310782</v>
      </c>
      <c r="I76" s="66">
        <f>EXP(Coeffs!$I$13+(Coeffs!$I$7*Drivers!E74)+(Coeffs!$I$8*Drivers!F74)+(Coeffs!$I$9*Drivers!G74)+(Coeffs!$I$10*Drivers!H74))</f>
        <v>17.246710780466668</v>
      </c>
      <c r="J76" s="66">
        <f>EXP(Coeffs!$J$13+(Coeffs!$J$7*Drivers!E74)+(Coeffs!$J$8*Drivers!F74)+(Coeffs!$J$9*Drivers!G74)+(Coeffs!$J$11*Drivers!I74)+(Coeffs!$J$12*Drivers!J74))</f>
        <v>16.345938403232186</v>
      </c>
      <c r="K76" s="38"/>
      <c r="L76" s="66">
        <f xml:space="preserve"> (D76 *Drivers!$L74 * 1000 / 1000000)</f>
        <v>4.6044922263218249</v>
      </c>
      <c r="M76" s="66">
        <f xml:space="preserve"> (E76 *Drivers!$L74 * 1000 / 1000000)</f>
        <v>4.6914912521932601</v>
      </c>
      <c r="N76" s="66">
        <f xml:space="preserve"> (F76 *Drivers!$L74 * 1000 / 1000000)</f>
        <v>0.97869013717528608</v>
      </c>
      <c r="O76" s="66">
        <f xml:space="preserve"> (G76 *Drivers!$L74 * 1000 / 1000000)</f>
        <v>0.90131416129038988</v>
      </c>
      <c r="P76" s="66">
        <f xml:space="preserve"> (H76 *Drivers!$L74 * 1000 / 1000000)</f>
        <v>5.2565729109548105</v>
      </c>
      <c r="Q76" s="66">
        <f xml:space="preserve"> (I76 *Drivers!$L74 * 1000 / 1000000)</f>
        <v>5.3091239663941758</v>
      </c>
      <c r="R76" s="66">
        <f xml:space="preserve"> (J76 *Drivers!$L74 * 1000 / 1000000)</f>
        <v>5.0318356024205766</v>
      </c>
      <c r="S76" s="38"/>
      <c r="T76" s="66">
        <f t="shared" si="17"/>
        <v>4.6479917392575425</v>
      </c>
      <c r="U76" s="66">
        <f t="shared" si="23"/>
        <v>0.94000214923283798</v>
      </c>
      <c r="V76" s="53">
        <f t="shared" si="24"/>
        <v>5.1991774932565207</v>
      </c>
      <c r="W76" s="38"/>
      <c r="X76" s="53">
        <f t="shared" si="18"/>
        <v>5.5879938884903808</v>
      </c>
      <c r="Y76" s="53">
        <f t="shared" si="19"/>
        <v>5.1991774932565207</v>
      </c>
      <c r="Z76" s="53">
        <f t="shared" si="20"/>
        <v>5.3935856908734507</v>
      </c>
      <c r="AA76" s="38"/>
      <c r="AB76" s="53">
        <f>Controls!$F$17*Z76</f>
        <v>4.5062245260992144</v>
      </c>
      <c r="AC76" s="53">
        <f>-(INDEX(Controls!$G$19:$G$23,MATCH($C76,Controls!$C$19:$C$23,0),0))*$Z76</f>
        <v>0</v>
      </c>
      <c r="AD76" s="67">
        <f t="shared" si="25"/>
        <v>4.5062245260992144</v>
      </c>
      <c r="AE76" s="38"/>
      <c r="AG76" s="81"/>
    </row>
    <row r="77" spans="1:33" x14ac:dyDescent="0.2">
      <c r="A77" s="13" t="s">
        <v>128</v>
      </c>
      <c r="B77" s="13" t="str">
        <f t="shared" si="22"/>
        <v>SES</v>
      </c>
      <c r="C77" s="13">
        <v>2021</v>
      </c>
      <c r="D77" s="111">
        <f>EXP(Coeffs!$D$13+(Coeffs!$D$6*Drivers!D75)+(Coeffs!$D$7*Drivers!E75))</f>
        <v>16.722046575416357</v>
      </c>
      <c r="E77" s="66">
        <f>EXP(Coeffs!$E$13+(Coeffs!$E$6*Drivers!D75)+(Coeffs!$E$7*Drivers!E75)+(Coeffs!$E$8*Drivers!F75))</f>
        <v>17.067512575511152</v>
      </c>
      <c r="F77" s="66">
        <f>EXP(Coeffs!$F$13+(Coeffs!$F$9*Drivers!G75)+(Coeffs!$F$10*Drivers!H75))</f>
        <v>4.6615927265913646</v>
      </c>
      <c r="G77" s="66">
        <f>EXP(Coeffs!$G$13+(Coeffs!$G$9*Drivers!G75)+(Coeffs!$G$11*Drivers!I75)+(Coeffs!$G$12*Drivers!J75))</f>
        <v>5.0381762364368772</v>
      </c>
      <c r="H77" s="66">
        <f>EXP(Coeffs!$H$13+(Coeffs!$H$7*Drivers!E75)+(Coeffs!$H$9*Drivers!G75)+(Coeffs!$H$10*Drivers!H75))</f>
        <v>21.553441138919595</v>
      </c>
      <c r="I77" s="66">
        <f>EXP(Coeffs!$I$13+(Coeffs!$I$7*Drivers!E75)+(Coeffs!$I$8*Drivers!F75)+(Coeffs!$I$9*Drivers!G75)+(Coeffs!$I$10*Drivers!H75))</f>
        <v>21.979806494171427</v>
      </c>
      <c r="J77" s="66">
        <f>EXP(Coeffs!$J$13+(Coeffs!$J$7*Drivers!E75)+(Coeffs!$J$8*Drivers!F75)+(Coeffs!$J$9*Drivers!G75)+(Coeffs!$J$11*Drivers!I75)+(Coeffs!$J$12*Drivers!J75))</f>
        <v>21.949331659469252</v>
      </c>
      <c r="K77" s="38"/>
      <c r="L77" s="66">
        <f xml:space="preserve"> (D77 *Drivers!$L75 * 1000 / 1000000)</f>
        <v>4.6260204087163324</v>
      </c>
      <c r="M77" s="66">
        <f xml:space="preserve"> (E77 *Drivers!$L75 * 1000 / 1000000)</f>
        <v>4.7215908139145562</v>
      </c>
      <c r="N77" s="66">
        <f xml:space="preserve"> (F77 *Drivers!$L75 * 1000 / 1000000)</f>
        <v>1.2895923350696883</v>
      </c>
      <c r="O77" s="66">
        <f xml:space="preserve"> (G77 *Drivers!$L75 * 1000 / 1000000)</f>
        <v>1.3937711504003707</v>
      </c>
      <c r="P77" s="66">
        <f xml:space="preserve"> (H77 *Drivers!$L75 * 1000 / 1000000)</f>
        <v>5.9625870635529941</v>
      </c>
      <c r="Q77" s="66">
        <f xml:space="preserve"> (I77 *Drivers!$L75 * 1000 / 1000000)</f>
        <v>6.080537628160573</v>
      </c>
      <c r="R77" s="66">
        <f xml:space="preserve"> (J77 *Drivers!$L75 * 1000 / 1000000)</f>
        <v>6.0721070089388922</v>
      </c>
      <c r="S77" s="38"/>
      <c r="T77" s="66">
        <f t="shared" si="17"/>
        <v>4.6738056113154443</v>
      </c>
      <c r="U77" s="66">
        <f t="shared" si="23"/>
        <v>1.3416817427350294</v>
      </c>
      <c r="V77" s="53">
        <f t="shared" si="24"/>
        <v>6.0384105668841528</v>
      </c>
      <c r="W77" s="38"/>
      <c r="X77" s="53">
        <f t="shared" si="18"/>
        <v>6.0154873540504736</v>
      </c>
      <c r="Y77" s="53">
        <f t="shared" si="19"/>
        <v>6.0384105668841528</v>
      </c>
      <c r="Z77" s="53">
        <f t="shared" si="20"/>
        <v>6.0269489604673137</v>
      </c>
      <c r="AA77" s="38"/>
      <c r="AB77" s="53">
        <f>Controls!$F$17*Z77</f>
        <v>5.0353858786672605</v>
      </c>
      <c r="AC77" s="53">
        <f>-(INDEX(Controls!$G$19:$G$23,MATCH($C77,Controls!$C$19:$C$23,0),0))*$Z77</f>
        <v>0</v>
      </c>
      <c r="AD77" s="67">
        <f t="shared" si="25"/>
        <v>5.0353858786672605</v>
      </c>
      <c r="AE77" s="38"/>
      <c r="AG77" s="81"/>
    </row>
    <row r="78" spans="1:33" x14ac:dyDescent="0.2">
      <c r="A78" s="13" t="s">
        <v>129</v>
      </c>
      <c r="B78" s="13" t="str">
        <f t="shared" si="22"/>
        <v>SES</v>
      </c>
      <c r="C78" s="13">
        <v>2022</v>
      </c>
      <c r="D78" s="111">
        <f>EXP(Coeffs!$D$13+(Coeffs!$D$6*Drivers!D76)+(Coeffs!$D$7*Drivers!E76))</f>
        <v>17.303306957305676</v>
      </c>
      <c r="E78" s="66">
        <f>EXP(Coeffs!$E$13+(Coeffs!$E$6*Drivers!D76)+(Coeffs!$E$7*Drivers!E76)+(Coeffs!$E$8*Drivers!F76))</f>
        <v>17.635541682310908</v>
      </c>
      <c r="F78" s="66">
        <f>EXP(Coeffs!$F$13+(Coeffs!$F$9*Drivers!G76)+(Coeffs!$F$10*Drivers!H76))</f>
        <v>4.6711627012033254</v>
      </c>
      <c r="G78" s="66">
        <f>EXP(Coeffs!$G$13+(Coeffs!$G$9*Drivers!G76)+(Coeffs!$G$11*Drivers!I76)+(Coeffs!$G$12*Drivers!J76))</f>
        <v>5.0484036217207553</v>
      </c>
      <c r="H78" s="66">
        <f>EXP(Coeffs!$H$13+(Coeffs!$H$7*Drivers!E76)+(Coeffs!$H$9*Drivers!G76)+(Coeffs!$H$10*Drivers!H76))</f>
        <v>21.907603709707946</v>
      </c>
      <c r="I78" s="66">
        <f>EXP(Coeffs!$I$13+(Coeffs!$I$7*Drivers!E76)+(Coeffs!$I$8*Drivers!F76)+(Coeffs!$I$9*Drivers!G76)+(Coeffs!$I$10*Drivers!H76))</f>
        <v>22.452592171935411</v>
      </c>
      <c r="J78" s="66">
        <f>EXP(Coeffs!$J$13+(Coeffs!$J$7*Drivers!E76)+(Coeffs!$J$8*Drivers!F76)+(Coeffs!$J$9*Drivers!G76)+(Coeffs!$J$11*Drivers!I76)+(Coeffs!$J$12*Drivers!J76))</f>
        <v>22.33062974920723</v>
      </c>
      <c r="K78" s="38"/>
      <c r="L78" s="66">
        <f xml:space="preserve"> (D78 *Drivers!$L76 * 1000 / 1000000)</f>
        <v>4.8291972420213982</v>
      </c>
      <c r="M78" s="66">
        <f xml:space="preserve"> (E78 *Drivers!$L76 * 1000 / 1000000)</f>
        <v>4.9219209636578336</v>
      </c>
      <c r="N78" s="66">
        <f xml:space="preserve"> (F78 *Drivers!$L76 * 1000 / 1000000)</f>
        <v>1.3036794694415372</v>
      </c>
      <c r="O78" s="66">
        <f xml:space="preserve"> (G78 *Drivers!$L76 * 1000 / 1000000)</f>
        <v>1.4089640151896674</v>
      </c>
      <c r="P78" s="66">
        <f xml:space="preserve"> (H78 *Drivers!$L76 * 1000 / 1000000)</f>
        <v>6.1142150269461002</v>
      </c>
      <c r="Q78" s="66">
        <f xml:space="preserve"> (I78 *Drivers!$L76 * 1000 / 1000000)</f>
        <v>6.2663164018576269</v>
      </c>
      <c r="R78" s="66">
        <f xml:space="preserve"> (J78 *Drivers!$L76 * 1000 / 1000000)</f>
        <v>6.2322777873359954</v>
      </c>
      <c r="S78" s="38"/>
      <c r="T78" s="66">
        <f t="shared" si="17"/>
        <v>4.8755591028396159</v>
      </c>
      <c r="U78" s="66">
        <f t="shared" si="23"/>
        <v>1.3563217423156022</v>
      </c>
      <c r="V78" s="53">
        <f t="shared" si="24"/>
        <v>6.2042697387132399</v>
      </c>
      <c r="W78" s="38"/>
      <c r="X78" s="53">
        <f t="shared" si="18"/>
        <v>6.2318808451552181</v>
      </c>
      <c r="Y78" s="53">
        <f t="shared" si="19"/>
        <v>6.2042697387132399</v>
      </c>
      <c r="Z78" s="53">
        <f t="shared" si="20"/>
        <v>6.2180752919342286</v>
      </c>
      <c r="AA78" s="38"/>
      <c r="AB78" s="53">
        <f>Controls!$F$17*Z78</f>
        <v>5.1950678067576819</v>
      </c>
      <c r="AC78" s="53">
        <f>-(INDEX(Controls!$G$19:$G$23,MATCH($C78,Controls!$C$19:$C$23,0),0))*$Z78</f>
        <v>0</v>
      </c>
      <c r="AD78" s="67">
        <f t="shared" si="25"/>
        <v>5.1950678067576819</v>
      </c>
      <c r="AE78" s="38"/>
      <c r="AG78" s="81"/>
    </row>
    <row r="79" spans="1:33" x14ac:dyDescent="0.2">
      <c r="A79" s="13" t="s">
        <v>130</v>
      </c>
      <c r="B79" s="13" t="str">
        <f t="shared" si="22"/>
        <v>SES</v>
      </c>
      <c r="C79" s="13">
        <v>2023</v>
      </c>
      <c r="D79" s="111">
        <f>EXP(Coeffs!$D$13+(Coeffs!$D$6*Drivers!D77)+(Coeffs!$D$7*Drivers!E77))</f>
        <v>17.882409653614403</v>
      </c>
      <c r="E79" s="66">
        <f>EXP(Coeffs!$E$13+(Coeffs!$E$6*Drivers!D77)+(Coeffs!$E$7*Drivers!E77)+(Coeffs!$E$8*Drivers!F77))</f>
        <v>18.200180185221786</v>
      </c>
      <c r="F79" s="66">
        <f>EXP(Coeffs!$F$13+(Coeffs!$F$9*Drivers!G77)+(Coeffs!$F$10*Drivers!H77))</f>
        <v>4.6614549226230659</v>
      </c>
      <c r="G79" s="66">
        <f>EXP(Coeffs!$G$13+(Coeffs!$G$9*Drivers!G77)+(Coeffs!$G$11*Drivers!I77)+(Coeffs!$G$12*Drivers!J77))</f>
        <v>5.038028964294373</v>
      </c>
      <c r="H79" s="66">
        <f>EXP(Coeffs!$H$13+(Coeffs!$H$7*Drivers!E77)+(Coeffs!$H$9*Drivers!G77)+(Coeffs!$H$10*Drivers!H77))</f>
        <v>22.217445200892108</v>
      </c>
      <c r="I79" s="66">
        <f>EXP(Coeffs!$I$13+(Coeffs!$I$7*Drivers!E77)+(Coeffs!$I$8*Drivers!F77)+(Coeffs!$I$9*Drivers!G77)+(Coeffs!$I$10*Drivers!H77))</f>
        <v>22.874354862749666</v>
      </c>
      <c r="J79" s="66">
        <f>EXP(Coeffs!$J$13+(Coeffs!$J$7*Drivers!E77)+(Coeffs!$J$8*Drivers!F77)+(Coeffs!$J$9*Drivers!G77)+(Coeffs!$J$11*Drivers!I77)+(Coeffs!$J$12*Drivers!J77))</f>
        <v>22.654507512096188</v>
      </c>
      <c r="K79" s="38"/>
      <c r="L79" s="66">
        <f xml:space="preserve"> (D79 *Drivers!$L77 * 1000 / 1000000)</f>
        <v>5.0362409131570773</v>
      </c>
      <c r="M79" s="66">
        <f xml:space="preserve"> (E79 *Drivers!$L77 * 1000 / 1000000)</f>
        <v>5.1257349457441963</v>
      </c>
      <c r="N79" s="66">
        <f xml:space="preserve"> (F79 *Drivers!$L77 * 1000 / 1000000)</f>
        <v>1.3128102113132565</v>
      </c>
      <c r="O79" s="66">
        <f xml:space="preserve"> (G79 *Drivers!$L77 * 1000 / 1000000)</f>
        <v>1.4188651352431882</v>
      </c>
      <c r="P79" s="66">
        <f xml:space="preserve"> (H79 *Drivers!$L77 * 1000 / 1000000)</f>
        <v>6.2571213093724447</v>
      </c>
      <c r="Q79" s="66">
        <f xml:space="preserve"> (I79 *Drivers!$L77 * 1000 / 1000000)</f>
        <v>6.4421274343510504</v>
      </c>
      <c r="R79" s="66">
        <f xml:space="preserve"> (J79 *Drivers!$L77 * 1000 / 1000000)</f>
        <v>6.3802116051391611</v>
      </c>
      <c r="S79" s="38"/>
      <c r="T79" s="66">
        <f t="shared" si="17"/>
        <v>5.0809879294506368</v>
      </c>
      <c r="U79" s="66">
        <f t="shared" si="23"/>
        <v>1.3658376732782225</v>
      </c>
      <c r="V79" s="53">
        <f t="shared" si="24"/>
        <v>6.3598201162875512</v>
      </c>
      <c r="W79" s="38"/>
      <c r="X79" s="53">
        <f t="shared" si="18"/>
        <v>6.4468256027288593</v>
      </c>
      <c r="Y79" s="53">
        <f t="shared" si="19"/>
        <v>6.3598201162875512</v>
      </c>
      <c r="Z79" s="53">
        <f t="shared" si="20"/>
        <v>6.4033228595082052</v>
      </c>
      <c r="AA79" s="38"/>
      <c r="AB79" s="53">
        <f>Controls!$F$17*Z79</f>
        <v>5.3498381543975828</v>
      </c>
      <c r="AC79" s="53">
        <f>-(INDEX(Controls!$G$19:$G$23,MATCH($C79,Controls!$C$19:$C$23,0),0))*$Z79</f>
        <v>0</v>
      </c>
      <c r="AD79" s="67">
        <f t="shared" si="25"/>
        <v>5.3498381543975828</v>
      </c>
      <c r="AE79" s="38"/>
      <c r="AG79" s="81"/>
    </row>
    <row r="80" spans="1:33" x14ac:dyDescent="0.2">
      <c r="A80" s="13" t="s">
        <v>131</v>
      </c>
      <c r="B80" s="13" t="str">
        <f t="shared" si="22"/>
        <v>SES</v>
      </c>
      <c r="C80" s="13">
        <v>2024</v>
      </c>
      <c r="D80" s="111">
        <f>EXP(Coeffs!$D$13+(Coeffs!$D$6*Drivers!D78)+(Coeffs!$D$7*Drivers!E78))</f>
        <v>18.458482610577065</v>
      </c>
      <c r="E80" s="66">
        <f>EXP(Coeffs!$E$13+(Coeffs!$E$6*Drivers!D78)+(Coeffs!$E$7*Drivers!E78)+(Coeffs!$E$8*Drivers!F78))</f>
        <v>18.760618129594508</v>
      </c>
      <c r="F80" s="66">
        <f>EXP(Coeffs!$F$13+(Coeffs!$F$9*Drivers!G78)+(Coeffs!$F$10*Drivers!H78))</f>
        <v>4.6533285267117517</v>
      </c>
      <c r="G80" s="66">
        <f>EXP(Coeffs!$G$13+(Coeffs!$G$9*Drivers!G78)+(Coeffs!$G$11*Drivers!I78)+(Coeffs!$G$12*Drivers!J78))</f>
        <v>5.0293441374869037</v>
      </c>
      <c r="H80" s="66">
        <f>EXP(Coeffs!$H$13+(Coeffs!$H$7*Drivers!E78)+(Coeffs!$H$9*Drivers!G78)+(Coeffs!$H$10*Drivers!H78))</f>
        <v>22.522391727138501</v>
      </c>
      <c r="I80" s="66">
        <f>EXP(Coeffs!$I$13+(Coeffs!$I$7*Drivers!E78)+(Coeffs!$I$8*Drivers!F78)+(Coeffs!$I$9*Drivers!G78)+(Coeffs!$I$10*Drivers!H78))</f>
        <v>23.290054513026654</v>
      </c>
      <c r="J80" s="66">
        <f>EXP(Coeffs!$J$13+(Coeffs!$J$7*Drivers!E78)+(Coeffs!$J$8*Drivers!F78)+(Coeffs!$J$9*Drivers!G78)+(Coeffs!$J$11*Drivers!I78)+(Coeffs!$J$12*Drivers!J78))</f>
        <v>22.972466546517854</v>
      </c>
      <c r="K80" s="38"/>
      <c r="L80" s="66">
        <f xml:space="preserve"> (D80 *Drivers!$L78 * 1000 / 1000000)</f>
        <v>5.2468421405391412</v>
      </c>
      <c r="M80" s="66">
        <f xml:space="preserve"> (E80 *Drivers!$L78 * 1000 / 1000000)</f>
        <v>5.3327244639553681</v>
      </c>
      <c r="N80" s="66">
        <f xml:space="preserve"> (F80 *Drivers!$L78 * 1000 / 1000000)</f>
        <v>1.3227132870463418</v>
      </c>
      <c r="O80" s="66">
        <f xml:space="preserve"> (G80 *Drivers!$L78 * 1000 / 1000000)</f>
        <v>1.4295961004247899</v>
      </c>
      <c r="P80" s="66">
        <f xml:space="preserve"> (H80 *Drivers!$L78 * 1000 / 1000000)</f>
        <v>6.4020123708308461</v>
      </c>
      <c r="Q80" s="66">
        <f xml:space="preserve"> (I80 *Drivers!$L78 * 1000 / 1000000)</f>
        <v>6.620221285382339</v>
      </c>
      <c r="R80" s="66">
        <f xml:space="preserve"> (J80 *Drivers!$L78 * 1000 / 1000000)</f>
        <v>6.5299465883142451</v>
      </c>
      <c r="S80" s="38"/>
      <c r="T80" s="66">
        <f t="shared" si="17"/>
        <v>5.2897833022472547</v>
      </c>
      <c r="U80" s="66">
        <f t="shared" si="23"/>
        <v>1.376154693735566</v>
      </c>
      <c r="V80" s="53">
        <f t="shared" si="24"/>
        <v>6.517393414842477</v>
      </c>
      <c r="W80" s="38"/>
      <c r="X80" s="53">
        <f t="shared" si="18"/>
        <v>6.6659379959828211</v>
      </c>
      <c r="Y80" s="53">
        <f t="shared" si="19"/>
        <v>6.517393414842477</v>
      </c>
      <c r="Z80" s="53">
        <f t="shared" si="20"/>
        <v>6.5916657054126491</v>
      </c>
      <c r="AA80" s="38"/>
      <c r="AB80" s="53">
        <f>Controls!$F$17*Z80</f>
        <v>5.507194540329496</v>
      </c>
      <c r="AC80" s="53">
        <f>-(INDEX(Controls!$G$19:$G$23,MATCH($C80,Controls!$C$19:$C$23,0),0))*$Z80</f>
        <v>0</v>
      </c>
      <c r="AD80" s="67">
        <f t="shared" si="25"/>
        <v>5.507194540329496</v>
      </c>
      <c r="AE80" s="38"/>
      <c r="AG80" s="81"/>
    </row>
    <row r="81" spans="1:33" x14ac:dyDescent="0.2">
      <c r="A81" s="13" t="s">
        <v>132</v>
      </c>
      <c r="B81" s="13" t="str">
        <f t="shared" si="22"/>
        <v>SES</v>
      </c>
      <c r="C81" s="13">
        <v>2025</v>
      </c>
      <c r="D81" s="111">
        <f>EXP(Coeffs!$D$13+(Coeffs!$D$6*Drivers!D79)+(Coeffs!$D$7*Drivers!E79))</f>
        <v>19.03052080406836</v>
      </c>
      <c r="E81" s="66">
        <f>EXP(Coeffs!$E$13+(Coeffs!$E$6*Drivers!D79)+(Coeffs!$E$7*Drivers!E79)+(Coeffs!$E$8*Drivers!F79))</f>
        <v>19.316169115174588</v>
      </c>
      <c r="F81" s="66">
        <f>EXP(Coeffs!$F$13+(Coeffs!$F$9*Drivers!G79)+(Coeffs!$F$10*Drivers!H79))</f>
        <v>4.6155435518816539</v>
      </c>
      <c r="G81" s="66">
        <f>EXP(Coeffs!$G$13+(Coeffs!$G$9*Drivers!G79)+(Coeffs!$G$11*Drivers!I79)+(Coeffs!$G$12*Drivers!J79))</f>
        <v>4.9889604182459868</v>
      </c>
      <c r="H81" s="66">
        <f>EXP(Coeffs!$H$13+(Coeffs!$H$7*Drivers!E79)+(Coeffs!$H$9*Drivers!G79)+(Coeffs!$H$10*Drivers!H79))</f>
        <v>22.759569771745142</v>
      </c>
      <c r="I81" s="66">
        <f>EXP(Coeffs!$I$13+(Coeffs!$I$7*Drivers!E79)+(Coeffs!$I$8*Drivers!F79)+(Coeffs!$I$9*Drivers!G79)+(Coeffs!$I$10*Drivers!H79))</f>
        <v>23.626826433876893</v>
      </c>
      <c r="J81" s="66">
        <f>EXP(Coeffs!$J$13+(Coeffs!$J$7*Drivers!E79)+(Coeffs!$J$8*Drivers!F79)+(Coeffs!$J$9*Drivers!G79)+(Coeffs!$J$11*Drivers!I79)+(Coeffs!$J$12*Drivers!J79))</f>
        <v>23.203354689970567</v>
      </c>
      <c r="K81" s="38"/>
      <c r="L81" s="66">
        <f xml:space="preserve"> (D81 *Drivers!$L79 * 1000 / 1000000)</f>
        <v>5.4591332588966583</v>
      </c>
      <c r="M81" s="66">
        <f xml:space="preserve"> (E81 *Drivers!$L79 * 1000 / 1000000)</f>
        <v>5.5410749047172132</v>
      </c>
      <c r="N81" s="66">
        <f xml:space="preserve"> (F81 *Drivers!$L79 * 1000 / 1000000)</f>
        <v>1.3240240543798751</v>
      </c>
      <c r="O81" s="66">
        <f xml:space="preserve"> (G81 *Drivers!$L79 * 1000 / 1000000)</f>
        <v>1.4311431634988803</v>
      </c>
      <c r="P81" s="66">
        <f xml:space="preserve"> (H81 *Drivers!$L79 * 1000 / 1000000)</f>
        <v>6.5288557038623551</v>
      </c>
      <c r="Q81" s="66">
        <f xml:space="preserve"> (I81 *Drivers!$L79 * 1000 / 1000000)</f>
        <v>6.7776386844747938</v>
      </c>
      <c r="R81" s="66">
        <f xml:space="preserve"> (J81 *Drivers!$L79 * 1000 / 1000000)</f>
        <v>6.6561607330743371</v>
      </c>
      <c r="S81" s="38"/>
      <c r="T81" s="66">
        <f t="shared" si="17"/>
        <v>5.5001040818069358</v>
      </c>
      <c r="U81" s="66">
        <f t="shared" si="23"/>
        <v>1.3775836089393776</v>
      </c>
      <c r="V81" s="53">
        <f t="shared" si="24"/>
        <v>6.654218373803829</v>
      </c>
      <c r="W81" s="38"/>
      <c r="X81" s="53">
        <f t="shared" si="18"/>
        <v>6.8776876907463134</v>
      </c>
      <c r="Y81" s="53">
        <f t="shared" si="19"/>
        <v>6.654218373803829</v>
      </c>
      <c r="Z81" s="53">
        <f t="shared" si="20"/>
        <v>6.7659530322750712</v>
      </c>
      <c r="AA81" s="38"/>
      <c r="AB81" s="53">
        <f>Controls!$F$17*Z81</f>
        <v>5.6528078432245747</v>
      </c>
      <c r="AC81" s="53">
        <f>-(INDEX(Controls!$G$19:$G$23,MATCH($C81,Controls!$C$19:$C$23,0),0))*$Z81</f>
        <v>0</v>
      </c>
      <c r="AD81" s="67">
        <f t="shared" si="25"/>
        <v>5.6528078432245747</v>
      </c>
      <c r="AE81" s="38"/>
      <c r="AG81" s="81"/>
    </row>
    <row r="82" spans="1:33" x14ac:dyDescent="0.2">
      <c r="A82" s="13" t="s">
        <v>133</v>
      </c>
      <c r="B82" s="13" t="str">
        <f t="shared" si="22"/>
        <v>SEW</v>
      </c>
      <c r="C82" s="13">
        <v>2021</v>
      </c>
      <c r="D82" s="111">
        <f>EXP(Coeffs!$D$13+(Coeffs!$D$6*Drivers!D80)+(Coeffs!$D$7*Drivers!E80))</f>
        <v>18.902698628809759</v>
      </c>
      <c r="E82" s="66">
        <f>EXP(Coeffs!$E$13+(Coeffs!$E$6*Drivers!D80)+(Coeffs!$E$7*Drivers!E80)+(Coeffs!$E$8*Drivers!F80))</f>
        <v>18.202667233366483</v>
      </c>
      <c r="F82" s="66">
        <f>EXP(Coeffs!$F$13+(Coeffs!$F$9*Drivers!G80)+(Coeffs!$F$10*Drivers!H80))</f>
        <v>5.4131560422675831</v>
      </c>
      <c r="G82" s="66">
        <f>EXP(Coeffs!$G$13+(Coeffs!$G$9*Drivers!G80)+(Coeffs!$G$11*Drivers!I80)+(Coeffs!$G$12*Drivers!J80))</f>
        <v>5.3880066109038749</v>
      </c>
      <c r="H82" s="66">
        <f>EXP(Coeffs!$H$13+(Coeffs!$H$7*Drivers!E80)+(Coeffs!$H$9*Drivers!G80)+(Coeffs!$H$10*Drivers!H80))</f>
        <v>24.180410631944881</v>
      </c>
      <c r="I82" s="66">
        <f>EXP(Coeffs!$I$13+(Coeffs!$I$7*Drivers!E80)+(Coeffs!$I$8*Drivers!F80)+(Coeffs!$I$9*Drivers!G80)+(Coeffs!$I$10*Drivers!H80))</f>
        <v>23.632981412813589</v>
      </c>
      <c r="J82" s="66">
        <f>EXP(Coeffs!$J$13+(Coeffs!$J$7*Drivers!E80)+(Coeffs!$J$8*Drivers!F80)+(Coeffs!$J$9*Drivers!G80)+(Coeffs!$J$11*Drivers!I80)+(Coeffs!$J$12*Drivers!J80))</f>
        <v>19.998943215808143</v>
      </c>
      <c r="K82" s="38"/>
      <c r="L82" s="66">
        <f xml:space="preserve"> (D82 *Drivers!$L80 * 1000 / 1000000)</f>
        <v>16.616492840449734</v>
      </c>
      <c r="M82" s="66">
        <f xml:space="preserve"> (E82 *Drivers!$L80 * 1000 / 1000000)</f>
        <v>16.001127442159738</v>
      </c>
      <c r="N82" s="66">
        <f xml:space="preserve"> (F82 *Drivers!$L80 * 1000 / 1000000)</f>
        <v>4.7584564715794873</v>
      </c>
      <c r="O82" s="66">
        <f xml:space="preserve"> (G82 *Drivers!$L80 * 1000 / 1000000)</f>
        <v>4.7363487633414936</v>
      </c>
      <c r="P82" s="66">
        <f xml:space="preserve"> (H82 *Drivers!$L80 * 1000 / 1000000)</f>
        <v>21.255886687653675</v>
      </c>
      <c r="Q82" s="66">
        <f xml:space="preserve"> (I82 *Drivers!$L80 * 1000 / 1000000)</f>
        <v>20.774666842859435</v>
      </c>
      <c r="R82" s="66">
        <f xml:space="preserve"> (J82 *Drivers!$L80 * 1000 / 1000000)</f>
        <v>17.580151029629011</v>
      </c>
      <c r="S82" s="38"/>
      <c r="T82" s="66">
        <f t="shared" si="17"/>
        <v>16.308810141304736</v>
      </c>
      <c r="U82" s="66">
        <f t="shared" si="23"/>
        <v>4.7474026174604909</v>
      </c>
      <c r="V82" s="53">
        <f t="shared" si="24"/>
        <v>19.870234853380708</v>
      </c>
      <c r="W82" s="38"/>
      <c r="X82" s="53">
        <f t="shared" si="18"/>
        <v>21.056212758765227</v>
      </c>
      <c r="Y82" s="53">
        <f t="shared" si="19"/>
        <v>19.870234853380708</v>
      </c>
      <c r="Z82" s="53">
        <f t="shared" si="20"/>
        <v>20.463223806072968</v>
      </c>
      <c r="AA82" s="38"/>
      <c r="AB82" s="53">
        <f>Controls!$F$17*Z82</f>
        <v>17.09658217797784</v>
      </c>
      <c r="AC82" s="53">
        <f>-(INDEX(Controls!$G$19:$G$23,MATCH($C82,Controls!$C$19:$C$23,0),0))*$Z82</f>
        <v>0</v>
      </c>
      <c r="AD82" s="67">
        <f t="shared" si="25"/>
        <v>17.09658217797784</v>
      </c>
      <c r="AE82" s="38"/>
      <c r="AG82" s="81"/>
    </row>
    <row r="83" spans="1:33" x14ac:dyDescent="0.2">
      <c r="A83" s="13" t="s">
        <v>134</v>
      </c>
      <c r="B83" s="13" t="str">
        <f t="shared" si="22"/>
        <v>SEW</v>
      </c>
      <c r="C83" s="13">
        <v>2022</v>
      </c>
      <c r="D83" s="111">
        <f>EXP(Coeffs!$D$13+(Coeffs!$D$6*Drivers!D81)+(Coeffs!$D$7*Drivers!E81))</f>
        <v>18.919877187568581</v>
      </c>
      <c r="E83" s="66">
        <f>EXP(Coeffs!$E$13+(Coeffs!$E$6*Drivers!D81)+(Coeffs!$E$7*Drivers!E81)+(Coeffs!$E$8*Drivers!F81))</f>
        <v>18.210364302732206</v>
      </c>
      <c r="F83" s="66">
        <f>EXP(Coeffs!$F$13+(Coeffs!$F$9*Drivers!G81)+(Coeffs!$F$10*Drivers!H81))</f>
        <v>5.4130250790449148</v>
      </c>
      <c r="G83" s="66">
        <f>EXP(Coeffs!$G$13+(Coeffs!$G$9*Drivers!G81)+(Coeffs!$G$11*Drivers!I81)+(Coeffs!$G$12*Drivers!J81))</f>
        <v>5.3878777127292761</v>
      </c>
      <c r="H83" s="66">
        <f>EXP(Coeffs!$H$13+(Coeffs!$H$7*Drivers!E81)+(Coeffs!$H$9*Drivers!G81)+(Coeffs!$H$10*Drivers!H81))</f>
        <v>24.190111362648182</v>
      </c>
      <c r="I83" s="66">
        <f>EXP(Coeffs!$I$13+(Coeffs!$I$7*Drivers!E81)+(Coeffs!$I$8*Drivers!F81)+(Coeffs!$I$9*Drivers!G81)+(Coeffs!$I$10*Drivers!H81))</f>
        <v>23.631666814727673</v>
      </c>
      <c r="J83" s="66">
        <f>EXP(Coeffs!$J$13+(Coeffs!$J$7*Drivers!E81)+(Coeffs!$J$8*Drivers!F81)+(Coeffs!$J$9*Drivers!G81)+(Coeffs!$J$11*Drivers!I81)+(Coeffs!$J$12*Drivers!J81))</f>
        <v>19.983586570787168</v>
      </c>
      <c r="K83" s="38"/>
      <c r="L83" s="66">
        <f xml:space="preserve"> (D83 *Drivers!$L81 * 1000 / 1000000)</f>
        <v>16.794058706650564</v>
      </c>
      <c r="M83" s="66">
        <f xml:space="preserve"> (E83 *Drivers!$L81 * 1000 / 1000000)</f>
        <v>16.164265980041517</v>
      </c>
      <c r="N83" s="66">
        <f xml:space="preserve"> (F83 *Drivers!$L81 * 1000 / 1000000)</f>
        <v>4.8048229941885072</v>
      </c>
      <c r="O83" s="66">
        <f xml:space="preserve"> (G83 *Drivers!$L81 * 1000 / 1000000)</f>
        <v>4.7825011608047268</v>
      </c>
      <c r="P83" s="66">
        <f xml:space="preserve"> (H83 *Drivers!$L81 * 1000 / 1000000)</f>
        <v>21.472134640052392</v>
      </c>
      <c r="Q83" s="66">
        <f xml:space="preserve"> (I83 *Drivers!$L81 * 1000 / 1000000)</f>
        <v>20.976436363091686</v>
      </c>
      <c r="R83" s="66">
        <f xml:space="preserve"> (J83 *Drivers!$L81 * 1000 / 1000000)</f>
        <v>17.738250767280093</v>
      </c>
      <c r="S83" s="38"/>
      <c r="T83" s="66">
        <f t="shared" si="17"/>
        <v>16.47916234334604</v>
      </c>
      <c r="U83" s="66">
        <f t="shared" si="23"/>
        <v>4.7936620774966165</v>
      </c>
      <c r="V83" s="53">
        <f t="shared" si="24"/>
        <v>20.062273923474724</v>
      </c>
      <c r="W83" s="38"/>
      <c r="X83" s="53">
        <f t="shared" si="18"/>
        <v>21.272824420842657</v>
      </c>
      <c r="Y83" s="53">
        <f t="shared" si="19"/>
        <v>20.062273923474724</v>
      </c>
      <c r="Z83" s="53">
        <f t="shared" si="20"/>
        <v>20.66754917215869</v>
      </c>
      <c r="AA83" s="38"/>
      <c r="AB83" s="53">
        <f>Controls!$F$17*Z83</f>
        <v>17.267291614840531</v>
      </c>
      <c r="AC83" s="53">
        <f>-(INDEX(Controls!$G$19:$G$23,MATCH($C83,Controls!$C$19:$C$23,0),0))*$Z83</f>
        <v>0</v>
      </c>
      <c r="AD83" s="67">
        <f t="shared" si="25"/>
        <v>17.267291614840531</v>
      </c>
      <c r="AE83" s="38"/>
      <c r="AG83" s="81"/>
    </row>
    <row r="84" spans="1:33" x14ac:dyDescent="0.2">
      <c r="A84" s="13" t="s">
        <v>135</v>
      </c>
      <c r="B84" s="13" t="str">
        <f t="shared" si="22"/>
        <v>SEW</v>
      </c>
      <c r="C84" s="13">
        <v>2023</v>
      </c>
      <c r="D84" s="111">
        <f>EXP(Coeffs!$D$13+(Coeffs!$D$6*Drivers!D82)+(Coeffs!$D$7*Drivers!E82))</f>
        <v>18.935805539279894</v>
      </c>
      <c r="E84" s="66">
        <f>EXP(Coeffs!$E$13+(Coeffs!$E$6*Drivers!D82)+(Coeffs!$E$7*Drivers!E82)+(Coeffs!$E$8*Drivers!F82))</f>
        <v>18.216839753633764</v>
      </c>
      <c r="F84" s="66">
        <f>EXP(Coeffs!$F$13+(Coeffs!$F$9*Drivers!G82)+(Coeffs!$F$10*Drivers!H82))</f>
        <v>5.4131327673055907</v>
      </c>
      <c r="G84" s="66">
        <f>EXP(Coeffs!$G$13+(Coeffs!$G$9*Drivers!G82)+(Coeffs!$G$11*Drivers!I82)+(Coeffs!$G$12*Drivers!J82))</f>
        <v>5.3879837029475803</v>
      </c>
      <c r="H84" s="66">
        <f>EXP(Coeffs!$H$13+(Coeffs!$H$7*Drivers!E82)+(Coeffs!$H$9*Drivers!G82)+(Coeffs!$H$10*Drivers!H82))</f>
        <v>24.199520237450521</v>
      </c>
      <c r="I84" s="66">
        <f>EXP(Coeffs!$I$13+(Coeffs!$I$7*Drivers!E82)+(Coeffs!$I$8*Drivers!F82)+(Coeffs!$I$9*Drivers!G82)+(Coeffs!$I$10*Drivers!H82))</f>
        <v>23.629790628921221</v>
      </c>
      <c r="J84" s="66">
        <f>EXP(Coeffs!$J$13+(Coeffs!$J$7*Drivers!E82)+(Coeffs!$J$8*Drivers!F82)+(Coeffs!$J$9*Drivers!G82)+(Coeffs!$J$11*Drivers!I82)+(Coeffs!$J$12*Drivers!J82))</f>
        <v>19.967902897354179</v>
      </c>
      <c r="K84" s="38"/>
      <c r="L84" s="66">
        <f xml:space="preserve"> (D84 *Drivers!$L82 * 1000 / 1000000)</f>
        <v>16.973241845772307</v>
      </c>
      <c r="M84" s="66">
        <f xml:space="preserve"> (E84 *Drivers!$L82 * 1000 / 1000000)</f>
        <v>16.328791831047898</v>
      </c>
      <c r="N84" s="66">
        <f xml:space="preserve"> (F84 *Drivers!$L82 * 1000 / 1000000)</f>
        <v>4.8520994479037372</v>
      </c>
      <c r="O84" s="66">
        <f xml:space="preserve"> (G84 *Drivers!$L82 * 1000 / 1000000)</f>
        <v>4.8295569080229841</v>
      </c>
      <c r="P84" s="66">
        <f xml:space="preserve"> (H84 *Drivers!$L82 * 1000 / 1000000)</f>
        <v>21.691409361480439</v>
      </c>
      <c r="Q84" s="66">
        <f xml:space="preserve"> (I84 *Drivers!$L82 * 1000 / 1000000)</f>
        <v>21.180728238767937</v>
      </c>
      <c r="R84" s="66">
        <f xml:space="preserve"> (J84 *Drivers!$L82 * 1000 / 1000000)</f>
        <v>17.898369537363696</v>
      </c>
      <c r="S84" s="38"/>
      <c r="T84" s="66">
        <f t="shared" si="17"/>
        <v>16.651016838410101</v>
      </c>
      <c r="U84" s="66">
        <f t="shared" si="23"/>
        <v>4.8408281779633606</v>
      </c>
      <c r="V84" s="53">
        <f t="shared" si="24"/>
        <v>20.256835712537356</v>
      </c>
      <c r="W84" s="38"/>
      <c r="X84" s="53">
        <f t="shared" si="18"/>
        <v>21.49184501637346</v>
      </c>
      <c r="Y84" s="53">
        <f t="shared" si="19"/>
        <v>20.256835712537356</v>
      </c>
      <c r="Z84" s="53">
        <f t="shared" si="20"/>
        <v>20.874340364455406</v>
      </c>
      <c r="AA84" s="38"/>
      <c r="AB84" s="53">
        <f>Controls!$F$17*Z84</f>
        <v>17.440061196324248</v>
      </c>
      <c r="AC84" s="53">
        <f>-(INDEX(Controls!$G$19:$G$23,MATCH($C84,Controls!$C$19:$C$23,0),0))*$Z84</f>
        <v>0</v>
      </c>
      <c r="AD84" s="67">
        <f t="shared" si="25"/>
        <v>17.440061196324248</v>
      </c>
      <c r="AE84" s="38"/>
      <c r="AG84" s="81"/>
    </row>
    <row r="85" spans="1:33" x14ac:dyDescent="0.2">
      <c r="A85" s="13" t="s">
        <v>136</v>
      </c>
      <c r="B85" s="13" t="str">
        <f t="shared" si="22"/>
        <v>SEW</v>
      </c>
      <c r="C85" s="13">
        <v>2024</v>
      </c>
      <c r="D85" s="111">
        <f>EXP(Coeffs!$D$13+(Coeffs!$D$6*Drivers!D83)+(Coeffs!$D$7*Drivers!E83))</f>
        <v>18.950521601074797</v>
      </c>
      <c r="E85" s="66">
        <f>EXP(Coeffs!$E$13+(Coeffs!$E$6*Drivers!D83)+(Coeffs!$E$7*Drivers!E83)+(Coeffs!$E$8*Drivers!F83))</f>
        <v>18.222132668411486</v>
      </c>
      <c r="F85" s="66">
        <f>EXP(Coeffs!$F$13+(Coeffs!$F$9*Drivers!G83)+(Coeffs!$F$10*Drivers!H83))</f>
        <v>5.4131011997100194</v>
      </c>
      <c r="G85" s="66">
        <f>EXP(Coeffs!$G$13+(Coeffs!$G$9*Drivers!G83)+(Coeffs!$G$11*Drivers!I83)+(Coeffs!$G$12*Drivers!J83))</f>
        <v>5.3879526331163641</v>
      </c>
      <c r="H85" s="66">
        <f>EXP(Coeffs!$H$13+(Coeffs!$H$7*Drivers!E83)+(Coeffs!$H$9*Drivers!G83)+(Coeffs!$H$10*Drivers!H83))</f>
        <v>24.207969774972515</v>
      </c>
      <c r="I85" s="66">
        <f>EXP(Coeffs!$I$13+(Coeffs!$I$7*Drivers!E83)+(Coeffs!$I$8*Drivers!F83)+(Coeffs!$I$9*Drivers!G83)+(Coeffs!$I$10*Drivers!H83))</f>
        <v>23.626632151006916</v>
      </c>
      <c r="J85" s="66">
        <f>EXP(Coeffs!$J$13+(Coeffs!$J$7*Drivers!E83)+(Coeffs!$J$8*Drivers!F83)+(Coeffs!$J$9*Drivers!G83)+(Coeffs!$J$11*Drivers!I83)+(Coeffs!$J$12*Drivers!J83))</f>
        <v>19.951192027415278</v>
      </c>
      <c r="K85" s="38"/>
      <c r="L85" s="66">
        <f xml:space="preserve"> (D85 *Drivers!$L83 * 1000 / 1000000)</f>
        <v>17.154050054336107</v>
      </c>
      <c r="M85" s="66">
        <f xml:space="preserve"> (E85 *Drivers!$L83 * 1000 / 1000000)</f>
        <v>16.494710935711414</v>
      </c>
      <c r="N85" s="66">
        <f xml:space="preserve"> (F85 *Drivers!$L83 * 1000 / 1000000)</f>
        <v>4.899950032179909</v>
      </c>
      <c r="O85" s="66">
        <f xml:space="preserve"> (G85 *Drivers!$L83 * 1000 / 1000000)</f>
        <v>4.8771854994021986</v>
      </c>
      <c r="P85" s="66">
        <f xml:space="preserve"> (H85 *Drivers!$L83 * 1000 / 1000000)</f>
        <v>21.913102656244671</v>
      </c>
      <c r="Q85" s="66">
        <f xml:space="preserve"> (I85 *Drivers!$L83 * 1000 / 1000000)</f>
        <v>21.38687467635576</v>
      </c>
      <c r="R85" s="66">
        <f xml:space="preserve"> (J85 *Drivers!$L83 * 1000 / 1000000)</f>
        <v>18.059858925600366</v>
      </c>
      <c r="S85" s="38"/>
      <c r="T85" s="66">
        <f t="shared" si="17"/>
        <v>16.82438049502376</v>
      </c>
      <c r="U85" s="66">
        <f t="shared" si="23"/>
        <v>4.8885677657910538</v>
      </c>
      <c r="V85" s="53">
        <f t="shared" si="24"/>
        <v>20.453278752733596</v>
      </c>
      <c r="W85" s="38"/>
      <c r="X85" s="53">
        <f t="shared" si="18"/>
        <v>21.712948260814812</v>
      </c>
      <c r="Y85" s="53">
        <f t="shared" si="19"/>
        <v>20.453278752733596</v>
      </c>
      <c r="Z85" s="53">
        <f t="shared" si="20"/>
        <v>21.083113506774204</v>
      </c>
      <c r="AA85" s="38"/>
      <c r="AB85" s="53">
        <f>Controls!$F$17*Z85</f>
        <v>17.614486654308472</v>
      </c>
      <c r="AC85" s="53">
        <f>-(INDEX(Controls!$G$19:$G$23,MATCH($C85,Controls!$C$19:$C$23,0),0))*$Z85</f>
        <v>0</v>
      </c>
      <c r="AD85" s="67">
        <f t="shared" si="25"/>
        <v>17.614486654308472</v>
      </c>
      <c r="AE85" s="38"/>
      <c r="AG85" s="81"/>
    </row>
    <row r="86" spans="1:33" x14ac:dyDescent="0.2">
      <c r="A86" s="13" t="s">
        <v>137</v>
      </c>
      <c r="B86" s="13" t="str">
        <f t="shared" si="22"/>
        <v>SEW</v>
      </c>
      <c r="C86" s="13">
        <v>2025</v>
      </c>
      <c r="D86" s="111">
        <f>EXP(Coeffs!$D$13+(Coeffs!$D$6*Drivers!D84)+(Coeffs!$D$7*Drivers!E84))</f>
        <v>18.964037663986158</v>
      </c>
      <c r="E86" s="66">
        <f>EXP(Coeffs!$E$13+(Coeffs!$E$6*Drivers!D84)+(Coeffs!$E$7*Drivers!E84)+(Coeffs!$E$8*Drivers!F84))</f>
        <v>18.226252487288424</v>
      </c>
      <c r="F86" s="66">
        <f>EXP(Coeffs!$F$13+(Coeffs!$F$9*Drivers!G84)+(Coeffs!$F$10*Drivers!H84))</f>
        <v>5.4062329315515694</v>
      </c>
      <c r="G86" s="66">
        <f>EXP(Coeffs!$G$13+(Coeffs!$G$9*Drivers!G84)+(Coeffs!$G$11*Drivers!I84)+(Coeffs!$G$12*Drivers!J84))</f>
        <v>5.3811926170640172</v>
      </c>
      <c r="H86" s="66">
        <f>EXP(Coeffs!$H$13+(Coeffs!$H$7*Drivers!E84)+(Coeffs!$H$9*Drivers!G84)+(Coeffs!$H$10*Drivers!H84))</f>
        <v>24.203214937622192</v>
      </c>
      <c r="I86" s="66">
        <f>EXP(Coeffs!$I$13+(Coeffs!$I$7*Drivers!E84)+(Coeffs!$I$8*Drivers!F84)+(Coeffs!$I$9*Drivers!G84)+(Coeffs!$I$10*Drivers!H84))</f>
        <v>23.608803637340117</v>
      </c>
      <c r="J86" s="66">
        <f>EXP(Coeffs!$J$13+(Coeffs!$J$7*Drivers!E84)+(Coeffs!$J$8*Drivers!F84)+(Coeffs!$J$9*Drivers!G84)+(Coeffs!$J$11*Drivers!I84)+(Coeffs!$J$12*Drivers!J84))</f>
        <v>19.920546926899668</v>
      </c>
      <c r="K86" s="38"/>
      <c r="L86" s="66">
        <f xml:space="preserve"> (D86 *Drivers!$L84 * 1000 / 1000000)</f>
        <v>17.336581879738194</v>
      </c>
      <c r="M86" s="66">
        <f xml:space="preserve"> (E86 *Drivers!$L84 * 1000 / 1000000)</f>
        <v>16.662111951334307</v>
      </c>
      <c r="N86" s="66">
        <f xml:space="preserve"> (F86 *Drivers!$L84 * 1000 / 1000000)</f>
        <v>4.9422808338316768</v>
      </c>
      <c r="O86" s="66">
        <f xml:space="preserve"> (G86 *Drivers!$L84 * 1000 / 1000000)</f>
        <v>4.919389429052818</v>
      </c>
      <c r="P86" s="66">
        <f xml:space="preserve"> (H86 *Drivers!$L84 * 1000 / 1000000)</f>
        <v>22.126143438105334</v>
      </c>
      <c r="Q86" s="66">
        <f xml:space="preserve"> (I86 *Drivers!$L84 * 1000 / 1000000)</f>
        <v>21.582743326790862</v>
      </c>
      <c r="R86" s="66">
        <f xml:space="preserve"> (J86 *Drivers!$L84 * 1000 / 1000000)</f>
        <v>18.211005430726996</v>
      </c>
      <c r="S86" s="38"/>
      <c r="T86" s="66">
        <f t="shared" si="17"/>
        <v>16.99934691553625</v>
      </c>
      <c r="U86" s="66">
        <f t="shared" si="23"/>
        <v>4.9308351314422474</v>
      </c>
      <c r="V86" s="53">
        <f t="shared" si="24"/>
        <v>20.639964065207728</v>
      </c>
      <c r="W86" s="38"/>
      <c r="X86" s="53">
        <f t="shared" si="18"/>
        <v>21.930182046978498</v>
      </c>
      <c r="Y86" s="53">
        <f t="shared" si="19"/>
        <v>20.639964065207728</v>
      </c>
      <c r="Z86" s="53">
        <f t="shared" si="20"/>
        <v>21.285073056093111</v>
      </c>
      <c r="AA86" s="38"/>
      <c r="AB86" s="53">
        <f>Controls!$F$17*Z86</f>
        <v>17.783219502283941</v>
      </c>
      <c r="AC86" s="53">
        <f>-(INDEX(Controls!$G$19:$G$23,MATCH($C86,Controls!$C$19:$C$23,0),0))*$Z86</f>
        <v>0</v>
      </c>
      <c r="AD86" s="67">
        <f t="shared" si="25"/>
        <v>17.783219502283941</v>
      </c>
      <c r="AE86" s="38"/>
      <c r="AG86" s="81"/>
    </row>
    <row r="87" spans="1:33" x14ac:dyDescent="0.2">
      <c r="A87" s="13" t="s">
        <v>138</v>
      </c>
      <c r="B87" s="13" t="str">
        <f t="shared" si="22"/>
        <v>SSC</v>
      </c>
      <c r="C87" s="13">
        <v>2021</v>
      </c>
      <c r="D87" s="111">
        <f>EXP(Coeffs!$D$13+(Coeffs!$D$6*Drivers!D85)+(Coeffs!$D$7*Drivers!E85))</f>
        <v>15.340938877500207</v>
      </c>
      <c r="E87" s="66">
        <f>EXP(Coeffs!$E$13+(Coeffs!$E$6*Drivers!D85)+(Coeffs!$E$7*Drivers!E85)+(Coeffs!$E$8*Drivers!F85))</f>
        <v>15.027520059188987</v>
      </c>
      <c r="F87" s="66">
        <f>EXP(Coeffs!$F$13+(Coeffs!$F$9*Drivers!G85)+(Coeffs!$F$10*Drivers!H85))</f>
        <v>5.264720661221566</v>
      </c>
      <c r="G87" s="66">
        <f>EXP(Coeffs!$G$13+(Coeffs!$G$9*Drivers!G85)+(Coeffs!$G$11*Drivers!I85)+(Coeffs!$G$12*Drivers!J85))</f>
        <v>5.5137426117256148</v>
      </c>
      <c r="H87" s="66">
        <f>EXP(Coeffs!$H$13+(Coeffs!$H$7*Drivers!E85)+(Coeffs!$H$9*Drivers!G85)+(Coeffs!$H$10*Drivers!H85))</f>
        <v>21.049223826655453</v>
      </c>
      <c r="I87" s="66">
        <f>EXP(Coeffs!$I$13+(Coeffs!$I$7*Drivers!E85)+(Coeffs!$I$8*Drivers!F85)+(Coeffs!$I$9*Drivers!G85)+(Coeffs!$I$10*Drivers!H85))</f>
        <v>21.03320170736632</v>
      </c>
      <c r="J87" s="66">
        <f>EXP(Coeffs!$J$13+(Coeffs!$J$7*Drivers!E85)+(Coeffs!$J$8*Drivers!F85)+(Coeffs!$J$9*Drivers!G85)+(Coeffs!$J$11*Drivers!I85)+(Coeffs!$J$12*Drivers!J85))</f>
        <v>21.98539574722475</v>
      </c>
      <c r="K87" s="38"/>
      <c r="L87" s="66">
        <f xml:space="preserve"> (D87 *Drivers!$L85 * 1000 / 1000000)</f>
        <v>10.704353951960771</v>
      </c>
      <c r="M87" s="66">
        <f xml:space="preserve"> (E87 *Drivers!$L85 * 1000 / 1000000)</f>
        <v>10.485661602476927</v>
      </c>
      <c r="N87" s="66">
        <f xml:space="preserve"> (F87 *Drivers!$L85 * 1000 / 1000000)</f>
        <v>3.6735322307143998</v>
      </c>
      <c r="O87" s="66">
        <f xml:space="preserve"> (G87 *Drivers!$L85 * 1000 / 1000000)</f>
        <v>3.8472907680039601</v>
      </c>
      <c r="P87" s="66">
        <f xml:space="preserve"> (H87 *Drivers!$L85 * 1000 / 1000000)</f>
        <v>14.687389347794701</v>
      </c>
      <c r="Q87" s="66">
        <f xml:space="preserve"> (I87 *Drivers!$L85 * 1000 / 1000000)</f>
        <v>14.67620969071498</v>
      </c>
      <c r="R87" s="66">
        <f xml:space="preserve"> (J87 *Drivers!$L85 * 1000 / 1000000)</f>
        <v>15.340616355455758</v>
      </c>
      <c r="S87" s="38"/>
      <c r="T87" s="66">
        <f t="shared" si="17"/>
        <v>10.59500777721885</v>
      </c>
      <c r="U87" s="66">
        <f t="shared" si="23"/>
        <v>3.7604114993591802</v>
      </c>
      <c r="V87" s="53">
        <f t="shared" si="24"/>
        <v>14.901405131321811</v>
      </c>
      <c r="W87" s="38"/>
      <c r="X87" s="53">
        <f t="shared" si="18"/>
        <v>14.355419276578029</v>
      </c>
      <c r="Y87" s="53">
        <f t="shared" si="19"/>
        <v>14.901405131321811</v>
      </c>
      <c r="Z87" s="53">
        <f t="shared" si="20"/>
        <v>14.628412203949921</v>
      </c>
      <c r="AA87" s="38"/>
      <c r="AB87" s="53">
        <f>Controls!$F$17*Z87</f>
        <v>12.221722918553118</v>
      </c>
      <c r="AC87" s="53">
        <f>-(INDEX(Controls!$G$19:$G$23,MATCH($C87,Controls!$C$19:$C$23,0),0))*$Z87</f>
        <v>0</v>
      </c>
      <c r="AD87" s="67">
        <f t="shared" si="25"/>
        <v>12.221722918553118</v>
      </c>
      <c r="AE87" s="38"/>
      <c r="AG87" s="81"/>
    </row>
    <row r="88" spans="1:33" x14ac:dyDescent="0.2">
      <c r="A88" s="13" t="s">
        <v>139</v>
      </c>
      <c r="B88" s="13" t="str">
        <f t="shared" si="22"/>
        <v>SSC</v>
      </c>
      <c r="C88" s="13">
        <v>2022</v>
      </c>
      <c r="D88" s="111">
        <f>EXP(Coeffs!$D$13+(Coeffs!$D$6*Drivers!D86)+(Coeffs!$D$7*Drivers!E86))</f>
        <v>15.50470838794857</v>
      </c>
      <c r="E88" s="66">
        <f>EXP(Coeffs!$E$13+(Coeffs!$E$6*Drivers!D86)+(Coeffs!$E$7*Drivers!E86)+(Coeffs!$E$8*Drivers!F86))</f>
        <v>15.174295530223707</v>
      </c>
      <c r="F88" s="66">
        <f>EXP(Coeffs!$F$13+(Coeffs!$F$9*Drivers!G86)+(Coeffs!$F$10*Drivers!H86))</f>
        <v>5.1461755786916532</v>
      </c>
      <c r="G88" s="66">
        <f>EXP(Coeffs!$G$13+(Coeffs!$G$9*Drivers!G86)+(Coeffs!$G$11*Drivers!I86)+(Coeffs!$G$12*Drivers!J86))</f>
        <v>5.3909620735467358</v>
      </c>
      <c r="H88" s="66">
        <f>EXP(Coeffs!$H$13+(Coeffs!$H$7*Drivers!E86)+(Coeffs!$H$9*Drivers!G86)+(Coeffs!$H$10*Drivers!H86))</f>
        <v>20.954597848417993</v>
      </c>
      <c r="I88" s="66">
        <f>EXP(Coeffs!$I$13+(Coeffs!$I$7*Drivers!E86)+(Coeffs!$I$8*Drivers!F86)+(Coeffs!$I$9*Drivers!G86)+(Coeffs!$I$10*Drivers!H86))</f>
        <v>20.934462651835403</v>
      </c>
      <c r="J88" s="66">
        <f>EXP(Coeffs!$J$13+(Coeffs!$J$7*Drivers!E86)+(Coeffs!$J$8*Drivers!F86)+(Coeffs!$J$9*Drivers!G86)+(Coeffs!$J$11*Drivers!I86)+(Coeffs!$J$12*Drivers!J86))</f>
        <v>21.808047388234602</v>
      </c>
      <c r="K88" s="38"/>
      <c r="L88" s="66">
        <f xml:space="preserve"> (D88 *Drivers!$L86 * 1000 / 1000000)</f>
        <v>10.953325877437669</v>
      </c>
      <c r="M88" s="66">
        <f xml:space="preserve"> (E88 *Drivers!$L86 * 1000 / 1000000)</f>
        <v>10.719905189076389</v>
      </c>
      <c r="N88" s="66">
        <f xml:space="preserve"> (F88 *Drivers!$L86 * 1000 / 1000000)</f>
        <v>3.6355239147699363</v>
      </c>
      <c r="O88" s="66">
        <f xml:space="preserve"> (G88 *Drivers!$L86 * 1000 / 1000000)</f>
        <v>3.8084537230227307</v>
      </c>
      <c r="P88" s="66">
        <f xml:space="preserve"> (H88 *Drivers!$L86 * 1000 / 1000000)</f>
        <v>14.803408946586748</v>
      </c>
      <c r="Q88" s="66">
        <f xml:space="preserve"> (I88 *Drivers!$L86 * 1000 / 1000000)</f>
        <v>14.789184404966425</v>
      </c>
      <c r="R88" s="66">
        <f xml:space="preserve"> (J88 *Drivers!$L86 * 1000 / 1000000)</f>
        <v>15.40632973010994</v>
      </c>
      <c r="S88" s="38"/>
      <c r="T88" s="66">
        <f t="shared" si="17"/>
        <v>10.836615533257028</v>
      </c>
      <c r="U88" s="66">
        <f t="shared" si="23"/>
        <v>3.7219888188963335</v>
      </c>
      <c r="V88" s="53">
        <f t="shared" si="24"/>
        <v>14.999641027221038</v>
      </c>
      <c r="W88" s="38"/>
      <c r="X88" s="53">
        <f t="shared" si="18"/>
        <v>14.558604352153361</v>
      </c>
      <c r="Y88" s="53">
        <f t="shared" si="19"/>
        <v>14.999641027221038</v>
      </c>
      <c r="Z88" s="53">
        <f t="shared" si="20"/>
        <v>14.779122689687199</v>
      </c>
      <c r="AA88" s="38"/>
      <c r="AB88" s="53">
        <f>Controls!$F$17*Z88</f>
        <v>12.347638279148727</v>
      </c>
      <c r="AC88" s="53">
        <f>-(INDEX(Controls!$G$19:$G$23,MATCH($C88,Controls!$C$19:$C$23,0),0))*$Z88</f>
        <v>0</v>
      </c>
      <c r="AD88" s="67">
        <f t="shared" si="25"/>
        <v>12.347638279148727</v>
      </c>
      <c r="AE88" s="38"/>
      <c r="AG88" s="81"/>
    </row>
    <row r="89" spans="1:33" x14ac:dyDescent="0.2">
      <c r="A89" s="13" t="s">
        <v>140</v>
      </c>
      <c r="B89" s="13" t="str">
        <f t="shared" si="22"/>
        <v>SSC</v>
      </c>
      <c r="C89" s="13">
        <v>2023</v>
      </c>
      <c r="D89" s="111">
        <f>EXP(Coeffs!$D$13+(Coeffs!$D$6*Drivers!D87)+(Coeffs!$D$7*Drivers!E87))</f>
        <v>15.663531047033345</v>
      </c>
      <c r="E89" s="66">
        <f>EXP(Coeffs!$E$13+(Coeffs!$E$6*Drivers!D87)+(Coeffs!$E$7*Drivers!E87)+(Coeffs!$E$8*Drivers!F87))</f>
        <v>15.316631559105518</v>
      </c>
      <c r="F89" s="66">
        <f>EXP(Coeffs!$F$13+(Coeffs!$F$9*Drivers!G87)+(Coeffs!$F$10*Drivers!H87))</f>
        <v>5.0320267489786579</v>
      </c>
      <c r="G89" s="66">
        <f>EXP(Coeffs!$G$13+(Coeffs!$G$9*Drivers!G87)+(Coeffs!$G$11*Drivers!I87)+(Coeffs!$G$12*Drivers!J87))</f>
        <v>5.2727049946348092</v>
      </c>
      <c r="H89" s="66">
        <f>EXP(Coeffs!$H$13+(Coeffs!$H$7*Drivers!E87)+(Coeffs!$H$9*Drivers!G87)+(Coeffs!$H$10*Drivers!H87))</f>
        <v>20.859291105675151</v>
      </c>
      <c r="I89" s="66">
        <f>EXP(Coeffs!$I$13+(Coeffs!$I$7*Drivers!E87)+(Coeffs!$I$8*Drivers!F87)+(Coeffs!$I$9*Drivers!G87)+(Coeffs!$I$10*Drivers!H87))</f>
        <v>20.834873454034078</v>
      </c>
      <c r="J89" s="66">
        <f>EXP(Coeffs!$J$13+(Coeffs!$J$7*Drivers!E87)+(Coeffs!$J$8*Drivers!F87)+(Coeffs!$J$9*Drivers!G87)+(Coeffs!$J$11*Drivers!I87)+(Coeffs!$J$12*Drivers!J87))</f>
        <v>21.633139256524384</v>
      </c>
      <c r="K89" s="38"/>
      <c r="L89" s="66">
        <f xml:space="preserve"> (D89 *Drivers!$L87 * 1000 / 1000000)</f>
        <v>11.195872135611252</v>
      </c>
      <c r="M89" s="66">
        <f xml:space="preserve"> (E89 *Drivers!$L87 * 1000 / 1000000)</f>
        <v>10.947917680189493</v>
      </c>
      <c r="N89" s="66">
        <f xml:space="preserve"> (F89 *Drivers!$L87 * 1000 / 1000000)</f>
        <v>3.5967578380234362</v>
      </c>
      <c r="O89" s="66">
        <f xml:space="preserve"> (G89 *Drivers!$L87 * 1000 / 1000000)</f>
        <v>3.7687881967017152</v>
      </c>
      <c r="P89" s="66">
        <f xml:space="preserve"> (H89 *Drivers!$L87 * 1000 / 1000000)</f>
        <v>14.909662154553832</v>
      </c>
      <c r="Q89" s="66">
        <f xml:space="preserve"> (I89 *Drivers!$L87 * 1000 / 1000000)</f>
        <v>14.892209071669489</v>
      </c>
      <c r="R89" s="66">
        <f xml:space="preserve"> (J89 *Drivers!$L87 * 1000 / 1000000)</f>
        <v>15.462788069985789</v>
      </c>
      <c r="S89" s="38"/>
      <c r="T89" s="66">
        <f t="shared" si="17"/>
        <v>11.071894907900372</v>
      </c>
      <c r="U89" s="66">
        <f t="shared" si="23"/>
        <v>3.6827730173625755</v>
      </c>
      <c r="V89" s="53">
        <f t="shared" si="24"/>
        <v>15.088219765403036</v>
      </c>
      <c r="W89" s="38"/>
      <c r="X89" s="53">
        <f t="shared" si="18"/>
        <v>14.754667925262947</v>
      </c>
      <c r="Y89" s="53">
        <f t="shared" si="19"/>
        <v>15.088219765403036</v>
      </c>
      <c r="Z89" s="53">
        <f t="shared" si="20"/>
        <v>14.921443845332991</v>
      </c>
      <c r="AA89" s="38"/>
      <c r="AB89" s="53">
        <f>Controls!$F$17*Z89</f>
        <v>12.466544535378057</v>
      </c>
      <c r="AC89" s="53">
        <f>-(INDEX(Controls!$G$19:$G$23,MATCH($C89,Controls!$C$19:$C$23,0),0))*$Z89</f>
        <v>0</v>
      </c>
      <c r="AD89" s="67">
        <f t="shared" si="25"/>
        <v>12.466544535378057</v>
      </c>
      <c r="AE89" s="38"/>
      <c r="AG89" s="81"/>
    </row>
    <row r="90" spans="1:33" x14ac:dyDescent="0.2">
      <c r="A90" s="13" t="s">
        <v>141</v>
      </c>
      <c r="B90" s="13" t="str">
        <f t="shared" si="22"/>
        <v>SSC</v>
      </c>
      <c r="C90" s="13">
        <v>2024</v>
      </c>
      <c r="D90" s="111">
        <f>EXP(Coeffs!$D$13+(Coeffs!$D$6*Drivers!D88)+(Coeffs!$D$7*Drivers!E88))</f>
        <v>15.822432041037407</v>
      </c>
      <c r="E90" s="66">
        <f>EXP(Coeffs!$E$13+(Coeffs!$E$6*Drivers!D88)+(Coeffs!$E$7*Drivers!E88)+(Coeffs!$E$8*Drivers!F88))</f>
        <v>15.458423024762517</v>
      </c>
      <c r="F90" s="66">
        <f>EXP(Coeffs!$F$13+(Coeffs!$F$9*Drivers!G88)+(Coeffs!$F$10*Drivers!H88))</f>
        <v>4.9197839728263091</v>
      </c>
      <c r="G90" s="66">
        <f>EXP(Coeffs!$G$13+(Coeffs!$G$9*Drivers!G88)+(Coeffs!$G$11*Drivers!I88)+(Coeffs!$G$12*Drivers!J88))</f>
        <v>5.1563933369353849</v>
      </c>
      <c r="H90" s="66">
        <f>EXP(Coeffs!$H$13+(Coeffs!$H$7*Drivers!E88)+(Coeffs!$H$9*Drivers!G88)+(Coeffs!$H$10*Drivers!H88))</f>
        <v>20.762418640861629</v>
      </c>
      <c r="I90" s="66">
        <f>EXP(Coeffs!$I$13+(Coeffs!$I$7*Drivers!E88)+(Coeffs!$I$8*Drivers!F88)+(Coeffs!$I$9*Drivers!G88)+(Coeffs!$I$10*Drivers!H88))</f>
        <v>20.732587358091124</v>
      </c>
      <c r="J90" s="66">
        <f>EXP(Coeffs!$J$13+(Coeffs!$J$7*Drivers!E88)+(Coeffs!$J$8*Drivers!F88)+(Coeffs!$J$9*Drivers!G88)+(Coeffs!$J$11*Drivers!I88)+(Coeffs!$J$12*Drivers!J88))</f>
        <v>21.455633194151311</v>
      </c>
      <c r="K90" s="38"/>
      <c r="L90" s="66">
        <f xml:space="preserve"> (D90 *Drivers!$L88 * 1000 / 1000000)</f>
        <v>11.449129009687253</v>
      </c>
      <c r="M90" s="66">
        <f xml:space="preserve"> (E90 *Drivers!$L88 * 1000 / 1000000)</f>
        <v>11.185731690159418</v>
      </c>
      <c r="N90" s="66">
        <f xml:space="preserve"> (F90 *Drivers!$L88 * 1000 / 1000000)</f>
        <v>3.5599610261297712</v>
      </c>
      <c r="O90" s="66">
        <f xml:space="preserve"> (G90 *Drivers!$L88 * 1000 / 1000000)</f>
        <v>3.7311718189812639</v>
      </c>
      <c r="P90" s="66">
        <f xml:space="preserve"> (H90 *Drivers!$L88 * 1000 / 1000000)</f>
        <v>15.023708678654847</v>
      </c>
      <c r="Q90" s="66">
        <f xml:space="preserve"> (I90 *Drivers!$L88 * 1000 / 1000000)</f>
        <v>15.002122730042261</v>
      </c>
      <c r="R90" s="66">
        <f xml:space="preserve"> (J90 *Drivers!$L88 * 1000 / 1000000)</f>
        <v>15.525319482317743</v>
      </c>
      <c r="S90" s="38"/>
      <c r="T90" s="66">
        <f t="shared" si="17"/>
        <v>11.317430349923335</v>
      </c>
      <c r="U90" s="66">
        <f t="shared" si="23"/>
        <v>3.6455664225555173</v>
      </c>
      <c r="V90" s="53">
        <f t="shared" si="24"/>
        <v>15.183716963671618</v>
      </c>
      <c r="W90" s="38"/>
      <c r="X90" s="53">
        <f t="shared" si="18"/>
        <v>14.962996772478853</v>
      </c>
      <c r="Y90" s="53">
        <f t="shared" si="19"/>
        <v>15.183716963671618</v>
      </c>
      <c r="Z90" s="53">
        <f t="shared" si="20"/>
        <v>15.073356868075235</v>
      </c>
      <c r="AA90" s="38"/>
      <c r="AB90" s="53">
        <f>Controls!$F$17*Z90</f>
        <v>12.593464589707279</v>
      </c>
      <c r="AC90" s="53">
        <f>-(INDEX(Controls!$G$19:$G$23,MATCH($C90,Controls!$C$19:$C$23,0),0))*$Z90</f>
        <v>0</v>
      </c>
      <c r="AD90" s="67">
        <f t="shared" si="25"/>
        <v>12.593464589707279</v>
      </c>
      <c r="AE90" s="38"/>
      <c r="AG90" s="81"/>
    </row>
    <row r="91" spans="1:33" x14ac:dyDescent="0.2">
      <c r="A91" s="13" t="s">
        <v>142</v>
      </c>
      <c r="B91" s="13" t="str">
        <f t="shared" si="22"/>
        <v>SSC</v>
      </c>
      <c r="C91" s="13">
        <v>2025</v>
      </c>
      <c r="D91" s="111">
        <f>EXP(Coeffs!$D$13+(Coeffs!$D$6*Drivers!D89)+(Coeffs!$D$7*Drivers!E89))</f>
        <v>15.977576792099512</v>
      </c>
      <c r="E91" s="66">
        <f>EXP(Coeffs!$E$13+(Coeffs!$E$6*Drivers!D89)+(Coeffs!$E$7*Drivers!E89)+(Coeffs!$E$8*Drivers!F89))</f>
        <v>15.596730598374382</v>
      </c>
      <c r="F91" s="66">
        <f>EXP(Coeffs!$F$13+(Coeffs!$F$9*Drivers!G89)+(Coeffs!$F$10*Drivers!H89))</f>
        <v>4.8107931560311812</v>
      </c>
      <c r="G91" s="66">
        <f>EXP(Coeffs!$G$13+(Coeffs!$G$9*Drivers!G89)+(Coeffs!$G$11*Drivers!I89)+(Coeffs!$G$12*Drivers!J89))</f>
        <v>5.0434231490431181</v>
      </c>
      <c r="H91" s="66">
        <f>EXP(Coeffs!$H$13+(Coeffs!$H$7*Drivers!E89)+(Coeffs!$H$9*Drivers!G89)+(Coeffs!$H$10*Drivers!H89))</f>
        <v>20.664169312903645</v>
      </c>
      <c r="I91" s="66">
        <f>EXP(Coeffs!$I$13+(Coeffs!$I$7*Drivers!E89)+(Coeffs!$I$8*Drivers!F89)+(Coeffs!$I$9*Drivers!G89)+(Coeffs!$I$10*Drivers!H89))</f>
        <v>20.628535806104228</v>
      </c>
      <c r="J91" s="66">
        <f>EXP(Coeffs!$J$13+(Coeffs!$J$7*Drivers!E89)+(Coeffs!$J$8*Drivers!F89)+(Coeffs!$J$9*Drivers!G89)+(Coeffs!$J$11*Drivers!I89)+(Coeffs!$J$12*Drivers!J89))</f>
        <v>21.278747104575768</v>
      </c>
      <c r="K91" s="38"/>
      <c r="L91" s="66">
        <f xml:space="preserve"> (D91 *Drivers!$L89 * 1000 / 1000000)</f>
        <v>11.699600853215212</v>
      </c>
      <c r="M91" s="66">
        <f xml:space="preserve"> (E91 *Drivers!$L89 * 1000 / 1000000)</f>
        <v>11.420725745241796</v>
      </c>
      <c r="N91" s="66">
        <f xml:space="preserve"> (F91 *Drivers!$L89 * 1000 / 1000000)</f>
        <v>3.5227093848658848</v>
      </c>
      <c r="O91" s="66">
        <f xml:space="preserve"> (G91 *Drivers!$L89 * 1000 / 1000000)</f>
        <v>3.6930529920436457</v>
      </c>
      <c r="P91" s="66">
        <f xml:space="preserve"> (H91 *Drivers!$L89 * 1000 / 1000000)</f>
        <v>15.13136416554582</v>
      </c>
      <c r="Q91" s="66">
        <f xml:space="preserve"> (I91 *Drivers!$L89 * 1000 / 1000000)</f>
        <v>15.105271485036241</v>
      </c>
      <c r="R91" s="66">
        <f xml:space="preserve"> (J91 *Drivers!$L89 * 1000 / 1000000)</f>
        <v>15.581389532306673</v>
      </c>
      <c r="S91" s="38"/>
      <c r="T91" s="66">
        <f t="shared" si="17"/>
        <v>11.560163299228504</v>
      </c>
      <c r="U91" s="66">
        <f t="shared" si="23"/>
        <v>3.6078811884547655</v>
      </c>
      <c r="V91" s="53">
        <f t="shared" si="24"/>
        <v>15.272675060962911</v>
      </c>
      <c r="W91" s="38"/>
      <c r="X91" s="53">
        <f t="shared" si="18"/>
        <v>15.16804448768327</v>
      </c>
      <c r="Y91" s="53">
        <f t="shared" si="19"/>
        <v>15.272675060962911</v>
      </c>
      <c r="Z91" s="53">
        <f t="shared" si="20"/>
        <v>15.220359774323089</v>
      </c>
      <c r="AA91" s="38"/>
      <c r="AB91" s="53">
        <f>Controls!$F$17*Z91</f>
        <v>12.716282347597517</v>
      </c>
      <c r="AC91" s="53">
        <f>-(INDEX(Controls!$G$19:$G$23,MATCH($C91,Controls!$C$19:$C$23,0),0))*$Z91</f>
        <v>0</v>
      </c>
      <c r="AD91" s="67">
        <f t="shared" si="25"/>
        <v>12.716282347597517</v>
      </c>
      <c r="AE91" s="38"/>
      <c r="AG91" s="81"/>
    </row>
    <row r="92" spans="1:33" ht="15" x14ac:dyDescent="0.2">
      <c r="A92" s="158" t="s">
        <v>287</v>
      </c>
      <c r="B92" s="158" t="str">
        <f t="shared" si="22"/>
        <v>SVH</v>
      </c>
      <c r="C92" s="158">
        <v>2021</v>
      </c>
      <c r="D92" s="159">
        <f>EXP(Coeffs!$D$13+(Coeffs!$D$6*Drivers!D90)+(Coeffs!$D$7*Drivers!E90))</f>
        <v>17.28074798410119</v>
      </c>
      <c r="E92" s="160">
        <f>EXP(Coeffs!$E$13+(Coeffs!$E$6*Drivers!D90)+(Coeffs!$E$7*Drivers!E90)+(Coeffs!$E$8*Drivers!F90))</f>
        <v>16.619905928719689</v>
      </c>
      <c r="F92" s="160">
        <f>EXP(Coeffs!$F$13+(Coeffs!$F$9*Drivers!G90)+(Coeffs!$F$10*Drivers!H90))</f>
        <v>11.669234304163341</v>
      </c>
      <c r="G92" s="160">
        <f>EXP(Coeffs!$G$13+(Coeffs!$G$9*Drivers!G90)+(Coeffs!$G$11*Drivers!I90)+(Coeffs!$G$12*Drivers!J90))</f>
        <v>12.041260179097947</v>
      </c>
      <c r="H92" s="160">
        <f>EXP(Coeffs!$H$13+(Coeffs!$H$7*Drivers!E90)+(Coeffs!$H$9*Drivers!G90)+(Coeffs!$H$10*Drivers!H90))</f>
        <v>29.184189789424313</v>
      </c>
      <c r="I92" s="160">
        <f>EXP(Coeffs!$I$13+(Coeffs!$I$7*Drivers!E90)+(Coeffs!$I$8*Drivers!F90)+(Coeffs!$I$9*Drivers!G90)+(Coeffs!$I$10*Drivers!H90))</f>
        <v>27.109153070722776</v>
      </c>
      <c r="J92" s="66">
        <f>EXP(Coeffs!$J$13+(Coeffs!$J$7*Drivers!E90)+(Coeffs!$J$8*Drivers!F90)+(Coeffs!$J$9*Drivers!G90)+(Coeffs!$J$11*Drivers!I90)+(Coeffs!$J$12*Drivers!J90))</f>
        <v>26.594061610143516</v>
      </c>
      <c r="K92" s="79"/>
      <c r="L92" s="179">
        <f>L27+L67</f>
        <v>75.273788387692562</v>
      </c>
      <c r="M92" s="179">
        <f t="shared" ref="M92:R92" si="26">M27+M67</f>
        <v>72.736278811457368</v>
      </c>
      <c r="N92" s="179">
        <f t="shared" si="26"/>
        <v>46.282421245825226</v>
      </c>
      <c r="O92" s="179">
        <f t="shared" si="26"/>
        <v>48.03703744427844</v>
      </c>
      <c r="P92" s="179">
        <f t="shared" si="26"/>
        <v>121.81181034821851</v>
      </c>
      <c r="Q92" s="179">
        <f t="shared" si="26"/>
        <v>113.67875921031636</v>
      </c>
      <c r="R92" s="179">
        <f t="shared" si="26"/>
        <v>111.89775460651694</v>
      </c>
      <c r="S92" s="80"/>
      <c r="T92" s="66">
        <f t="shared" si="17"/>
        <v>74.005033599574972</v>
      </c>
      <c r="U92" s="66">
        <f t="shared" si="23"/>
        <v>47.159729345051829</v>
      </c>
      <c r="V92" s="53">
        <f t="shared" si="24"/>
        <v>115.79610805501727</v>
      </c>
      <c r="X92" s="67">
        <f t="shared" si="18"/>
        <v>121.1647629446268</v>
      </c>
      <c r="Y92" s="67">
        <f t="shared" si="19"/>
        <v>115.79610805501727</v>
      </c>
      <c r="Z92" s="53">
        <f>$X$3*$X92+$Y$3*$Y92</f>
        <v>118.48043549982204</v>
      </c>
      <c r="AB92" s="53">
        <f>Controls!$F$17*Z92</f>
        <v>98.987848698803774</v>
      </c>
      <c r="AC92" s="53">
        <f>-(INDEX(Controls!$G$19:$G$23,MATCH($C92,Controls!$C$19:$C$23,0),0))*$Z92</f>
        <v>0</v>
      </c>
      <c r="AD92" s="67">
        <f t="shared" si="25"/>
        <v>98.987848698803774</v>
      </c>
      <c r="AG92" s="81"/>
    </row>
    <row r="93" spans="1:33" ht="15" x14ac:dyDescent="0.2">
      <c r="A93" s="158" t="s">
        <v>288</v>
      </c>
      <c r="B93" s="158" t="str">
        <f t="shared" si="22"/>
        <v>SVH</v>
      </c>
      <c r="C93" s="158">
        <v>2022</v>
      </c>
      <c r="D93" s="159">
        <f>EXP(Coeffs!$D$13+(Coeffs!$D$6*Drivers!D91)+(Coeffs!$D$7*Drivers!E91))</f>
        <v>17.540613237193519</v>
      </c>
      <c r="E93" s="160">
        <f>EXP(Coeffs!$E$13+(Coeffs!$E$6*Drivers!D91)+(Coeffs!$E$7*Drivers!E91)+(Coeffs!$E$8*Drivers!F91))</f>
        <v>16.85778345849177</v>
      </c>
      <c r="F93" s="160">
        <f>EXP(Coeffs!$F$13+(Coeffs!$F$9*Drivers!G91)+(Coeffs!$F$10*Drivers!H91))</f>
        <v>11.874183235271543</v>
      </c>
      <c r="G93" s="160">
        <f>EXP(Coeffs!$G$13+(Coeffs!$G$9*Drivers!G91)+(Coeffs!$G$11*Drivers!I91)+(Coeffs!$G$12*Drivers!J91))</f>
        <v>12.250359513966666</v>
      </c>
      <c r="H93" s="160">
        <f>EXP(Coeffs!$H$13+(Coeffs!$H$7*Drivers!E91)+(Coeffs!$H$9*Drivers!G91)+(Coeffs!$H$10*Drivers!H91))</f>
        <v>29.591812242012868</v>
      </c>
      <c r="I93" s="160">
        <f>EXP(Coeffs!$I$13+(Coeffs!$I$7*Drivers!E91)+(Coeffs!$I$8*Drivers!F91)+(Coeffs!$I$9*Drivers!G91)+(Coeffs!$I$10*Drivers!H91))</f>
        <v>27.566896252459198</v>
      </c>
      <c r="J93" s="66">
        <f>EXP(Coeffs!$J$13+(Coeffs!$J$7*Drivers!E91)+(Coeffs!$J$8*Drivers!F91)+(Coeffs!$J$9*Drivers!G91)+(Coeffs!$J$11*Drivers!I91)+(Coeffs!$J$12*Drivers!J91))</f>
        <v>27.020972978859323</v>
      </c>
      <c r="K93" s="79"/>
      <c r="L93" s="179">
        <f t="shared" ref="L93:R93" si="27">L28+L68</f>
        <v>77.521342342131362</v>
      </c>
      <c r="M93" s="179">
        <f t="shared" si="27"/>
        <v>74.825451168229492</v>
      </c>
      <c r="N93" s="179">
        <f t="shared" si="27"/>
        <v>45.421869014084102</v>
      </c>
      <c r="O93" s="179">
        <f t="shared" si="27"/>
        <v>47.158796156794963</v>
      </c>
      <c r="P93" s="179">
        <f t="shared" si="27"/>
        <v>122.69286440582798</v>
      </c>
      <c r="Q93" s="179">
        <f t="shared" si="27"/>
        <v>114.59639750211824</v>
      </c>
      <c r="R93" s="179">
        <f t="shared" si="27"/>
        <v>112.28567049362518</v>
      </c>
      <c r="S93" s="80"/>
      <c r="T93" s="66">
        <f t="shared" si="17"/>
        <v>76.17339675518042</v>
      </c>
      <c r="U93" s="66">
        <f t="shared" si="23"/>
        <v>46.290332585439529</v>
      </c>
      <c r="V93" s="53">
        <f t="shared" si="24"/>
        <v>116.52497746719047</v>
      </c>
      <c r="X93" s="67">
        <f t="shared" si="18"/>
        <v>122.46372934061995</v>
      </c>
      <c r="Y93" s="67">
        <f t="shared" si="19"/>
        <v>116.52497746719047</v>
      </c>
      <c r="Z93" s="53">
        <f t="shared" ref="Z93:Z106" si="28">$X$3*$X93+$Y$3*$Y93</f>
        <v>119.49435340390521</v>
      </c>
      <c r="AB93" s="53">
        <f>Controls!$F$17*Z93</f>
        <v>99.834955241407116</v>
      </c>
      <c r="AC93" s="53">
        <f>-(INDEX(Controls!$G$19:$G$23,MATCH($C93,Controls!$C$19:$C$23,0),0))*$Z93</f>
        <v>0</v>
      </c>
      <c r="AD93" s="67">
        <f t="shared" si="25"/>
        <v>99.834955241407116</v>
      </c>
      <c r="AG93" s="81"/>
    </row>
    <row r="94" spans="1:33" ht="15" x14ac:dyDescent="0.2">
      <c r="A94" s="158" t="s">
        <v>289</v>
      </c>
      <c r="B94" s="158" t="str">
        <f t="shared" si="22"/>
        <v>SVH</v>
      </c>
      <c r="C94" s="158">
        <v>2023</v>
      </c>
      <c r="D94" s="159">
        <f>EXP(Coeffs!$D$13+(Coeffs!$D$6*Drivers!D92)+(Coeffs!$D$7*Drivers!E92))</f>
        <v>17.801521486634922</v>
      </c>
      <c r="E94" s="160">
        <f>EXP(Coeffs!$E$13+(Coeffs!$E$6*Drivers!D92)+(Coeffs!$E$7*Drivers!E92)+(Coeffs!$E$8*Drivers!F92))</f>
        <v>17.096142950400228</v>
      </c>
      <c r="F94" s="160">
        <f>EXP(Coeffs!$F$13+(Coeffs!$F$9*Drivers!G92)+(Coeffs!$F$10*Drivers!H92))</f>
        <v>11.926548253345777</v>
      </c>
      <c r="G94" s="160">
        <f>EXP(Coeffs!$G$13+(Coeffs!$G$9*Drivers!G92)+(Coeffs!$G$11*Drivers!I92)+(Coeffs!$G$12*Drivers!J92))</f>
        <v>12.303778475642623</v>
      </c>
      <c r="H94" s="160">
        <f>EXP(Coeffs!$H$13+(Coeffs!$H$7*Drivers!E92)+(Coeffs!$H$9*Drivers!G92)+(Coeffs!$H$10*Drivers!H92))</f>
        <v>29.843793294313851</v>
      </c>
      <c r="I94" s="160">
        <f>EXP(Coeffs!$I$13+(Coeffs!$I$7*Drivers!E92)+(Coeffs!$I$8*Drivers!F92)+(Coeffs!$I$9*Drivers!G92)+(Coeffs!$I$10*Drivers!H92))</f>
        <v>27.862512131686941</v>
      </c>
      <c r="J94" s="66">
        <f>EXP(Coeffs!$J$13+(Coeffs!$J$7*Drivers!E92)+(Coeffs!$J$8*Drivers!F92)+(Coeffs!$J$9*Drivers!G92)+(Coeffs!$J$11*Drivers!I92)+(Coeffs!$J$12*Drivers!J92))</f>
        <v>27.26521358011798</v>
      </c>
      <c r="K94" s="79"/>
      <c r="L94" s="179">
        <f t="shared" ref="L94:R94" si="29">L29+L69</f>
        <v>79.775743570603524</v>
      </c>
      <c r="M94" s="179">
        <f t="shared" si="29"/>
        <v>76.918519318679216</v>
      </c>
      <c r="N94" s="179">
        <f t="shared" si="29"/>
        <v>44.536867418981231</v>
      </c>
      <c r="O94" s="179">
        <f t="shared" si="29"/>
        <v>46.254955627266781</v>
      </c>
      <c r="P94" s="179">
        <f t="shared" si="29"/>
        <v>123.49001235100285</v>
      </c>
      <c r="Q94" s="179">
        <f t="shared" si="29"/>
        <v>115.42178612817665</v>
      </c>
      <c r="R94" s="179">
        <f t="shared" si="29"/>
        <v>112.58041861058294</v>
      </c>
      <c r="S94" s="80"/>
      <c r="T94" s="66">
        <f t="shared" si="17"/>
        <v>78.347131444641377</v>
      </c>
      <c r="U94" s="66">
        <f t="shared" si="23"/>
        <v>45.395911523124006</v>
      </c>
      <c r="V94" s="53">
        <f t="shared" si="24"/>
        <v>117.16407236325414</v>
      </c>
      <c r="X94" s="67">
        <f t="shared" si="18"/>
        <v>123.74304296776538</v>
      </c>
      <c r="Y94" s="67">
        <f t="shared" si="19"/>
        <v>117.16407236325414</v>
      </c>
      <c r="Z94" s="53">
        <f t="shared" si="28"/>
        <v>120.45355766550975</v>
      </c>
      <c r="AB94" s="53">
        <f>Controls!$F$17*Z94</f>
        <v>100.63634971567963</v>
      </c>
      <c r="AC94" s="53">
        <f>-(INDEX(Controls!$G$19:$G$23,MATCH($C94,Controls!$C$19:$C$23,0),0))*$Z94</f>
        <v>0</v>
      </c>
      <c r="AD94" s="67">
        <f t="shared" si="25"/>
        <v>100.63634971567963</v>
      </c>
      <c r="AG94" s="81"/>
    </row>
    <row r="95" spans="1:33" ht="15" x14ac:dyDescent="0.2">
      <c r="A95" s="158" t="s">
        <v>290</v>
      </c>
      <c r="B95" s="158" t="str">
        <f t="shared" si="22"/>
        <v>SVH</v>
      </c>
      <c r="C95" s="158">
        <v>2024</v>
      </c>
      <c r="D95" s="159">
        <f>EXP(Coeffs!$D$13+(Coeffs!$D$6*Drivers!D93)+(Coeffs!$D$7*Drivers!E93))</f>
        <v>18.062174727256139</v>
      </c>
      <c r="E95" s="160">
        <f>EXP(Coeffs!$E$13+(Coeffs!$E$6*Drivers!D93)+(Coeffs!$E$7*Drivers!E93)+(Coeffs!$E$8*Drivers!F93))</f>
        <v>17.333968759465293</v>
      </c>
      <c r="F95" s="160">
        <f>EXP(Coeffs!$F$13+(Coeffs!$F$9*Drivers!G93)+(Coeffs!$F$10*Drivers!H93))</f>
        <v>11.860398666573532</v>
      </c>
      <c r="G95" s="160">
        <f>EXP(Coeffs!$G$13+(Coeffs!$G$9*Drivers!G93)+(Coeffs!$G$11*Drivers!I93)+(Coeffs!$G$12*Drivers!J93))</f>
        <v>12.236297067914169</v>
      </c>
      <c r="H95" s="160">
        <f>EXP(Coeffs!$H$13+(Coeffs!$H$7*Drivers!E93)+(Coeffs!$H$9*Drivers!G93)+(Coeffs!$H$10*Drivers!H93))</f>
        <v>29.972491138329488</v>
      </c>
      <c r="I95" s="160">
        <f>EXP(Coeffs!$I$13+(Coeffs!$I$7*Drivers!E93)+(Coeffs!$I$8*Drivers!F93)+(Coeffs!$I$9*Drivers!G93)+(Coeffs!$I$10*Drivers!H93))</f>
        <v>28.029039733106721</v>
      </c>
      <c r="J95" s="66">
        <f>EXP(Coeffs!$J$13+(Coeffs!$J$7*Drivers!E93)+(Coeffs!$J$8*Drivers!F93)+(Coeffs!$J$9*Drivers!G93)+(Coeffs!$J$11*Drivers!I93)+(Coeffs!$J$12*Drivers!J93))</f>
        <v>27.365264120518816</v>
      </c>
      <c r="K95" s="79"/>
      <c r="L95" s="179">
        <f t="shared" ref="L95:R95" si="30">L30+L70</f>
        <v>82.039962665932961</v>
      </c>
      <c r="M95" s="179">
        <f t="shared" si="30"/>
        <v>79.01830745448413</v>
      </c>
      <c r="N95" s="179">
        <f t="shared" si="30"/>
        <v>43.627695449298145</v>
      </c>
      <c r="O95" s="179">
        <f t="shared" si="30"/>
        <v>45.325777815110527</v>
      </c>
      <c r="P95" s="179">
        <f t="shared" si="30"/>
        <v>124.20379109467186</v>
      </c>
      <c r="Q95" s="179">
        <f t="shared" si="30"/>
        <v>116.15603224095818</v>
      </c>
      <c r="R95" s="179">
        <f t="shared" si="30"/>
        <v>112.7831536273295</v>
      </c>
      <c r="S95" s="80"/>
      <c r="T95" s="66">
        <f t="shared" si="17"/>
        <v>80.529135060208546</v>
      </c>
      <c r="U95" s="66">
        <f t="shared" si="23"/>
        <v>44.476736632204336</v>
      </c>
      <c r="V95" s="53">
        <f t="shared" si="24"/>
        <v>117.71432565431984</v>
      </c>
      <c r="X95" s="67">
        <f t="shared" si="18"/>
        <v>125.00587169241288</v>
      </c>
      <c r="Y95" s="67">
        <f t="shared" si="19"/>
        <v>117.71432565431984</v>
      </c>
      <c r="Z95" s="53">
        <f t="shared" si="28"/>
        <v>121.36009867336637</v>
      </c>
      <c r="AB95" s="53">
        <f>Controls!$F$17*Z95</f>
        <v>101.39374517718691</v>
      </c>
      <c r="AC95" s="53">
        <f>-(INDEX(Controls!$G$19:$G$23,MATCH($C95,Controls!$C$19:$C$23,0),0))*$Z95</f>
        <v>0</v>
      </c>
      <c r="AD95" s="67">
        <f t="shared" si="25"/>
        <v>101.39374517718691</v>
      </c>
      <c r="AG95" s="83"/>
    </row>
    <row r="96" spans="1:33" ht="15" x14ac:dyDescent="0.2">
      <c r="A96" s="158" t="s">
        <v>291</v>
      </c>
      <c r="B96" s="158" t="str">
        <f t="shared" si="22"/>
        <v>SVH</v>
      </c>
      <c r="C96" s="158">
        <v>2025</v>
      </c>
      <c r="D96" s="159">
        <f>EXP(Coeffs!$D$13+(Coeffs!$D$6*Drivers!D94)+(Coeffs!$D$7*Drivers!E94))</f>
        <v>18.322477322242104</v>
      </c>
      <c r="E96" s="160">
        <f>EXP(Coeffs!$E$13+(Coeffs!$E$6*Drivers!D94)+(Coeffs!$E$7*Drivers!E94)+(Coeffs!$E$8*Drivers!F94))</f>
        <v>17.571173201554316</v>
      </c>
      <c r="F96" s="160">
        <f>EXP(Coeffs!$F$13+(Coeffs!$F$9*Drivers!G94)+(Coeffs!$F$10*Drivers!H94))</f>
        <v>11.623015266371116</v>
      </c>
      <c r="G96" s="160">
        <f>EXP(Coeffs!$G$13+(Coeffs!$G$9*Drivers!G94)+(Coeffs!$G$11*Drivers!I94)+(Coeffs!$G$12*Drivers!J94))</f>
        <v>11.994099517917892</v>
      </c>
      <c r="H96" s="160">
        <f>EXP(Coeffs!$H$13+(Coeffs!$H$7*Drivers!E94)+(Coeffs!$H$9*Drivers!G94)+(Coeffs!$H$10*Drivers!H94))</f>
        <v>29.918856607672378</v>
      </c>
      <c r="I96" s="160">
        <f>EXP(Coeffs!$I$13+(Coeffs!$I$7*Drivers!E94)+(Coeffs!$I$8*Drivers!F94)+(Coeffs!$I$9*Drivers!G94)+(Coeffs!$I$10*Drivers!H94))</f>
        <v>28.003888970711738</v>
      </c>
      <c r="J96" s="66">
        <f>EXP(Coeffs!$J$13+(Coeffs!$J$7*Drivers!E94)+(Coeffs!$J$8*Drivers!F94)+(Coeffs!$J$9*Drivers!G94)+(Coeffs!$J$11*Drivers!I94)+(Coeffs!$J$12*Drivers!J94))</f>
        <v>27.252550243198971</v>
      </c>
      <c r="K96" s="79"/>
      <c r="L96" s="179">
        <f t="shared" ref="L96:R96" si="31">L31+L71</f>
        <v>84.324487714523514</v>
      </c>
      <c r="M96" s="179">
        <f t="shared" si="31"/>
        <v>81.134599379351783</v>
      </c>
      <c r="N96" s="179">
        <f t="shared" si="31"/>
        <v>42.694643333089772</v>
      </c>
      <c r="O96" s="179">
        <f t="shared" si="31"/>
        <v>44.371535365605418</v>
      </c>
      <c r="P96" s="179">
        <f t="shared" si="31"/>
        <v>124.83946367623261</v>
      </c>
      <c r="Q96" s="179">
        <f t="shared" si="31"/>
        <v>116.80621930234916</v>
      </c>
      <c r="R96" s="179">
        <f t="shared" si="31"/>
        <v>112.89975505811066</v>
      </c>
      <c r="S96" s="80"/>
      <c r="T96" s="66">
        <f t="shared" si="17"/>
        <v>82.729543546937649</v>
      </c>
      <c r="U96" s="66">
        <f t="shared" si="23"/>
        <v>43.533089349347591</v>
      </c>
      <c r="V96" s="53">
        <f t="shared" si="24"/>
        <v>118.18181267889747</v>
      </c>
      <c r="X96" s="67">
        <f t="shared" si="18"/>
        <v>126.26263289628524</v>
      </c>
      <c r="Y96" s="67">
        <f t="shared" si="19"/>
        <v>118.18181267889747</v>
      </c>
      <c r="Z96" s="53">
        <f t="shared" si="28"/>
        <v>122.22222278759136</v>
      </c>
      <c r="AB96" s="53">
        <f>Controls!$F$17*Z96</f>
        <v>102.1140312819643</v>
      </c>
      <c r="AC96" s="53">
        <f>-(INDEX(Controls!$G$19:$G$23,MATCH($C96,Controls!$C$19:$C$23,0),0))*$Z96</f>
        <v>0</v>
      </c>
      <c r="AD96" s="67">
        <f t="shared" si="25"/>
        <v>102.1140312819643</v>
      </c>
    </row>
    <row r="97" spans="1:32" x14ac:dyDescent="0.2">
      <c r="A97" s="35" t="s">
        <v>218</v>
      </c>
      <c r="B97" s="35" t="str">
        <f t="shared" si="22"/>
        <v>SVE</v>
      </c>
      <c r="C97" s="35">
        <v>2021</v>
      </c>
      <c r="D97" s="112"/>
      <c r="E97" s="94"/>
      <c r="F97" s="94"/>
      <c r="G97" s="94"/>
      <c r="H97" s="94"/>
      <c r="I97" s="94"/>
      <c r="J97" s="94"/>
      <c r="L97" s="94"/>
      <c r="M97" s="94"/>
      <c r="N97" s="94"/>
      <c r="O97" s="94"/>
      <c r="P97" s="94"/>
      <c r="Q97" s="94"/>
      <c r="R97" s="94"/>
      <c r="S97" s="80"/>
      <c r="T97" s="157">
        <f>Controls!$D$29*T92</f>
        <v>71.896112656870159</v>
      </c>
      <c r="U97" s="157">
        <f>Controls!$D$29*U92</f>
        <v>45.815818856392291</v>
      </c>
      <c r="V97" s="157">
        <f>Controls!$D$29*V92</f>
        <v>112.49626714578569</v>
      </c>
      <c r="X97" s="67">
        <f t="shared" ref="X97:X106" si="32">SUM(T97:U97)</f>
        <v>117.71193151326244</v>
      </c>
      <c r="Y97" s="67">
        <f t="shared" ref="Y97:Y106" si="33">V97</f>
        <v>112.49626714578569</v>
      </c>
      <c r="Z97" s="53">
        <f t="shared" si="28"/>
        <v>115.10409932952408</v>
      </c>
      <c r="AB97" s="53">
        <f>Controls!$F$17*Z97</f>
        <v>96.166992642934062</v>
      </c>
      <c r="AC97" s="53">
        <f>-(INDEX(Controls!$G$19:$G$23,MATCH($C97,Controls!$C$19:$C$23,0),0))*$Z97</f>
        <v>0</v>
      </c>
      <c r="AD97" s="67">
        <f t="shared" si="25"/>
        <v>96.166992642934062</v>
      </c>
    </row>
    <row r="98" spans="1:32" x14ac:dyDescent="0.2">
      <c r="A98" s="35" t="s">
        <v>219</v>
      </c>
      <c r="B98" s="35" t="str">
        <f t="shared" si="22"/>
        <v>SVE</v>
      </c>
      <c r="C98" s="35">
        <v>2022</v>
      </c>
      <c r="D98" s="112"/>
      <c r="E98" s="94"/>
      <c r="F98" s="94"/>
      <c r="G98" s="94"/>
      <c r="H98" s="94"/>
      <c r="I98" s="94"/>
      <c r="J98" s="94"/>
      <c r="L98" s="94"/>
      <c r="M98" s="94"/>
      <c r="N98" s="94"/>
      <c r="O98" s="94"/>
      <c r="P98" s="94"/>
      <c r="Q98" s="94"/>
      <c r="R98" s="94"/>
      <c r="S98" s="80"/>
      <c r="T98" s="157">
        <f>Controls!$D$29*T93</f>
        <v>74.00268398227405</v>
      </c>
      <c r="U98" s="157">
        <f>Controls!$D$29*U93</f>
        <v>44.971197290367314</v>
      </c>
      <c r="V98" s="157">
        <f>Controls!$D$29*V93</f>
        <v>113.20436597124251</v>
      </c>
      <c r="X98" s="67">
        <f t="shared" si="32"/>
        <v>118.97388127264136</v>
      </c>
      <c r="Y98" s="67">
        <f t="shared" si="33"/>
        <v>113.20436597124251</v>
      </c>
      <c r="Z98" s="53">
        <f t="shared" si="28"/>
        <v>116.08912362194194</v>
      </c>
      <c r="AB98" s="53">
        <f>Controls!$F$17*Z98</f>
        <v>96.989959196113659</v>
      </c>
      <c r="AC98" s="53">
        <f>-(INDEX(Controls!$G$19:$G$23,MATCH($C98,Controls!$C$19:$C$23,0),0))*$Z98</f>
        <v>0</v>
      </c>
      <c r="AD98" s="67">
        <f t="shared" si="25"/>
        <v>96.989959196113659</v>
      </c>
    </row>
    <row r="99" spans="1:32" x14ac:dyDescent="0.2">
      <c r="A99" s="35" t="s">
        <v>220</v>
      </c>
      <c r="B99" s="35" t="str">
        <f t="shared" si="22"/>
        <v>SVE</v>
      </c>
      <c r="C99" s="35">
        <v>2023</v>
      </c>
      <c r="D99" s="112"/>
      <c r="E99" s="94"/>
      <c r="F99" s="94"/>
      <c r="G99" s="94"/>
      <c r="H99" s="94"/>
      <c r="I99" s="94"/>
      <c r="J99" s="94"/>
      <c r="L99" s="94"/>
      <c r="M99" s="94"/>
      <c r="N99" s="94"/>
      <c r="O99" s="94"/>
      <c r="P99" s="94"/>
      <c r="Q99" s="94"/>
      <c r="R99" s="94"/>
      <c r="S99" s="80"/>
      <c r="T99" s="157">
        <f>Controls!$D$29*T94</f>
        <v>76.114473768969447</v>
      </c>
      <c r="U99" s="157">
        <f>Controls!$D$29*U94</f>
        <v>44.102264539024254</v>
      </c>
      <c r="V99" s="157">
        <f>Controls!$D$29*V94</f>
        <v>113.82524858436908</v>
      </c>
      <c r="X99" s="67">
        <f t="shared" si="32"/>
        <v>120.21673830799369</v>
      </c>
      <c r="Y99" s="67">
        <f t="shared" si="33"/>
        <v>113.82524858436908</v>
      </c>
      <c r="Z99" s="53">
        <f t="shared" si="28"/>
        <v>117.02099344618139</v>
      </c>
      <c r="AB99" s="53">
        <f>Controls!$F$17*Z99</f>
        <v>97.768516337464931</v>
      </c>
      <c r="AC99" s="53">
        <f>-(INDEX(Controls!$G$19:$G$23,MATCH($C99,Controls!$C$19:$C$23,0),0))*$Z99</f>
        <v>0</v>
      </c>
      <c r="AD99" s="67">
        <f t="shared" si="25"/>
        <v>97.768516337464931</v>
      </c>
    </row>
    <row r="100" spans="1:32" x14ac:dyDescent="0.2">
      <c r="A100" s="35" t="s">
        <v>221</v>
      </c>
      <c r="B100" s="35" t="str">
        <f t="shared" si="22"/>
        <v>SVE</v>
      </c>
      <c r="C100" s="35">
        <v>2024</v>
      </c>
      <c r="D100" s="112"/>
      <c r="E100" s="94"/>
      <c r="F100" s="94"/>
      <c r="G100" s="94"/>
      <c r="H100" s="94"/>
      <c r="I100" s="94"/>
      <c r="J100" s="94"/>
      <c r="L100" s="94"/>
      <c r="M100" s="94"/>
      <c r="N100" s="94"/>
      <c r="O100" s="94"/>
      <c r="P100" s="94"/>
      <c r="Q100" s="94"/>
      <c r="R100" s="94"/>
      <c r="S100" s="80"/>
      <c r="T100" s="157">
        <f>Controls!$D$29*T95</f>
        <v>78.234296842239644</v>
      </c>
      <c r="U100" s="157">
        <f>Controls!$D$29*U95</f>
        <v>43.209283368763607</v>
      </c>
      <c r="V100" s="157">
        <f>Controls!$D$29*V95</f>
        <v>114.35982131111534</v>
      </c>
      <c r="X100" s="67">
        <f t="shared" si="32"/>
        <v>121.44358021100325</v>
      </c>
      <c r="Y100" s="67">
        <f t="shared" si="33"/>
        <v>114.35982131111534</v>
      </c>
      <c r="Z100" s="53">
        <f t="shared" si="28"/>
        <v>117.90170076105929</v>
      </c>
      <c r="AB100" s="53">
        <f>Controls!$F$17*Z100</f>
        <v>98.504328305620589</v>
      </c>
      <c r="AC100" s="53">
        <f>-(INDEX(Controls!$G$19:$G$23,MATCH($C100,Controls!$C$19:$C$23,0),0))*$Z100</f>
        <v>0</v>
      </c>
      <c r="AD100" s="67">
        <f t="shared" si="25"/>
        <v>98.504328305620589</v>
      </c>
    </row>
    <row r="101" spans="1:32" x14ac:dyDescent="0.2">
      <c r="A101" s="35" t="s">
        <v>222</v>
      </c>
      <c r="B101" s="35" t="str">
        <f t="shared" si="22"/>
        <v>SVE</v>
      </c>
      <c r="C101" s="35">
        <v>2025</v>
      </c>
      <c r="D101" s="112"/>
      <c r="E101" s="94"/>
      <c r="F101" s="94"/>
      <c r="G101" s="94"/>
      <c r="H101" s="94"/>
      <c r="I101" s="94"/>
      <c r="J101" s="94"/>
      <c r="L101" s="94"/>
      <c r="M101" s="94"/>
      <c r="N101" s="94"/>
      <c r="O101" s="94"/>
      <c r="P101" s="94"/>
      <c r="Q101" s="94"/>
      <c r="R101" s="94"/>
      <c r="S101" s="80"/>
      <c r="T101" s="157">
        <f>Controls!$D$29*T96</f>
        <v>80.37200030318256</v>
      </c>
      <c r="U101" s="157">
        <f>Controls!$D$29*U96</f>
        <v>42.29252719615365</v>
      </c>
      <c r="V101" s="157">
        <f>Controls!$D$29*V96</f>
        <v>114.81398636111069</v>
      </c>
      <c r="X101" s="67">
        <f t="shared" si="32"/>
        <v>122.6645274993362</v>
      </c>
      <c r="Y101" s="67">
        <f t="shared" si="33"/>
        <v>114.81398636111069</v>
      </c>
      <c r="Z101" s="53">
        <f t="shared" si="28"/>
        <v>118.73925693022345</v>
      </c>
      <c r="AB101" s="53">
        <f>Controls!$F$17*Z101</f>
        <v>99.204088422134475</v>
      </c>
      <c r="AC101" s="53">
        <f>-(INDEX(Controls!$G$19:$G$23,MATCH($C101,Controls!$C$19:$C$23,0),0))*$Z101</f>
        <v>0</v>
      </c>
      <c r="AD101" s="67">
        <f t="shared" si="25"/>
        <v>99.204088422134475</v>
      </c>
    </row>
    <row r="102" spans="1:32" x14ac:dyDescent="0.2">
      <c r="A102" s="35" t="s">
        <v>223</v>
      </c>
      <c r="B102" s="35" t="str">
        <f t="shared" si="22"/>
        <v>HDD</v>
      </c>
      <c r="C102" s="35">
        <v>2021</v>
      </c>
      <c r="D102" s="112"/>
      <c r="E102" s="94"/>
      <c r="F102" s="94"/>
      <c r="G102" s="94"/>
      <c r="H102" s="94"/>
      <c r="I102" s="94"/>
      <c r="J102" s="94"/>
      <c r="L102" s="94"/>
      <c r="M102" s="94"/>
      <c r="N102" s="94"/>
      <c r="O102" s="94"/>
      <c r="P102" s="94"/>
      <c r="Q102" s="94"/>
      <c r="R102" s="94"/>
      <c r="S102" s="80"/>
      <c r="T102" s="157">
        <f>Controls!$D$30*T92</f>
        <v>2.1089209427048083</v>
      </c>
      <c r="U102" s="157">
        <f>Controls!$D$30*U92</f>
        <v>1.3439104886595379</v>
      </c>
      <c r="V102" s="157">
        <f>Controls!$D$30*V92</f>
        <v>3.2998409092315772</v>
      </c>
      <c r="X102" s="67">
        <f t="shared" si="32"/>
        <v>3.4528314313643462</v>
      </c>
      <c r="Y102" s="67">
        <f t="shared" si="33"/>
        <v>3.2998409092315772</v>
      </c>
      <c r="Z102" s="53">
        <f t="shared" si="28"/>
        <v>3.3763361702979617</v>
      </c>
      <c r="AB102" s="53">
        <f>Controls!$F$17*Z102</f>
        <v>2.8208560558697071</v>
      </c>
      <c r="AC102" s="53">
        <f>-(INDEX(Controls!$G$19:$G$23,MATCH($C102,Controls!$C$19:$C$23,0),0))*$Z102</f>
        <v>0</v>
      </c>
      <c r="AD102" s="67">
        <f t="shared" si="25"/>
        <v>2.8208560558697071</v>
      </c>
    </row>
    <row r="103" spans="1:32" x14ac:dyDescent="0.2">
      <c r="A103" s="35" t="s">
        <v>224</v>
      </c>
      <c r="B103" s="35" t="str">
        <f t="shared" si="22"/>
        <v>HDD</v>
      </c>
      <c r="C103" s="35">
        <v>2022</v>
      </c>
      <c r="D103" s="112"/>
      <c r="E103" s="94"/>
      <c r="F103" s="94"/>
      <c r="G103" s="94"/>
      <c r="H103" s="94"/>
      <c r="I103" s="94"/>
      <c r="J103" s="94"/>
      <c r="L103" s="94"/>
      <c r="M103" s="94"/>
      <c r="N103" s="94"/>
      <c r="O103" s="94"/>
      <c r="P103" s="94"/>
      <c r="Q103" s="94"/>
      <c r="R103" s="94"/>
      <c r="S103" s="80"/>
      <c r="T103" s="157">
        <f>Controls!$D$30*T93</f>
        <v>2.1707127729063704</v>
      </c>
      <c r="U103" s="157">
        <f>Controls!$D$30*U93</f>
        <v>1.3191352950722113</v>
      </c>
      <c r="V103" s="157">
        <f>Controls!$D$30*V93</f>
        <v>3.3206114959479627</v>
      </c>
      <c r="X103" s="67">
        <f t="shared" si="32"/>
        <v>3.4898480679785817</v>
      </c>
      <c r="Y103" s="67">
        <f t="shared" si="33"/>
        <v>3.3206114959479627</v>
      </c>
      <c r="Z103" s="53">
        <f t="shared" si="28"/>
        <v>3.4052297819632722</v>
      </c>
      <c r="AB103" s="53">
        <f>Controls!$F$17*Z103</f>
        <v>2.8449960452934633</v>
      </c>
      <c r="AC103" s="53">
        <f>-(INDEX(Controls!$G$19:$G$23,MATCH($C103,Controls!$C$19:$C$23,0),0))*$Z103</f>
        <v>0</v>
      </c>
      <c r="AD103" s="67">
        <f t="shared" si="25"/>
        <v>2.8449960452934633</v>
      </c>
    </row>
    <row r="104" spans="1:32" x14ac:dyDescent="0.2">
      <c r="A104" s="35" t="s">
        <v>225</v>
      </c>
      <c r="B104" s="35" t="str">
        <f t="shared" si="22"/>
        <v>HDD</v>
      </c>
      <c r="C104" s="35">
        <v>2023</v>
      </c>
      <c r="D104" s="112"/>
      <c r="E104" s="94"/>
      <c r="F104" s="94"/>
      <c r="G104" s="94"/>
      <c r="H104" s="94"/>
      <c r="I104" s="94"/>
      <c r="J104" s="94"/>
      <c r="L104" s="94"/>
      <c r="M104" s="94"/>
      <c r="N104" s="94"/>
      <c r="O104" s="94"/>
      <c r="P104" s="94"/>
      <c r="Q104" s="94"/>
      <c r="R104" s="94"/>
      <c r="S104" s="80"/>
      <c r="T104" s="157">
        <f>Controls!$D$30*T94</f>
        <v>2.2326576756719367</v>
      </c>
      <c r="U104" s="157">
        <f>Controls!$D$30*U94</f>
        <v>1.2936469840997491</v>
      </c>
      <c r="V104" s="157">
        <f>Controls!$D$30*V94</f>
        <v>3.3388237788850543</v>
      </c>
      <c r="X104" s="67">
        <f t="shared" si="32"/>
        <v>3.5263046597716858</v>
      </c>
      <c r="Y104" s="67">
        <f t="shared" si="33"/>
        <v>3.3388237788850543</v>
      </c>
      <c r="Z104" s="53">
        <f t="shared" si="28"/>
        <v>3.4325642193283699</v>
      </c>
      <c r="AB104" s="53">
        <f>Controls!$F$17*Z104</f>
        <v>2.8678333782147054</v>
      </c>
      <c r="AC104" s="53">
        <f>-(INDEX(Controls!$G$19:$G$23,MATCH($C104,Controls!$C$19:$C$23,0),0))*$Z104</f>
        <v>0</v>
      </c>
      <c r="AD104" s="67">
        <f t="shared" si="25"/>
        <v>2.8678333782147054</v>
      </c>
    </row>
    <row r="105" spans="1:32" x14ac:dyDescent="0.2">
      <c r="A105" s="35" t="s">
        <v>226</v>
      </c>
      <c r="B105" s="35" t="str">
        <f t="shared" si="22"/>
        <v>HDD</v>
      </c>
      <c r="C105" s="35">
        <v>2024</v>
      </c>
      <c r="D105" s="112"/>
      <c r="E105" s="94"/>
      <c r="F105" s="94"/>
      <c r="G105" s="94"/>
      <c r="H105" s="94"/>
      <c r="I105" s="94"/>
      <c r="J105" s="94"/>
      <c r="L105" s="94"/>
      <c r="M105" s="94"/>
      <c r="N105" s="94"/>
      <c r="O105" s="94"/>
      <c r="P105" s="94"/>
      <c r="Q105" s="94"/>
      <c r="R105" s="94"/>
      <c r="S105" s="80"/>
      <c r="T105" s="157">
        <f>Controls!$D$30*T95</f>
        <v>2.2948382179689086</v>
      </c>
      <c r="U105" s="157">
        <f>Controls!$D$30*U95</f>
        <v>1.2674532634407256</v>
      </c>
      <c r="V105" s="157">
        <f>Controls!$D$30*V95</f>
        <v>3.3545043432044976</v>
      </c>
      <c r="X105" s="67">
        <f t="shared" si="32"/>
        <v>3.562291481409634</v>
      </c>
      <c r="Y105" s="67">
        <f t="shared" si="33"/>
        <v>3.3545043432044976</v>
      </c>
      <c r="Z105" s="53">
        <f t="shared" si="28"/>
        <v>3.4583979123070661</v>
      </c>
      <c r="AB105" s="53">
        <f>Controls!$F$17*Z105</f>
        <v>2.889416871566318</v>
      </c>
      <c r="AC105" s="53">
        <f>-(INDEX(Controls!$G$19:$G$23,MATCH($C105,Controls!$C$19:$C$23,0),0))*$Z105</f>
        <v>0</v>
      </c>
      <c r="AD105" s="67">
        <f t="shared" si="25"/>
        <v>2.889416871566318</v>
      </c>
    </row>
    <row r="106" spans="1:32" x14ac:dyDescent="0.2">
      <c r="A106" s="35" t="s">
        <v>227</v>
      </c>
      <c r="B106" s="35" t="str">
        <f t="shared" si="22"/>
        <v>HDD</v>
      </c>
      <c r="C106" s="35">
        <v>2025</v>
      </c>
      <c r="D106" s="112"/>
      <c r="E106" s="94"/>
      <c r="F106" s="94"/>
      <c r="G106" s="94"/>
      <c r="H106" s="94"/>
      <c r="I106" s="94"/>
      <c r="J106" s="94"/>
      <c r="L106" s="94"/>
      <c r="M106" s="94"/>
      <c r="N106" s="94"/>
      <c r="O106" s="94"/>
      <c r="P106" s="94"/>
      <c r="Q106" s="94"/>
      <c r="R106" s="94"/>
      <c r="S106" s="80"/>
      <c r="T106" s="157">
        <f>Controls!$D$30*T96</f>
        <v>2.3575432437550878</v>
      </c>
      <c r="U106" s="157">
        <f>Controls!$D$30*U96</f>
        <v>1.2405621531939424</v>
      </c>
      <c r="V106" s="157">
        <f>Controls!$D$30*V96</f>
        <v>3.3678263177867804</v>
      </c>
      <c r="X106" s="67">
        <f t="shared" si="32"/>
        <v>3.5981053969490304</v>
      </c>
      <c r="Y106" s="67">
        <f t="shared" si="33"/>
        <v>3.3678263177867804</v>
      </c>
      <c r="Z106" s="53">
        <f t="shared" si="28"/>
        <v>3.4829658573679056</v>
      </c>
      <c r="AB106" s="53">
        <f>Controls!$F$17*Z106</f>
        <v>2.9099428598298109</v>
      </c>
      <c r="AC106" s="53">
        <f>-(INDEX(Controls!$G$19:$G$23,MATCH($C106,Controls!$C$19:$C$23,0),0))*$Z106</f>
        <v>0</v>
      </c>
      <c r="AD106" s="67">
        <f t="shared" si="25"/>
        <v>2.9099428598298109</v>
      </c>
    </row>
    <row r="107" spans="1:32" x14ac:dyDescent="0.2">
      <c r="A107" s="57"/>
      <c r="B107" s="57"/>
      <c r="C107" s="57"/>
    </row>
    <row r="108" spans="1:32" x14ac:dyDescent="0.2">
      <c r="D108" s="81"/>
      <c r="L108" s="107"/>
      <c r="M108" s="57"/>
    </row>
    <row r="109" spans="1:32" x14ac:dyDescent="0.2">
      <c r="L109" s="106"/>
      <c r="M109" s="57"/>
      <c r="T109" s="95"/>
    </row>
    <row r="110" spans="1:32" x14ac:dyDescent="0.2">
      <c r="L110" s="107"/>
      <c r="M110" s="57"/>
      <c r="T110" s="95"/>
    </row>
    <row r="111" spans="1:32" x14ac:dyDescent="0.2">
      <c r="AF111" s="86"/>
    </row>
  </sheetData>
  <conditionalFormatting sqref="L110">
    <cfRule type="expression" dxfId="14" priority="18">
      <formula>L110="error"</formula>
    </cfRule>
    <cfRule type="expression" dxfId="13" priority="19">
      <formula>L110="OK"</formula>
    </cfRule>
  </conditionalFormatting>
  <conditionalFormatting sqref="L109">
    <cfRule type="expression" dxfId="12" priority="16">
      <formula>L109="error"</formula>
    </cfRule>
    <cfRule type="expression" dxfId="11" priority="17">
      <formula>L109="OK"</formula>
    </cfRule>
  </conditionalFormatting>
  <conditionalFormatting sqref="L108">
    <cfRule type="expression" dxfId="10" priority="11">
      <formula>L108="error"</formula>
    </cfRule>
    <cfRule type="expression" dxfId="9" priority="12">
      <formula>L108="OK"</formula>
    </cfRule>
  </conditionalFormatting>
  <conditionalFormatting sqref="AJ7:AJ23">
    <cfRule type="colorScale" priority="185">
      <colorScale>
        <cfvo type="min"/>
        <cfvo type="percentile" val="50"/>
        <cfvo type="max"/>
        <color theme="7"/>
        <color rgb="FFFFC000"/>
        <color theme="9"/>
      </colorScale>
    </cfRule>
  </conditionalFormatting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M69"/>
  <sheetViews>
    <sheetView showGridLines="0" zoomScale="80" zoomScaleNormal="80" workbookViewId="0">
      <pane ySplit="1" topLeftCell="A2" activePane="bottomLeft" state="frozen"/>
      <selection pane="bottomLeft"/>
    </sheetView>
  </sheetViews>
  <sheetFormatPr defaultColWidth="9" defaultRowHeight="12.75" x14ac:dyDescent="0.2"/>
  <cols>
    <col min="1" max="1" width="2.5" style="17" customWidth="1"/>
    <col min="2" max="2" width="9" style="17"/>
    <col min="3" max="3" width="12.625" style="17" customWidth="1"/>
    <col min="4" max="7" width="14.375" style="17" customWidth="1"/>
    <col min="8" max="8" width="12.875" style="17" customWidth="1"/>
    <col min="9" max="10" width="14.375" style="17" customWidth="1"/>
    <col min="11" max="16384" width="9" style="17"/>
  </cols>
  <sheetData>
    <row r="1" spans="1:13" ht="15.75" x14ac:dyDescent="0.25">
      <c r="A1" s="108" t="s">
        <v>250</v>
      </c>
    </row>
    <row r="3" spans="1:13" x14ac:dyDescent="0.2">
      <c r="B3" s="29" t="s">
        <v>269</v>
      </c>
      <c r="C3" s="29"/>
    </row>
    <row r="5" spans="1:13" ht="51" x14ac:dyDescent="0.2">
      <c r="B5" s="139" t="s">
        <v>38</v>
      </c>
      <c r="C5" s="163" t="s">
        <v>308</v>
      </c>
      <c r="D5" s="164" t="s">
        <v>309</v>
      </c>
      <c r="E5" s="165" t="s">
        <v>251</v>
      </c>
      <c r="F5" s="165" t="s">
        <v>252</v>
      </c>
      <c r="G5" s="166" t="s">
        <v>310</v>
      </c>
      <c r="H5" s="167" t="s">
        <v>297</v>
      </c>
      <c r="I5" s="168" t="s">
        <v>311</v>
      </c>
    </row>
    <row r="6" spans="1:13" x14ac:dyDescent="0.2">
      <c r="B6" s="133" t="s">
        <v>20</v>
      </c>
      <c r="C6" s="134">
        <f>SUMIF('BP costs'!$B$7:$B$96,$B6,'BP costs'!$D$7:$D$96)</f>
        <v>407.58126334956711</v>
      </c>
      <c r="D6" s="134">
        <f>SUMIF('Modelled costs'!$B$7:$B$106,$B6,'Modelled costs'!$AD$7:$AD$106)</f>
        <v>400.3688598614599</v>
      </c>
      <c r="E6" s="135">
        <v>0</v>
      </c>
      <c r="F6" s="133"/>
      <c r="G6" s="136">
        <f>SUM(D6:F6)</f>
        <v>400.3688598614599</v>
      </c>
      <c r="H6" s="136">
        <v>0</v>
      </c>
      <c r="I6" s="136">
        <f>G6+H6</f>
        <v>400.3688598614599</v>
      </c>
      <c r="J6" s="177"/>
    </row>
    <row r="7" spans="1:13" x14ac:dyDescent="0.2">
      <c r="B7" s="133" t="s">
        <v>157</v>
      </c>
      <c r="C7" s="134">
        <f>SUMIF('BP costs'!$B$7:$B$96,$B7,'BP costs'!$D$7:$D$96)</f>
        <v>13.53031192583718</v>
      </c>
      <c r="D7" s="134">
        <f>SUMIF('Modelled costs'!$B$7:$B$106,$B7,'Modelled costs'!$AD$7:$AD$106)</f>
        <v>14.333045210774007</v>
      </c>
      <c r="E7" s="135">
        <v>0</v>
      </c>
      <c r="F7" s="133"/>
      <c r="G7" s="136">
        <f>SUM(D7:F7)</f>
        <v>14.333045210774007</v>
      </c>
      <c r="H7" s="136">
        <v>0</v>
      </c>
      <c r="I7" s="136">
        <f t="shared" ref="I7:I23" si="0">G7+H7</f>
        <v>14.333045210774007</v>
      </c>
      <c r="J7" s="177"/>
    </row>
    <row r="8" spans="1:13" x14ac:dyDescent="0.2">
      <c r="B8" s="133" t="s">
        <v>21</v>
      </c>
      <c r="C8" s="134">
        <f>SUMIF('BP costs'!$B$7:$B$96,$B8,'BP costs'!$D$7:$D$96)</f>
        <v>279.59399999999999</v>
      </c>
      <c r="D8" s="134">
        <f>SUMIF('Modelled costs'!$B$7:$B$106,$B8,'Modelled costs'!$AD$7:$AD$106)</f>
        <v>251.5274187890567</v>
      </c>
      <c r="E8" s="135">
        <v>0</v>
      </c>
      <c r="F8" s="133"/>
      <c r="G8" s="136">
        <f>SUM(D8:F8)</f>
        <v>251.5274187890567</v>
      </c>
      <c r="H8" s="136">
        <v>0</v>
      </c>
      <c r="I8" s="136">
        <f>G8+H8</f>
        <v>251.5274187890567</v>
      </c>
      <c r="J8" s="177"/>
    </row>
    <row r="9" spans="1:13" x14ac:dyDescent="0.2">
      <c r="B9" s="133" t="s">
        <v>22</v>
      </c>
      <c r="C9" s="134">
        <f>SUMIF('BP costs'!$B$7:$B$96,$B9,'BP costs'!$D$7:$D$96)</f>
        <v>507.75826237987803</v>
      </c>
      <c r="D9" s="134">
        <f>SUMIF('Modelled costs'!$B$7:$B$106,$B9,'Modelled costs'!$AD$7:$AD$106)</f>
        <v>476.80362772879892</v>
      </c>
      <c r="E9" s="135">
        <v>0</v>
      </c>
      <c r="F9" s="133"/>
      <c r="G9" s="136">
        <f t="shared" ref="G9:G22" si="1">SUM(D9:F9)</f>
        <v>476.80362772879892</v>
      </c>
      <c r="H9" s="136">
        <v>0</v>
      </c>
      <c r="I9" s="136">
        <f t="shared" si="0"/>
        <v>476.80362772879892</v>
      </c>
      <c r="J9" s="177"/>
    </row>
    <row r="10" spans="1:13" x14ac:dyDescent="0.2">
      <c r="B10" s="133" t="s">
        <v>23</v>
      </c>
      <c r="C10" s="134">
        <f>SUMIF('BP costs'!$B$7:$B$96,$B10,'BP costs'!$D$7:$D$96)</f>
        <v>235.04000000000002</v>
      </c>
      <c r="D10" s="134">
        <f>SUMIF('Modelled costs'!$B$7:$B$106,$B10,'Modelled costs'!$AD$7:$AD$106)</f>
        <v>257.64708474804468</v>
      </c>
      <c r="E10" s="135">
        <v>0</v>
      </c>
      <c r="F10" s="133"/>
      <c r="G10" s="136">
        <f t="shared" si="1"/>
        <v>257.64708474804468</v>
      </c>
      <c r="H10" s="136">
        <v>0</v>
      </c>
      <c r="I10" s="136">
        <f t="shared" si="0"/>
        <v>257.64708474804468</v>
      </c>
      <c r="J10" s="177"/>
    </row>
    <row r="11" spans="1:13" x14ac:dyDescent="0.2">
      <c r="B11" s="133" t="s">
        <v>156</v>
      </c>
      <c r="C11" s="134">
        <f>SUMIF('BP costs'!$B$7:$B$96,$B11,'BP costs'!$D$7:$D$96)</f>
        <v>461.97117466078453</v>
      </c>
      <c r="D11" s="134">
        <f>SUMIF('Modelled costs'!$B$7:$B$106,$B11,'Modelled costs'!$AD$7:$AD$106)</f>
        <v>488.63388490426775</v>
      </c>
      <c r="E11" s="135">
        <v>0</v>
      </c>
      <c r="F11" s="133"/>
      <c r="G11" s="136">
        <f t="shared" si="1"/>
        <v>488.63388490426775</v>
      </c>
      <c r="H11" s="136">
        <v>0</v>
      </c>
      <c r="I11" s="136">
        <f t="shared" si="0"/>
        <v>488.63388490426775</v>
      </c>
      <c r="J11" s="177"/>
    </row>
    <row r="12" spans="1:13" x14ac:dyDescent="0.2">
      <c r="B12" s="133" t="s">
        <v>35</v>
      </c>
      <c r="C12" s="134">
        <f>SUMIF('BP costs'!$B$7:$B$96,$B12,'BP costs'!$D$7:$D$96)</f>
        <v>159.76399999999998</v>
      </c>
      <c r="D12" s="134">
        <f>SUMIF('Modelled costs'!$B$7:$B$106,$B12,'Modelled costs'!$AD$7:$AD$106)</f>
        <v>140.50146198196327</v>
      </c>
      <c r="E12" s="135">
        <v>0</v>
      </c>
      <c r="F12" s="133"/>
      <c r="G12" s="136">
        <f t="shared" si="1"/>
        <v>140.50146198196327</v>
      </c>
      <c r="H12" s="136">
        <v>0</v>
      </c>
      <c r="I12" s="136">
        <f t="shared" si="0"/>
        <v>140.50146198196327</v>
      </c>
      <c r="J12" s="177"/>
      <c r="M12" s="171"/>
    </row>
    <row r="13" spans="1:13" x14ac:dyDescent="0.2">
      <c r="B13" s="133" t="s">
        <v>25</v>
      </c>
      <c r="C13" s="134">
        <f>SUMIF('BP costs'!$B$7:$B$96,$B13,'BP costs'!$D$7:$D$96)</f>
        <v>876.89803570368497</v>
      </c>
      <c r="D13" s="134">
        <f>SUMIF('Modelled costs'!$B$7:$B$106,$B13,'Modelled costs'!$AD$7:$AD$106)</f>
        <v>753.4939756960041</v>
      </c>
      <c r="E13" s="135">
        <v>0</v>
      </c>
      <c r="F13" s="133"/>
      <c r="G13" s="136">
        <f t="shared" si="1"/>
        <v>753.4939756960041</v>
      </c>
      <c r="H13" s="136">
        <v>0</v>
      </c>
      <c r="I13" s="136">
        <f t="shared" si="0"/>
        <v>753.4939756960041</v>
      </c>
      <c r="J13" s="177"/>
    </row>
    <row r="14" spans="1:13" x14ac:dyDescent="0.2">
      <c r="B14" s="133" t="s">
        <v>41</v>
      </c>
      <c r="C14" s="134">
        <f>SUMIF('BP costs'!$B$7:$B$96,$B14,'BP costs'!$D$7:$D$96)</f>
        <v>268.10599999999999</v>
      </c>
      <c r="D14" s="134">
        <f>SUMIF('Modelled costs'!$B$7:$B$106,$B14,'Modelled costs'!$AD$7:$AD$106)</f>
        <v>206.95643165902757</v>
      </c>
      <c r="E14" s="135">
        <v>0</v>
      </c>
      <c r="F14" s="133"/>
      <c r="G14" s="136">
        <f t="shared" si="1"/>
        <v>206.95643165902757</v>
      </c>
      <c r="H14" s="136">
        <v>0</v>
      </c>
      <c r="I14" s="136">
        <f t="shared" si="0"/>
        <v>206.95643165902757</v>
      </c>
      <c r="J14" s="177"/>
    </row>
    <row r="15" spans="1:13" x14ac:dyDescent="0.2">
      <c r="B15" s="133" t="s">
        <v>26</v>
      </c>
      <c r="C15" s="134">
        <f>SUMIF('BP costs'!$B$7:$B$96,$B15,'BP costs'!$D$7:$D$96)</f>
        <v>164.131</v>
      </c>
      <c r="D15" s="134">
        <f>SUMIF('Modelled costs'!$B$7:$B$106,$B15,'Modelled costs'!$AD$7:$AD$106)</f>
        <v>143.13026726922621</v>
      </c>
      <c r="E15" s="135">
        <v>0</v>
      </c>
      <c r="F15" s="133"/>
      <c r="G15" s="136">
        <f t="shared" si="1"/>
        <v>143.13026726922621</v>
      </c>
      <c r="H15" s="136">
        <v>0</v>
      </c>
      <c r="I15" s="136">
        <f t="shared" si="0"/>
        <v>143.13026726922621</v>
      </c>
      <c r="J15" s="177"/>
    </row>
    <row r="16" spans="1:13" x14ac:dyDescent="0.2">
      <c r="B16" s="133" t="s">
        <v>27</v>
      </c>
      <c r="C16" s="134">
        <f>SUMIF('BP costs'!$B$7:$B$96,$B16,'BP costs'!$D$7:$D$96)</f>
        <v>273.18634639456525</v>
      </c>
      <c r="D16" s="134">
        <f>SUMIF('Modelled costs'!$B$7:$B$106,$B16,'Modelled costs'!$AD$7:$AD$106)</f>
        <v>324.75912499317764</v>
      </c>
      <c r="E16" s="135">
        <v>0</v>
      </c>
      <c r="F16" s="133"/>
      <c r="G16" s="136">
        <f t="shared" si="1"/>
        <v>324.75912499317764</v>
      </c>
      <c r="H16" s="136">
        <v>0</v>
      </c>
      <c r="I16" s="136">
        <f t="shared" si="0"/>
        <v>324.75912499317764</v>
      </c>
      <c r="J16" s="177"/>
    </row>
    <row r="17" spans="2:10" x14ac:dyDescent="0.2">
      <c r="B17" s="133" t="s">
        <v>28</v>
      </c>
      <c r="C17" s="134">
        <f>SUMIF('BP costs'!$B$7:$B$96,$B17,'BP costs'!$D$7:$D$96)</f>
        <v>145.45700000000002</v>
      </c>
      <c r="D17" s="134">
        <f>SUMIF('Modelled costs'!$B$7:$B$106,$B17,'Modelled costs'!$AD$7:$AD$106)</f>
        <v>139.58874191517177</v>
      </c>
      <c r="E17" s="135">
        <v>0</v>
      </c>
      <c r="F17" s="133"/>
      <c r="G17" s="136">
        <f t="shared" si="1"/>
        <v>139.58874191517177</v>
      </c>
      <c r="H17" s="136">
        <v>0</v>
      </c>
      <c r="I17" s="136">
        <f t="shared" si="0"/>
        <v>139.58874191517177</v>
      </c>
      <c r="J17" s="177"/>
    </row>
    <row r="18" spans="2:10" x14ac:dyDescent="0.2">
      <c r="B18" s="133" t="s">
        <v>29</v>
      </c>
      <c r="C18" s="134">
        <f>SUMIF('BP costs'!$B$7:$B$96,$B18,'BP costs'!$D$7:$D$96)</f>
        <v>49.988</v>
      </c>
      <c r="D18" s="134">
        <f>SUMIF('Modelled costs'!$B$7:$B$106,$B18,'Modelled costs'!$AD$7:$AD$106)</f>
        <v>50.314427269273111</v>
      </c>
      <c r="E18" s="135">
        <v>0</v>
      </c>
      <c r="F18" s="133"/>
      <c r="G18" s="136">
        <f t="shared" si="1"/>
        <v>50.314427269273111</v>
      </c>
      <c r="H18" s="136">
        <v>0</v>
      </c>
      <c r="I18" s="136">
        <f t="shared" si="0"/>
        <v>50.314427269273111</v>
      </c>
      <c r="J18" s="177"/>
    </row>
    <row r="19" spans="2:10" x14ac:dyDescent="0.2">
      <c r="B19" s="133" t="s">
        <v>31</v>
      </c>
      <c r="C19" s="134">
        <f>SUMIF('BP costs'!$B$7:$B$96,$B19,'BP costs'!$D$7:$D$96)</f>
        <v>23.463000000000001</v>
      </c>
      <c r="D19" s="134">
        <f>SUMIF('Modelled costs'!$B$7:$B$106,$B19,'Modelled costs'!$AD$7:$AD$106)</f>
        <v>21.916233122223129</v>
      </c>
      <c r="E19" s="135">
        <v>0</v>
      </c>
      <c r="F19" s="133"/>
      <c r="G19" s="136">
        <f t="shared" si="1"/>
        <v>21.916233122223129</v>
      </c>
      <c r="H19" s="136">
        <v>0</v>
      </c>
      <c r="I19" s="136">
        <f t="shared" si="0"/>
        <v>21.916233122223129</v>
      </c>
      <c r="J19" s="177"/>
    </row>
    <row r="20" spans="2:10" x14ac:dyDescent="0.2">
      <c r="B20" s="133" t="s">
        <v>32</v>
      </c>
      <c r="C20" s="134">
        <f>SUMIF('BP costs'!$B$7:$B$96,$B20,'BP costs'!$D$7:$D$96)</f>
        <v>37.415564717900722</v>
      </c>
      <c r="D20" s="134">
        <f>SUMIF('Modelled costs'!$B$7:$B$106,$B20,'Modelled costs'!$AD$7:$AD$106)</f>
        <v>26.740294223376598</v>
      </c>
      <c r="E20" s="135">
        <v>0</v>
      </c>
      <c r="F20" s="133"/>
      <c r="G20" s="136">
        <f t="shared" si="1"/>
        <v>26.740294223376598</v>
      </c>
      <c r="H20" s="136">
        <v>0</v>
      </c>
      <c r="I20" s="136">
        <f t="shared" si="0"/>
        <v>26.740294223376598</v>
      </c>
      <c r="J20" s="177"/>
    </row>
    <row r="21" spans="2:10" x14ac:dyDescent="0.2">
      <c r="B21" s="133" t="s">
        <v>33</v>
      </c>
      <c r="C21" s="134">
        <f>SUMIF('BP costs'!$B$7:$B$96,$B21,'BP costs'!$D$7:$D$96)</f>
        <v>81.468999999999994</v>
      </c>
      <c r="D21" s="134">
        <f>SUMIF('Modelled costs'!$B$7:$B$106,$B21,'Modelled costs'!$AD$7:$AD$106)</f>
        <v>87.201641145735039</v>
      </c>
      <c r="E21" s="135">
        <v>0</v>
      </c>
      <c r="F21" s="133"/>
      <c r="G21" s="136">
        <f t="shared" si="1"/>
        <v>87.201641145735039</v>
      </c>
      <c r="H21" s="136">
        <v>0</v>
      </c>
      <c r="I21" s="136">
        <f t="shared" si="0"/>
        <v>87.201641145735039</v>
      </c>
      <c r="J21" s="177"/>
    </row>
    <row r="22" spans="2:10" x14ac:dyDescent="0.2">
      <c r="B22" s="133" t="s">
        <v>34</v>
      </c>
      <c r="C22" s="134">
        <f>SUMIF('BP costs'!$B$7:$B$96,$B22,'BP costs'!$D$7:$D$96)</f>
        <v>59.494005573527389</v>
      </c>
      <c r="D22" s="134">
        <f>SUMIF('Modelled costs'!$B$7:$B$106,$B22,'Modelled costs'!$AD$7:$AD$106)</f>
        <v>62.345652670384695</v>
      </c>
      <c r="E22" s="135">
        <v>0</v>
      </c>
      <c r="F22" s="133"/>
      <c r="G22" s="136">
        <f t="shared" si="1"/>
        <v>62.345652670384695</v>
      </c>
      <c r="H22" s="136">
        <v>2.8372283175388502E-5</v>
      </c>
      <c r="I22" s="136">
        <f t="shared" si="0"/>
        <v>62.34568104266787</v>
      </c>
      <c r="J22" s="177"/>
    </row>
    <row r="23" spans="2:10" x14ac:dyDescent="0.2">
      <c r="B23" s="100" t="s">
        <v>143</v>
      </c>
      <c r="C23" s="137">
        <f t="shared" ref="C23" si="2">SUM(C6:C22)</f>
        <v>4044.846964705745</v>
      </c>
      <c r="D23" s="137">
        <f>SUM(D6:D22)</f>
        <v>3846.2621731879653</v>
      </c>
      <c r="E23" s="137">
        <f t="shared" ref="E23" si="3">SUM(E6:E22)</f>
        <v>0</v>
      </c>
      <c r="F23" s="100"/>
      <c r="G23" s="138">
        <f>SUM(G6:G22)</f>
        <v>3846.2621731879653</v>
      </c>
      <c r="H23" s="138">
        <f>SUM(H6:H22)</f>
        <v>2.8372283175388502E-5</v>
      </c>
      <c r="I23" s="144">
        <f t="shared" si="0"/>
        <v>3846.2622015602487</v>
      </c>
      <c r="J23" s="177"/>
    </row>
    <row r="25" spans="2:10" x14ac:dyDescent="0.2">
      <c r="B25" s="29" t="s">
        <v>270</v>
      </c>
      <c r="C25" s="29"/>
      <c r="E25" s="132"/>
    </row>
    <row r="27" spans="2:10" ht="38.25" x14ac:dyDescent="0.2">
      <c r="B27" s="139" t="s">
        <v>38</v>
      </c>
      <c r="C27" s="139"/>
      <c r="D27" s="140" t="s">
        <v>312</v>
      </c>
      <c r="E27" s="140" t="s">
        <v>313</v>
      </c>
      <c r="F27" s="140" t="s">
        <v>251</v>
      </c>
      <c r="G27" s="140" t="s">
        <v>252</v>
      </c>
      <c r="H27" s="141" t="s">
        <v>314</v>
      </c>
    </row>
    <row r="28" spans="2:10" x14ac:dyDescent="0.2">
      <c r="B28" s="133" t="s">
        <v>20</v>
      </c>
      <c r="C28" s="133"/>
      <c r="D28" s="134">
        <f>SUMIF('BP costs'!$B$7:$B$96,$B28,'BP costs'!$F$7:$F$96)</f>
        <v>160.836600589</v>
      </c>
      <c r="E28" s="134">
        <f>SUMIF('Modelled costs'!$B$7:$B$106,$B28,'Modelled costs'!$U$7:$U$106)*Controls!$F$17</f>
        <v>157.2600005941685</v>
      </c>
      <c r="F28" s="135"/>
      <c r="G28" s="133"/>
      <c r="H28" s="136">
        <f t="shared" ref="H28:H44" si="4">SUM(E28:G28)</f>
        <v>157.2600005941685</v>
      </c>
      <c r="J28" s="142"/>
    </row>
    <row r="29" spans="2:10" x14ac:dyDescent="0.2">
      <c r="B29" s="133" t="s">
        <v>157</v>
      </c>
      <c r="C29" s="133"/>
      <c r="D29" s="134">
        <f>SUMIF('BP costs'!$B$7:$B$96,$B29,'BP costs'!$F$7:$F$96)</f>
        <v>3.2304626032066999</v>
      </c>
      <c r="E29" s="134">
        <f>SUMIF('Modelled costs'!$B$7:$B$106,$B29,'Modelled costs'!$U$7:$U$106)*Controls!$F$17</f>
        <v>5.4011242695577071</v>
      </c>
      <c r="F29" s="135"/>
      <c r="G29" s="133"/>
      <c r="H29" s="136">
        <f t="shared" si="4"/>
        <v>5.4011242695577071</v>
      </c>
      <c r="J29" s="142"/>
    </row>
    <row r="30" spans="2:10" x14ac:dyDescent="0.2">
      <c r="B30" s="133" t="s">
        <v>21</v>
      </c>
      <c r="C30" s="133"/>
      <c r="D30" s="134">
        <f>SUMIF('BP costs'!$B$7:$B$96,$B30,'BP costs'!$F$7:$F$96)</f>
        <v>110.462</v>
      </c>
      <c r="E30" s="134">
        <f>SUMIF('Modelled costs'!$B$7:$B$106,$B30,'Modelled costs'!$U$7:$U$106)*Controls!$F$17</f>
        <v>105.50740874477295</v>
      </c>
      <c r="F30" s="135"/>
      <c r="G30" s="133"/>
      <c r="H30" s="136">
        <f t="shared" si="4"/>
        <v>105.50740874477295</v>
      </c>
      <c r="J30" s="142"/>
    </row>
    <row r="31" spans="2:10" x14ac:dyDescent="0.2">
      <c r="B31" s="133" t="s">
        <v>22</v>
      </c>
      <c r="C31" s="133"/>
      <c r="D31" s="134">
        <f>SUMIF('BP costs'!$B$7:$B$96,$B31,'BP costs'!$F$7:$F$96)</f>
        <v>249.44317683715212</v>
      </c>
      <c r="E31" s="134">
        <f>SUMIF('Modelled costs'!$B$7:$B$106,$B31,'Modelled costs'!$U$7:$U$106)*Controls!$F$17</f>
        <v>252.36388826922325</v>
      </c>
      <c r="F31" s="135"/>
      <c r="G31" s="133"/>
      <c r="H31" s="136">
        <f t="shared" si="4"/>
        <v>252.36388826922325</v>
      </c>
      <c r="J31" s="142"/>
    </row>
    <row r="32" spans="2:10" x14ac:dyDescent="0.2">
      <c r="B32" s="133" t="s">
        <v>23</v>
      </c>
      <c r="C32" s="133"/>
      <c r="D32" s="134">
        <f>SUMIF('BP costs'!$B$7:$B$96,$B32,'BP costs'!$F$7:$F$96)</f>
        <v>81.222999999999999</v>
      </c>
      <c r="E32" s="134">
        <f>SUMIF('Modelled costs'!$B$7:$B$106,$B32,'Modelled costs'!$U$7:$U$106)*Controls!$F$17</f>
        <v>94.032444938853217</v>
      </c>
      <c r="F32" s="135"/>
      <c r="G32" s="133"/>
      <c r="H32" s="136">
        <f t="shared" si="4"/>
        <v>94.032444938853217</v>
      </c>
      <c r="J32" s="142"/>
    </row>
    <row r="33" spans="2:10" x14ac:dyDescent="0.2">
      <c r="B33" s="133" t="s">
        <v>156</v>
      </c>
      <c r="C33" s="133"/>
      <c r="D33" s="134">
        <f>SUMIF('BP costs'!$B$7:$B$96,$B33,'BP costs'!$F$7:$F$96)</f>
        <v>135.48714747727118</v>
      </c>
      <c r="E33" s="134">
        <f>SUMIF('Modelled costs'!$B$7:$B$106,$B33,'Modelled costs'!$U$7:$U$106)*Controls!$F$17</f>
        <v>184.13200376294554</v>
      </c>
      <c r="F33" s="135"/>
      <c r="G33" s="133"/>
      <c r="H33" s="136">
        <f t="shared" si="4"/>
        <v>184.13200376294554</v>
      </c>
      <c r="J33" s="142"/>
    </row>
    <row r="34" spans="2:10" x14ac:dyDescent="0.2">
      <c r="B34" s="133" t="s">
        <v>35</v>
      </c>
      <c r="C34" s="133"/>
      <c r="D34" s="134">
        <f>SUMIF('BP costs'!$B$7:$B$96,$B34,'BP costs'!$F$7:$F$96)</f>
        <v>62.204999999999998</v>
      </c>
      <c r="E34" s="134">
        <f>SUMIF('Modelled costs'!$B$7:$B$106,$B34,'Modelled costs'!$U$7:$U$106)*Controls!$F$17</f>
        <v>54.28293691085377</v>
      </c>
      <c r="F34" s="135"/>
      <c r="G34" s="133"/>
      <c r="H34" s="136">
        <f t="shared" si="4"/>
        <v>54.28293691085377</v>
      </c>
      <c r="J34" s="142"/>
    </row>
    <row r="35" spans="2:10" x14ac:dyDescent="0.2">
      <c r="B35" s="133" t="s">
        <v>25</v>
      </c>
      <c r="C35" s="133"/>
      <c r="D35" s="134">
        <f>SUMIF('BP costs'!$B$7:$B$96,$B35,'BP costs'!$F$7:$F$96)</f>
        <v>345.96674069010879</v>
      </c>
      <c r="E35" s="134">
        <f>SUMIF('Modelled costs'!$B$7:$B$106,$B35,'Modelled costs'!$U$7:$U$106)*Controls!$F$17</f>
        <v>335.18729879497926</v>
      </c>
      <c r="F35" s="135"/>
      <c r="G35" s="133"/>
      <c r="H35" s="136">
        <f t="shared" si="4"/>
        <v>335.18729879497926</v>
      </c>
      <c r="J35" s="142"/>
    </row>
    <row r="36" spans="2:10" x14ac:dyDescent="0.2">
      <c r="B36" s="133" t="s">
        <v>41</v>
      </c>
      <c r="C36" s="133"/>
      <c r="D36" s="134">
        <f>SUMIF('BP costs'!$B$7:$B$96,$B36,'BP costs'!$F$7:$F$96)</f>
        <v>136.42500000000001</v>
      </c>
      <c r="E36" s="134">
        <f>SUMIF('Modelled costs'!$B$7:$B$106,$B36,'Modelled costs'!$U$7:$U$106)*Controls!$F$17</f>
        <v>99.385435915510854</v>
      </c>
      <c r="F36" s="135"/>
      <c r="G36" s="133"/>
      <c r="H36" s="136">
        <f t="shared" si="4"/>
        <v>99.385435915510854</v>
      </c>
      <c r="J36" s="142"/>
    </row>
    <row r="37" spans="2:10" x14ac:dyDescent="0.2">
      <c r="B37" s="133" t="s">
        <v>26</v>
      </c>
      <c r="C37" s="133"/>
      <c r="D37" s="134">
        <f>SUMIF('BP costs'!$B$7:$B$96,$B37,'BP costs'!$F$7:$F$96)</f>
        <v>67.783999999999992</v>
      </c>
      <c r="E37" s="134">
        <f>SUMIF('Modelled costs'!$B$7:$B$106,$B37,'Modelled costs'!$U$7:$U$106)*Controls!$F$17</f>
        <v>48.102303831519642</v>
      </c>
      <c r="F37" s="135"/>
      <c r="G37" s="133"/>
      <c r="H37" s="136">
        <f t="shared" si="4"/>
        <v>48.102303831519642</v>
      </c>
      <c r="J37" s="142"/>
    </row>
    <row r="38" spans="2:10" x14ac:dyDescent="0.2">
      <c r="B38" s="133" t="s">
        <v>27</v>
      </c>
      <c r="C38" s="133"/>
      <c r="D38" s="134">
        <f>SUMIF('BP costs'!$B$7:$B$96,$B38,'BP costs'!$F$7:$F$96)</f>
        <v>130.99934639456529</v>
      </c>
      <c r="E38" s="134">
        <f>SUMIF('Modelled costs'!$B$7:$B$106,$B38,'Modelled costs'!$U$7:$U$106)*Controls!$F$17</f>
        <v>148.53449474527795</v>
      </c>
      <c r="F38" s="135"/>
      <c r="G38" s="133"/>
      <c r="H38" s="136">
        <f t="shared" si="4"/>
        <v>148.53449474527795</v>
      </c>
      <c r="J38" s="142"/>
    </row>
    <row r="39" spans="2:10" x14ac:dyDescent="0.2">
      <c r="B39" s="133" t="s">
        <v>28</v>
      </c>
      <c r="C39" s="133"/>
      <c r="D39" s="134">
        <f>SUMIF('BP costs'!$B$7:$B$96,$B39,'BP costs'!$F$7:$F$96)</f>
        <v>43.55</v>
      </c>
      <c r="E39" s="134">
        <f>SUMIF('Modelled costs'!$B$7:$B$106,$B39,'Modelled costs'!$U$7:$U$106)*Controls!$F$17</f>
        <v>37.399557739650632</v>
      </c>
      <c r="F39" s="135"/>
      <c r="G39" s="133"/>
      <c r="H39" s="136">
        <f t="shared" si="4"/>
        <v>37.399557739650632</v>
      </c>
      <c r="J39" s="142"/>
    </row>
    <row r="40" spans="2:10" x14ac:dyDescent="0.2">
      <c r="B40" s="133" t="s">
        <v>29</v>
      </c>
      <c r="C40" s="133"/>
      <c r="D40" s="134">
        <f>SUMIF('BP costs'!$B$7:$B$96,$B40,'BP costs'!$F$7:$F$96)</f>
        <v>16.721</v>
      </c>
      <c r="E40" s="134">
        <f>SUMIF('Modelled costs'!$B$7:$B$106,$B40,'Modelled costs'!$U$7:$U$106)*Controls!$F$17</f>
        <v>12.251898980617279</v>
      </c>
      <c r="F40" s="135"/>
      <c r="G40" s="133"/>
      <c r="H40" s="136">
        <f t="shared" si="4"/>
        <v>12.251898980617279</v>
      </c>
      <c r="J40" s="142"/>
    </row>
    <row r="41" spans="2:10" x14ac:dyDescent="0.2">
      <c r="B41" s="133" t="s">
        <v>31</v>
      </c>
      <c r="C41" s="133"/>
      <c r="D41" s="134">
        <f>SUMIF('BP costs'!$B$7:$B$96,$B41,'BP costs'!$F$7:$F$96)</f>
        <v>4.7729999999999997</v>
      </c>
      <c r="E41" s="134">
        <f>SUMIF('Modelled costs'!$B$7:$B$106,$B41,'Modelled costs'!$U$7:$U$106)*Controls!$F$17</f>
        <v>3.8648123027485024</v>
      </c>
      <c r="F41" s="135"/>
      <c r="G41" s="133"/>
      <c r="H41" s="136">
        <f t="shared" si="4"/>
        <v>3.8648123027485024</v>
      </c>
      <c r="J41" s="142"/>
    </row>
    <row r="42" spans="2:10" x14ac:dyDescent="0.2">
      <c r="B42" s="133" t="s">
        <v>32</v>
      </c>
      <c r="C42" s="133"/>
      <c r="D42" s="134">
        <f>SUMIF('BP costs'!$B$7:$B$96,$B42,'BP costs'!$F$7:$F$96)</f>
        <v>6.7264972379448418</v>
      </c>
      <c r="E42" s="134">
        <f>SUMIF('Modelled costs'!$B$7:$B$106,$B42,'Modelled costs'!$U$7:$U$106)*Controls!$F$17</f>
        <v>5.6959406110465371</v>
      </c>
      <c r="F42" s="135"/>
      <c r="G42" s="133"/>
      <c r="H42" s="136">
        <f t="shared" si="4"/>
        <v>5.6959406110465371</v>
      </c>
      <c r="J42" s="142"/>
    </row>
    <row r="43" spans="2:10" x14ac:dyDescent="0.2">
      <c r="B43" s="133" t="s">
        <v>33</v>
      </c>
      <c r="C43" s="133"/>
      <c r="D43" s="134">
        <f>SUMIF('BP costs'!$B$7:$B$96,$B43,'BP costs'!$F$7:$F$96)</f>
        <v>11.94</v>
      </c>
      <c r="E43" s="134">
        <f>SUMIF('Modelled costs'!$B$7:$B$106,$B43,'Modelled costs'!$U$7:$U$106)*Controls!$F$17</f>
        <v>20.219660688321653</v>
      </c>
      <c r="F43" s="135"/>
      <c r="G43" s="133"/>
      <c r="H43" s="136">
        <f t="shared" si="4"/>
        <v>20.219660688321653</v>
      </c>
      <c r="J43" s="142"/>
    </row>
    <row r="44" spans="2:10" x14ac:dyDescent="0.2">
      <c r="B44" s="133" t="s">
        <v>34</v>
      </c>
      <c r="C44" s="133"/>
      <c r="D44" s="134">
        <f>SUMIF('BP costs'!$B$7:$B$96,$B44,'BP costs'!$F$7:$F$96)</f>
        <v>20.873191440264051</v>
      </c>
      <c r="E44" s="134">
        <f>SUMIF('Modelled costs'!$B$7:$B$106,$B44,'Modelled costs'!$U$7:$U$106)*Controls!$F$17</f>
        <v>15.388360583028122</v>
      </c>
      <c r="F44" s="135"/>
      <c r="G44" s="133"/>
      <c r="H44" s="136">
        <f t="shared" si="4"/>
        <v>15.388360583028122</v>
      </c>
      <c r="J44" s="142"/>
    </row>
    <row r="45" spans="2:10" x14ac:dyDescent="0.2">
      <c r="B45" s="100" t="s">
        <v>143</v>
      </c>
      <c r="C45" s="100"/>
      <c r="D45" s="137">
        <f t="shared" ref="D45:E45" si="5">SUM(D28:D44)</f>
        <v>1588.6461632695125</v>
      </c>
      <c r="E45" s="137">
        <f t="shared" si="5"/>
        <v>1579.0095716830756</v>
      </c>
      <c r="F45" s="137">
        <f t="shared" ref="F45" si="6">SUM(F28:F44)</f>
        <v>0</v>
      </c>
      <c r="G45" s="100"/>
      <c r="H45" s="138">
        <f t="shared" ref="H45" si="7">SUM(H28:H44)</f>
        <v>1579.0095716830756</v>
      </c>
    </row>
    <row r="47" spans="2:10" x14ac:dyDescent="0.2">
      <c r="B47" s="29" t="s">
        <v>172</v>
      </c>
      <c r="C47" s="29"/>
      <c r="E47" s="177"/>
    </row>
    <row r="49" spans="2:11" ht="38.25" x14ac:dyDescent="0.2">
      <c r="B49" s="139" t="s">
        <v>38</v>
      </c>
      <c r="C49" s="139"/>
      <c r="D49" s="140" t="s">
        <v>312</v>
      </c>
      <c r="E49" s="140" t="s">
        <v>313</v>
      </c>
      <c r="F49" s="140" t="s">
        <v>251</v>
      </c>
      <c r="G49" s="140" t="s">
        <v>252</v>
      </c>
      <c r="H49" s="141" t="s">
        <v>314</v>
      </c>
      <c r="K49" s="132"/>
    </row>
    <row r="50" spans="2:11" x14ac:dyDescent="0.2">
      <c r="B50" s="133" t="s">
        <v>20</v>
      </c>
      <c r="C50" s="133"/>
      <c r="D50" s="134">
        <f>SUMIF('BP costs'!$B$7:$B$96,$B50,'BP costs'!$G$7:$G$96)</f>
        <v>246.74466276056711</v>
      </c>
      <c r="E50" s="134">
        <f>SUMIF('Modelled costs'!$B$7:$B$106,$B50,'Modelled costs'!$T$7:$T$106)*Controls!$F$17</f>
        <v>251.28203396454757</v>
      </c>
      <c r="F50" s="135"/>
      <c r="G50" s="133"/>
      <c r="H50" s="136">
        <f t="shared" ref="H50:H66" si="8">SUM(E50:G50)</f>
        <v>251.28203396454757</v>
      </c>
    </row>
    <row r="51" spans="2:11" x14ac:dyDescent="0.2">
      <c r="B51" s="133" t="s">
        <v>157</v>
      </c>
      <c r="C51" s="133"/>
      <c r="D51" s="134">
        <f>SUMIF('BP costs'!$B$7:$B$96,$B51,'BP costs'!$G$7:$G$96)</f>
        <v>10.299849322630481</v>
      </c>
      <c r="E51" s="134">
        <f>SUMIF('Modelled costs'!$B$7:$B$106,$B51,'Modelled costs'!$T$7:$T$106)*Controls!$F$17</f>
        <v>9.3278433902006537</v>
      </c>
      <c r="F51" s="135"/>
      <c r="G51" s="133"/>
      <c r="H51" s="136">
        <f t="shared" si="8"/>
        <v>9.3278433902006537</v>
      </c>
    </row>
    <row r="52" spans="2:11" x14ac:dyDescent="0.2">
      <c r="B52" s="133" t="s">
        <v>21</v>
      </c>
      <c r="C52" s="133"/>
      <c r="D52" s="134">
        <f>SUMIF('BP costs'!$B$7:$B$96,$B52,'BP costs'!$G$7:$G$96)</f>
        <v>169.13200000000003</v>
      </c>
      <c r="E52" s="134">
        <f>SUMIF('Modelled costs'!$B$7:$B$106,$B52,'Modelled costs'!$T$7:$T$106)*Controls!$F$17</f>
        <v>144.27711031513411</v>
      </c>
      <c r="F52" s="135"/>
      <c r="G52" s="133"/>
      <c r="H52" s="136">
        <f t="shared" si="8"/>
        <v>144.27711031513411</v>
      </c>
    </row>
    <row r="53" spans="2:11" x14ac:dyDescent="0.2">
      <c r="B53" s="133" t="s">
        <v>22</v>
      </c>
      <c r="C53" s="133"/>
      <c r="D53" s="134">
        <f>SUMIF('BP costs'!$B$7:$B$96,$B53,'BP costs'!$G$7:$G$96)</f>
        <v>258.31508554272733</v>
      </c>
      <c r="E53" s="134">
        <f>SUMIF('Modelled costs'!$B$7:$B$106,$B53,'Modelled costs'!$T$7:$T$106)*Controls!$F$17</f>
        <v>233.60423382451765</v>
      </c>
      <c r="F53" s="135"/>
      <c r="G53" s="133"/>
      <c r="H53" s="136">
        <f t="shared" si="8"/>
        <v>233.60423382451765</v>
      </c>
    </row>
    <row r="54" spans="2:11" x14ac:dyDescent="0.2">
      <c r="B54" s="133" t="s">
        <v>23</v>
      </c>
      <c r="C54" s="133"/>
      <c r="D54" s="134">
        <f>SUMIF('BP costs'!$B$7:$B$96,$B54,'BP costs'!$G$7:$G$96)</f>
        <v>153.81699999999998</v>
      </c>
      <c r="E54" s="134">
        <f>SUMIF('Modelled costs'!$B$7:$B$106,$B54,'Modelled costs'!$T$7:$T$106)*Controls!$F$17</f>
        <v>164.99995793802285</v>
      </c>
      <c r="F54" s="135"/>
      <c r="G54" s="133"/>
      <c r="H54" s="136">
        <f t="shared" si="8"/>
        <v>164.99995793802285</v>
      </c>
    </row>
    <row r="55" spans="2:11" x14ac:dyDescent="0.2">
      <c r="B55" s="133" t="s">
        <v>156</v>
      </c>
      <c r="C55" s="133"/>
      <c r="D55" s="134">
        <f>SUMIF('BP costs'!$B$7:$B$96,$B55,'BP costs'!$G$7:$G$96)</f>
        <v>326.48402718351338</v>
      </c>
      <c r="E55" s="134">
        <f>SUMIF('Modelled costs'!$B$7:$B$106,$B55,'Modelled costs'!$T$7:$T$106)*Controls!$F$17</f>
        <v>317.99944021011066</v>
      </c>
      <c r="F55" s="135"/>
      <c r="G55" s="133"/>
      <c r="H55" s="136">
        <f t="shared" si="8"/>
        <v>317.99944021011066</v>
      </c>
    </row>
    <row r="56" spans="2:11" x14ac:dyDescent="0.2">
      <c r="B56" s="133" t="s">
        <v>35</v>
      </c>
      <c r="C56" s="133"/>
      <c r="D56" s="134">
        <f>SUMIF('BP costs'!$B$7:$B$96,$B56,'BP costs'!$G$7:$G$96)</f>
        <v>97.558999999999997</v>
      </c>
      <c r="E56" s="134">
        <f>SUMIF('Modelled costs'!$B$7:$B$106,$B56,'Modelled costs'!$T$7:$T$106)*Controls!$F$17</f>
        <v>87.306531928530475</v>
      </c>
      <c r="F56" s="135"/>
      <c r="G56" s="133"/>
      <c r="H56" s="136">
        <f t="shared" si="8"/>
        <v>87.306531928530475</v>
      </c>
    </row>
    <row r="57" spans="2:11" x14ac:dyDescent="0.2">
      <c r="B57" s="133" t="s">
        <v>25</v>
      </c>
      <c r="C57" s="133"/>
      <c r="D57" s="134">
        <f>SUMIF('BP costs'!$B$7:$B$96,$B57,'BP costs'!$G$7:$G$96)</f>
        <v>530.93129501357691</v>
      </c>
      <c r="E57" s="134">
        <f>SUMIF('Modelled costs'!$B$7:$B$106,$B57,'Modelled costs'!$T$7:$T$106)*Controls!$F$17</f>
        <v>417.42834122057991</v>
      </c>
      <c r="F57" s="135"/>
      <c r="G57" s="133"/>
      <c r="H57" s="136">
        <f t="shared" si="8"/>
        <v>417.42834122057991</v>
      </c>
    </row>
    <row r="58" spans="2:11" x14ac:dyDescent="0.2">
      <c r="B58" s="133" t="s">
        <v>41</v>
      </c>
      <c r="C58" s="133"/>
      <c r="D58" s="134">
        <f>SUMIF('BP costs'!$B$7:$B$96,$B58,'BP costs'!$G$7:$G$96)</f>
        <v>131.68100000000001</v>
      </c>
      <c r="E58" s="134">
        <f>SUMIF('Modelled costs'!$B$7:$B$106,$B58,'Modelled costs'!$T$7:$T$106)*Controls!$F$17</f>
        <v>108.96759119213903</v>
      </c>
      <c r="F58" s="135"/>
      <c r="G58" s="133"/>
      <c r="H58" s="136">
        <f t="shared" si="8"/>
        <v>108.96759119213903</v>
      </c>
    </row>
    <row r="59" spans="2:11" x14ac:dyDescent="0.2">
      <c r="B59" s="133" t="s">
        <v>26</v>
      </c>
      <c r="C59" s="133"/>
      <c r="D59" s="134">
        <f>SUMIF('BP costs'!$B$7:$B$96,$B59,'BP costs'!$G$7:$G$96)</f>
        <v>96.347000000000023</v>
      </c>
      <c r="E59" s="134">
        <f>SUMIF('Modelled costs'!$B$7:$B$106,$B59,'Modelled costs'!$T$7:$T$106)*Controls!$F$17</f>
        <v>96.161141140078996</v>
      </c>
      <c r="F59" s="135"/>
      <c r="G59" s="133"/>
      <c r="H59" s="136">
        <f t="shared" si="8"/>
        <v>96.161141140078996</v>
      </c>
    </row>
    <row r="60" spans="2:11" x14ac:dyDescent="0.2">
      <c r="B60" s="133" t="s">
        <v>27</v>
      </c>
      <c r="C60" s="133"/>
      <c r="D60" s="134">
        <f>SUMIF('BP costs'!$B$7:$B$96,$B60,'BP costs'!$G$7:$G$96)</f>
        <v>142.18700000000001</v>
      </c>
      <c r="E60" s="134">
        <f>SUMIF('Modelled costs'!$B$7:$B$106,$B60,'Modelled costs'!$T$7:$T$106)*Controls!$F$17</f>
        <v>181.6683230652848</v>
      </c>
      <c r="F60" s="135"/>
      <c r="G60" s="133"/>
      <c r="H60" s="136">
        <f t="shared" si="8"/>
        <v>181.6683230652848</v>
      </c>
    </row>
    <row r="61" spans="2:11" x14ac:dyDescent="0.2">
      <c r="B61" s="133" t="s">
        <v>28</v>
      </c>
      <c r="C61" s="133"/>
      <c r="D61" s="134">
        <f>SUMIF('BP costs'!$B$7:$B$96,$B61,'BP costs'!$G$7:$G$96)</f>
        <v>101.907</v>
      </c>
      <c r="E61" s="134">
        <f>SUMIF('Modelled costs'!$B$7:$B$106,$B61,'Modelled costs'!$T$7:$T$106)*Controls!$F$17</f>
        <v>100.87976601812228</v>
      </c>
      <c r="F61" s="135"/>
      <c r="G61" s="133"/>
      <c r="H61" s="136">
        <f t="shared" si="8"/>
        <v>100.87976601812228</v>
      </c>
    </row>
    <row r="62" spans="2:11" x14ac:dyDescent="0.2">
      <c r="B62" s="133" t="s">
        <v>29</v>
      </c>
      <c r="C62" s="133"/>
      <c r="D62" s="134">
        <f>SUMIF('BP costs'!$B$7:$B$96,$B62,'BP costs'!$G$7:$G$96)</f>
        <v>33.267000000000003</v>
      </c>
      <c r="E62" s="134">
        <f>SUMIF('Modelled costs'!$B$7:$B$106,$B62,'Modelled costs'!$T$7:$T$106)*Controls!$F$17</f>
        <v>37.202671132174082</v>
      </c>
      <c r="F62" s="135"/>
      <c r="G62" s="133"/>
      <c r="H62" s="136">
        <f t="shared" si="8"/>
        <v>37.202671132174082</v>
      </c>
    </row>
    <row r="63" spans="2:11" x14ac:dyDescent="0.2">
      <c r="B63" s="133" t="s">
        <v>31</v>
      </c>
      <c r="C63" s="133"/>
      <c r="D63" s="134">
        <f>SUMIF('BP costs'!$B$7:$B$96,$B63,'BP costs'!$G$7:$G$96)</f>
        <v>18.689999999999998</v>
      </c>
      <c r="E63" s="134">
        <f>SUMIF('Modelled costs'!$B$7:$B$106,$B63,'Modelled costs'!$T$7:$T$106)*Controls!$F$17</f>
        <v>18.777310263286449</v>
      </c>
      <c r="F63" s="135"/>
      <c r="G63" s="133"/>
      <c r="H63" s="136">
        <f t="shared" si="8"/>
        <v>18.777310263286449</v>
      </c>
    </row>
    <row r="64" spans="2:11" x14ac:dyDescent="0.2">
      <c r="B64" s="133" t="s">
        <v>32</v>
      </c>
      <c r="C64" s="133"/>
      <c r="D64" s="134">
        <f>SUMIF('BP costs'!$B$7:$B$96,$B64,'BP costs'!$G$7:$G$96)</f>
        <v>30.689067479955881</v>
      </c>
      <c r="E64" s="134">
        <f>SUMIF('Modelled costs'!$B$7:$B$106,$B64,'Modelled costs'!$T$7:$T$106)*Controls!$F$17</f>
        <v>21.238062327590381</v>
      </c>
      <c r="F64" s="135"/>
      <c r="G64" s="133"/>
      <c r="H64" s="136">
        <f t="shared" si="8"/>
        <v>21.238062327590381</v>
      </c>
    </row>
    <row r="65" spans="2:8" x14ac:dyDescent="0.2">
      <c r="B65" s="133" t="s">
        <v>33</v>
      </c>
      <c r="C65" s="133"/>
      <c r="D65" s="134">
        <f>SUMIF('BP costs'!$B$7:$B$96,$B65,'BP costs'!$G$7:$G$96)</f>
        <v>69.529000000000011</v>
      </c>
      <c r="E65" s="134">
        <f>SUMIF('Modelled costs'!$B$7:$B$106,$B65,'Modelled costs'!$T$7:$T$106)*Controls!$F$17</f>
        <v>69.56420417859961</v>
      </c>
      <c r="F65" s="135"/>
      <c r="G65" s="133"/>
      <c r="H65" s="136">
        <f t="shared" si="8"/>
        <v>69.56420417859961</v>
      </c>
    </row>
    <row r="66" spans="2:8" x14ac:dyDescent="0.2">
      <c r="B66" s="133" t="s">
        <v>34</v>
      </c>
      <c r="C66" s="133"/>
      <c r="D66" s="134">
        <f>SUMIF('BP costs'!$B$7:$B$96,$B66,'BP costs'!$G$7:$G$96)</f>
        <v>38.620814133263352</v>
      </c>
      <c r="E66" s="134">
        <f>SUMIF('Modelled costs'!$B$7:$B$106,$B66,'Modelled costs'!$T$7:$T$106)*Controls!$F$17</f>
        <v>46.269724610546618</v>
      </c>
      <c r="F66" s="135"/>
      <c r="G66" s="133"/>
      <c r="H66" s="136">
        <f t="shared" si="8"/>
        <v>46.269724610546618</v>
      </c>
    </row>
    <row r="67" spans="2:8" x14ac:dyDescent="0.2">
      <c r="B67" s="100" t="s">
        <v>143</v>
      </c>
      <c r="C67" s="100"/>
      <c r="D67" s="137">
        <f t="shared" ref="D67:E67" si="9">SUM(D50:D66)</f>
        <v>2456.2008014362345</v>
      </c>
      <c r="E67" s="137">
        <f t="shared" si="9"/>
        <v>2306.9542867194659</v>
      </c>
      <c r="F67" s="137">
        <f t="shared" ref="F67" si="10">SUM(F50:F66)</f>
        <v>0</v>
      </c>
      <c r="G67" s="100"/>
      <c r="H67" s="138">
        <f>SUM(H50:H66)</f>
        <v>2306.9542867194659</v>
      </c>
    </row>
    <row r="69" spans="2:8" x14ac:dyDescent="0.2">
      <c r="E69" s="13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Cover</vt:lpstr>
      <vt:lpstr>Inputs&gt;&gt;</vt:lpstr>
      <vt:lpstr>Controls</vt:lpstr>
      <vt:lpstr>BP costs</vt:lpstr>
      <vt:lpstr>Coeffs</vt:lpstr>
      <vt:lpstr>Drivers</vt:lpstr>
      <vt:lpstr>Outputs&gt;&gt;</vt:lpstr>
      <vt:lpstr>Modelled costs</vt:lpstr>
      <vt:lpstr>Final allowance</vt:lpstr>
      <vt:lpstr>Financial model inputs</vt:lpstr>
      <vt:lpstr>F_interface</vt:lpstr>
    </vt:vector>
  </TitlesOfParts>
  <Company>Water Services Regulation Authority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Imogen Turner</dc:creator>
  <cp:lastModifiedBy>Milton Salas</cp:lastModifiedBy>
  <dcterms:created xsi:type="dcterms:W3CDTF">2015-10-14T16:49:04Z</dcterms:created>
  <dcterms:modified xsi:type="dcterms:W3CDTF">2019-07-12T09:47:09Z</dcterms:modified>
</cp:coreProperties>
</file>